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45" yWindow="-465" windowWidth="15480" windowHeight="9720" tabRatio="932" firstSheet="1" activeTab="17"/>
  </bookViews>
  <sheets>
    <sheet name="ไตรมาส" sheetId="7" state="hidden" r:id="rId1"/>
    <sheet name="ต.ค. " sheetId="21" r:id="rId2"/>
    <sheet name="พ.ย." sheetId="65" r:id="rId3"/>
    <sheet name="ธ.ค." sheetId="67" r:id="rId4"/>
    <sheet name="ต.ค.-ธ.ค." sheetId="66" r:id="rId5"/>
    <sheet name="ม.ค." sheetId="68" r:id="rId6"/>
    <sheet name="ก.พ." sheetId="69" r:id="rId7"/>
    <sheet name="มี.ค." sheetId="70" r:id="rId8"/>
    <sheet name="ม.ค.-มี.ค." sheetId="71" r:id="rId9"/>
    <sheet name="เม.ย." sheetId="72" r:id="rId10"/>
    <sheet name="พ.ค." sheetId="74" r:id="rId11"/>
    <sheet name="มิ.ย." sheetId="75" r:id="rId12"/>
    <sheet name="เม.ย.-มิ.ย." sheetId="76" r:id="rId13"/>
    <sheet name="ก.ค." sheetId="79" r:id="rId14"/>
    <sheet name="ส.ค." sheetId="82" r:id="rId15"/>
    <sheet name="ก.ย." sheetId="83" r:id="rId16"/>
    <sheet name="ก.ค.-ก.ย." sheetId="84" r:id="rId17"/>
    <sheet name="ไตรมาส งป.2561 ok" sheetId="64" r:id="rId18"/>
    <sheet name="ต.ต.-ก.ค.61+++" sheetId="80" r:id="rId19"/>
    <sheet name="ต.ค.-มิ.ย. 61" sheetId="77" r:id="rId20"/>
    <sheet name="ไตรมาส งป. -ก.ค.2561+++" sheetId="81" r:id="rId21"/>
    <sheet name="ไตรมาส งป.2560 (ไตรมาส 4)" sheetId="78" r:id="rId22"/>
    <sheet name="ไตรมาส งป.2560 (ต.ค.เม.ษ.)" sheetId="73" r:id="rId23"/>
  </sheets>
  <definedNames>
    <definedName name="_xlnm.Print_Titles" localSheetId="13">ก.ค.!$1:$8</definedName>
    <definedName name="_xlnm.Print_Titles" localSheetId="16">'ก.ค.-ก.ย.'!$1:$8</definedName>
    <definedName name="_xlnm.Print_Titles" localSheetId="6">ก.พ.!$1:$8</definedName>
    <definedName name="_xlnm.Print_Titles" localSheetId="15">ก.ย.!$1:$8</definedName>
    <definedName name="_xlnm.Print_Titles" localSheetId="1">'ต.ค. '!$1:$8</definedName>
    <definedName name="_xlnm.Print_Titles" localSheetId="4">'ต.ค.-ธ.ค.'!$1:$8</definedName>
    <definedName name="_xlnm.Print_Titles" localSheetId="19">'ต.ค.-มิ.ย. 61'!$1:$8</definedName>
    <definedName name="_xlnm.Print_Titles" localSheetId="18">'ต.ต.-ก.ค.61+++'!$1:$8</definedName>
    <definedName name="_xlnm.Print_Titles" localSheetId="0">ไตรมาส!$4:$8</definedName>
    <definedName name="_xlnm.Print_Titles" localSheetId="20">'ไตรมาส งป. -ก.ค.2561+++'!$5:$8</definedName>
    <definedName name="_xlnm.Print_Titles" localSheetId="22">'ไตรมาส งป.2560 (ต.ค.เม.ษ.)'!$5:$8</definedName>
    <definedName name="_xlnm.Print_Titles" localSheetId="21">'ไตรมาส งป.2560 (ไตรมาส 4)'!$5:$8</definedName>
    <definedName name="_xlnm.Print_Titles" localSheetId="17">'ไตรมาส งป.2561 ok'!$5:$8</definedName>
    <definedName name="_xlnm.Print_Titles" localSheetId="3">ธ.ค.!$1:$8</definedName>
    <definedName name="_xlnm.Print_Titles" localSheetId="10">พ.ค.!$1:$8</definedName>
    <definedName name="_xlnm.Print_Titles" localSheetId="2">พ.ย.!$1:$8</definedName>
    <definedName name="_xlnm.Print_Titles" localSheetId="5">ม.ค.!$1:$8</definedName>
    <definedName name="_xlnm.Print_Titles" localSheetId="8">'ม.ค.-มี.ค.'!$1:$8</definedName>
    <definedName name="_xlnm.Print_Titles" localSheetId="11">มิ.ย.!$1:$8</definedName>
    <definedName name="_xlnm.Print_Titles" localSheetId="7">มี.ค.!$1:$8</definedName>
    <definedName name="_xlnm.Print_Titles" localSheetId="9">เม.ย.!$1:$8</definedName>
    <definedName name="_xlnm.Print_Titles" localSheetId="12">'เม.ย.-มิ.ย.'!$1:$8</definedName>
    <definedName name="_xlnm.Print_Titles" localSheetId="14">ส.ค.!$1:$8</definedName>
  </definedNames>
  <calcPr calcId="124519" fullCalcOnLoad="1"/>
</workbook>
</file>

<file path=xl/calcChain.xml><?xml version="1.0" encoding="utf-8"?>
<calcChain xmlns="http://schemas.openxmlformats.org/spreadsheetml/2006/main">
  <c r="N291" i="71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E291"/>
  <c r="F291"/>
  <c r="G291"/>
  <c r="H291"/>
  <c r="I291"/>
  <c r="J291"/>
  <c r="K291"/>
  <c r="L291"/>
  <c r="M291"/>
  <c r="O291"/>
  <c r="P291"/>
  <c r="Q291"/>
  <c r="R291"/>
  <c r="S291"/>
  <c r="T291"/>
  <c r="U291"/>
  <c r="V291"/>
  <c r="D291"/>
  <c r="C287" i="64"/>
  <c r="J54"/>
  <c r="J52"/>
  <c r="C52"/>
  <c r="C213"/>
  <c r="C212"/>
  <c r="C214"/>
  <c r="C195"/>
  <c r="C30"/>
  <c r="C178"/>
  <c r="C179"/>
  <c r="C120"/>
  <c r="C119"/>
  <c r="C81"/>
  <c r="C60"/>
  <c r="C185"/>
  <c r="C51"/>
  <c r="C59"/>
  <c r="C58"/>
  <c r="C33"/>
  <c r="C19"/>
  <c r="C55"/>
  <c r="C10"/>
  <c r="C24"/>
  <c r="C23"/>
  <c r="C46"/>
  <c r="C36"/>
  <c r="C181"/>
  <c r="C27"/>
  <c r="C25"/>
  <c r="C187"/>
  <c r="C153"/>
  <c r="C148"/>
  <c r="C147"/>
  <c r="C145"/>
  <c r="C168"/>
  <c r="C128"/>
  <c r="C71"/>
  <c r="C62"/>
  <c r="C206"/>
  <c r="C42"/>
  <c r="C47"/>
  <c r="C41"/>
  <c r="C166"/>
  <c r="C63"/>
  <c r="C182"/>
  <c r="C190"/>
  <c r="C12"/>
  <c r="C142"/>
  <c r="C184"/>
  <c r="C167"/>
  <c r="C127"/>
  <c r="C76"/>
  <c r="C78"/>
  <c r="C134"/>
  <c r="C129"/>
  <c r="C186"/>
  <c r="C14"/>
  <c r="C34"/>
  <c r="C126"/>
  <c r="C192"/>
  <c r="C122"/>
  <c r="C117"/>
  <c r="C180"/>
  <c r="C103"/>
  <c r="C102"/>
  <c r="C101"/>
  <c r="C100"/>
  <c r="I175"/>
  <c r="C32"/>
  <c r="C143"/>
  <c r="C139"/>
  <c r="C132"/>
  <c r="C130"/>
  <c r="C83"/>
  <c r="C183"/>
  <c r="C73"/>
  <c r="C35"/>
  <c r="C221"/>
  <c r="C67"/>
  <c r="C292"/>
  <c r="C124"/>
  <c r="C191"/>
  <c r="C64"/>
  <c r="C37"/>
  <c r="C112"/>
  <c r="C114"/>
  <c r="C111"/>
  <c r="C113"/>
  <c r="C84"/>
  <c r="C79"/>
  <c r="C70"/>
  <c r="E285"/>
  <c r="F285"/>
  <c r="C285"/>
  <c r="T37" i="80"/>
  <c r="G38"/>
  <c r="I38"/>
  <c r="J38"/>
  <c r="K38"/>
  <c r="L38"/>
  <c r="N38"/>
  <c r="O38"/>
  <c r="P38"/>
  <c r="Q38"/>
  <c r="R38"/>
  <c r="S38"/>
  <c r="T38"/>
  <c r="U38"/>
  <c r="V38"/>
  <c r="T30"/>
  <c r="T31"/>
  <c r="T32"/>
  <c r="T33"/>
  <c r="T34"/>
  <c r="T35"/>
  <c r="T36"/>
  <c r="D291"/>
  <c r="T283"/>
  <c r="T284"/>
  <c r="T285"/>
  <c r="T286"/>
  <c r="T287"/>
  <c r="T288"/>
  <c r="T289"/>
  <c r="T290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T282"/>
  <c r="T292"/>
  <c r="C262"/>
  <c r="D252"/>
  <c r="D253"/>
  <c r="D254"/>
  <c r="D255"/>
  <c r="D256"/>
  <c r="D257"/>
  <c r="D258"/>
  <c r="D259"/>
  <c r="D260"/>
  <c r="D261"/>
  <c r="D251"/>
  <c r="D262" s="1"/>
  <c r="D244"/>
  <c r="D238"/>
  <c r="D239"/>
  <c r="D240"/>
  <c r="D241"/>
  <c r="D237"/>
  <c r="D228"/>
  <c r="D229"/>
  <c r="D230"/>
  <c r="D231"/>
  <c r="D232"/>
  <c r="D233"/>
  <c r="D234"/>
  <c r="D227"/>
  <c r="D235" i="64"/>
  <c r="D249"/>
  <c r="C297"/>
  <c r="C276"/>
  <c r="C272"/>
  <c r="C238"/>
  <c r="C231"/>
  <c r="C262"/>
  <c r="C224"/>
  <c r="C209"/>
  <c r="C208"/>
  <c r="C207"/>
  <c r="C210"/>
  <c r="C189"/>
  <c r="C204"/>
  <c r="C163"/>
  <c r="C158"/>
  <c r="C156"/>
  <c r="C154"/>
  <c r="C137"/>
  <c r="C135"/>
  <c r="C133"/>
  <c r="C131"/>
  <c r="C95"/>
  <c r="C94"/>
  <c r="C93"/>
  <c r="C92"/>
  <c r="C91"/>
  <c r="C90"/>
  <c r="C80"/>
  <c r="C66"/>
  <c r="C61"/>
  <c r="C176"/>
  <c r="C43"/>
  <c r="C49"/>
  <c r="C39"/>
  <c r="C28"/>
  <c r="C21"/>
  <c r="I272"/>
  <c r="J35"/>
  <c r="L35"/>
  <c r="E175" i="84"/>
  <c r="F175"/>
  <c r="G175"/>
  <c r="H175"/>
  <c r="I175"/>
  <c r="J175"/>
  <c r="K175"/>
  <c r="L175"/>
  <c r="M175"/>
  <c r="N175"/>
  <c r="O175"/>
  <c r="P175"/>
  <c r="Q175"/>
  <c r="R175"/>
  <c r="S175"/>
  <c r="T175"/>
  <c r="T175" i="80" s="1"/>
  <c r="U175" i="84"/>
  <c r="V175"/>
  <c r="D175"/>
  <c r="D176"/>
  <c r="G288" i="64"/>
  <c r="G289"/>
  <c r="G290"/>
  <c r="G291"/>
  <c r="G292"/>
  <c r="G293"/>
  <c r="G294"/>
  <c r="G295"/>
  <c r="G287"/>
  <c r="G297"/>
  <c r="F288"/>
  <c r="F289"/>
  <c r="F290"/>
  <c r="F291"/>
  <c r="F292"/>
  <c r="F293"/>
  <c r="F294"/>
  <c r="F295"/>
  <c r="F287"/>
  <c r="F297"/>
  <c r="C287" i="78"/>
  <c r="C297" s="1"/>
  <c r="C285"/>
  <c r="C276"/>
  <c r="C272"/>
  <c r="C238"/>
  <c r="C231"/>
  <c r="C262"/>
  <c r="C224"/>
  <c r="C221"/>
  <c r="C209"/>
  <c r="C208"/>
  <c r="C207"/>
  <c r="C206"/>
  <c r="C210"/>
  <c r="C195"/>
  <c r="C189"/>
  <c r="C187"/>
  <c r="C185"/>
  <c r="C184"/>
  <c r="C182"/>
  <c r="C181"/>
  <c r="C180"/>
  <c r="C178"/>
  <c r="C204"/>
  <c r="C163"/>
  <c r="C158"/>
  <c r="C156"/>
  <c r="C154"/>
  <c r="C137"/>
  <c r="C135"/>
  <c r="C134"/>
  <c r="C133"/>
  <c r="C131"/>
  <c r="C95"/>
  <c r="C94"/>
  <c r="C93"/>
  <c r="C92"/>
  <c r="C91"/>
  <c r="C90"/>
  <c r="C81"/>
  <c r="C80"/>
  <c r="C79"/>
  <c r="C67"/>
  <c r="C66"/>
  <c r="C64"/>
  <c r="C63"/>
  <c r="C61"/>
  <c r="C58"/>
  <c r="C55"/>
  <c r="C52"/>
  <c r="C51"/>
  <c r="C176"/>
  <c r="C47"/>
  <c r="C46"/>
  <c r="C43"/>
  <c r="C49"/>
  <c r="C36"/>
  <c r="C34"/>
  <c r="C33"/>
  <c r="C30"/>
  <c r="C39"/>
  <c r="C28"/>
  <c r="C27"/>
  <c r="C21"/>
  <c r="C19"/>
  <c r="F278" i="84"/>
  <c r="G278"/>
  <c r="H278"/>
  <c r="I278"/>
  <c r="J278"/>
  <c r="K278"/>
  <c r="L278"/>
  <c r="M278"/>
  <c r="N278"/>
  <c r="O278"/>
  <c r="P278"/>
  <c r="Q278"/>
  <c r="R278"/>
  <c r="S278"/>
  <c r="T278"/>
  <c r="U278"/>
  <c r="V278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E279"/>
  <c r="G279" i="64" s="1"/>
  <c r="E280" i="84"/>
  <c r="G280" i="64" s="1"/>
  <c r="E281" i="84"/>
  <c r="G281" i="64" s="1"/>
  <c r="E282" i="84"/>
  <c r="G282" i="64" s="1"/>
  <c r="E283" i="84"/>
  <c r="G283" i="64" s="1"/>
  <c r="E284" i="84"/>
  <c r="G284" i="64" s="1"/>
  <c r="E278" i="84"/>
  <c r="G278" i="64" s="1"/>
  <c r="G285" s="1"/>
  <c r="F274" i="84"/>
  <c r="G274"/>
  <c r="H274"/>
  <c r="I274"/>
  <c r="J274"/>
  <c r="K274"/>
  <c r="L274"/>
  <c r="M274"/>
  <c r="N274"/>
  <c r="O274"/>
  <c r="P274"/>
  <c r="Q274"/>
  <c r="R274"/>
  <c r="S274"/>
  <c r="T274"/>
  <c r="T274" i="80" s="1"/>
  <c r="U274" i="84"/>
  <c r="V274"/>
  <c r="F275"/>
  <c r="G275"/>
  <c r="H275"/>
  <c r="I275"/>
  <c r="J275"/>
  <c r="K275"/>
  <c r="L275"/>
  <c r="M275"/>
  <c r="N275"/>
  <c r="O275"/>
  <c r="P275"/>
  <c r="Q275"/>
  <c r="R275"/>
  <c r="S275"/>
  <c r="T275"/>
  <c r="T275" i="80" s="1"/>
  <c r="U275" i="84"/>
  <c r="V275"/>
  <c r="E275"/>
  <c r="E274"/>
  <c r="F251"/>
  <c r="G251"/>
  <c r="H251"/>
  <c r="I251"/>
  <c r="J251"/>
  <c r="K251"/>
  <c r="L251"/>
  <c r="M251"/>
  <c r="N251"/>
  <c r="O251"/>
  <c r="P251"/>
  <c r="Q251"/>
  <c r="R251"/>
  <c r="S251"/>
  <c r="T251"/>
  <c r="T251" i="80" s="1"/>
  <c r="U251" i="84"/>
  <c r="V251"/>
  <c r="F252"/>
  <c r="G252"/>
  <c r="H252"/>
  <c r="I252"/>
  <c r="J252"/>
  <c r="K252"/>
  <c r="L252"/>
  <c r="M252"/>
  <c r="N252"/>
  <c r="O252"/>
  <c r="P252"/>
  <c r="Q252"/>
  <c r="R252"/>
  <c r="S252"/>
  <c r="T252"/>
  <c r="T252" i="80" s="1"/>
  <c r="U252" i="84"/>
  <c r="V252"/>
  <c r="F253"/>
  <c r="G253"/>
  <c r="H253"/>
  <c r="I253"/>
  <c r="J253"/>
  <c r="K253"/>
  <c r="L253"/>
  <c r="M253"/>
  <c r="N253"/>
  <c r="O253"/>
  <c r="P253"/>
  <c r="Q253"/>
  <c r="R253"/>
  <c r="S253"/>
  <c r="T253"/>
  <c r="T253" i="80" s="1"/>
  <c r="U253" i="84"/>
  <c r="V253"/>
  <c r="F254"/>
  <c r="G254"/>
  <c r="H254"/>
  <c r="I254"/>
  <c r="J254"/>
  <c r="K254"/>
  <c r="L254"/>
  <c r="M254"/>
  <c r="N254"/>
  <c r="O254"/>
  <c r="P254"/>
  <c r="Q254"/>
  <c r="R254"/>
  <c r="S254"/>
  <c r="T254"/>
  <c r="T254" i="80" s="1"/>
  <c r="U254" i="84"/>
  <c r="V254"/>
  <c r="F255"/>
  <c r="G255"/>
  <c r="H255"/>
  <c r="I255"/>
  <c r="J255"/>
  <c r="K255"/>
  <c r="L255"/>
  <c r="M255"/>
  <c r="N255"/>
  <c r="O255"/>
  <c r="P255"/>
  <c r="Q255"/>
  <c r="R255"/>
  <c r="S255"/>
  <c r="T255"/>
  <c r="T255" i="80" s="1"/>
  <c r="U255" i="84"/>
  <c r="V255"/>
  <c r="F256"/>
  <c r="G256"/>
  <c r="H256"/>
  <c r="I256"/>
  <c r="J256"/>
  <c r="K256"/>
  <c r="L256"/>
  <c r="M256"/>
  <c r="N256"/>
  <c r="O256"/>
  <c r="P256"/>
  <c r="Q256"/>
  <c r="R256"/>
  <c r="S256"/>
  <c r="T256"/>
  <c r="T256" i="80" s="1"/>
  <c r="U256" i="84"/>
  <c r="V256"/>
  <c r="F257"/>
  <c r="G257"/>
  <c r="H257"/>
  <c r="I257"/>
  <c r="J257"/>
  <c r="K257"/>
  <c r="L257"/>
  <c r="M257"/>
  <c r="N257"/>
  <c r="O257"/>
  <c r="P257"/>
  <c r="Q257"/>
  <c r="R257"/>
  <c r="S257"/>
  <c r="T257"/>
  <c r="T257" i="80" s="1"/>
  <c r="U257" i="84"/>
  <c r="V257"/>
  <c r="F258"/>
  <c r="G258"/>
  <c r="H258"/>
  <c r="I258"/>
  <c r="J258"/>
  <c r="K258"/>
  <c r="L258"/>
  <c r="M258"/>
  <c r="N258"/>
  <c r="O258"/>
  <c r="P258"/>
  <c r="Q258"/>
  <c r="R258"/>
  <c r="S258"/>
  <c r="T258"/>
  <c r="T258" i="80" s="1"/>
  <c r="U258" i="84"/>
  <c r="V258"/>
  <c r="F259"/>
  <c r="G259"/>
  <c r="H259"/>
  <c r="I259"/>
  <c r="J259"/>
  <c r="K259"/>
  <c r="L259"/>
  <c r="M259"/>
  <c r="N259"/>
  <c r="O259"/>
  <c r="P259"/>
  <c r="Q259"/>
  <c r="R259"/>
  <c r="S259"/>
  <c r="T259"/>
  <c r="T259" i="80" s="1"/>
  <c r="U259" i="84"/>
  <c r="V259"/>
  <c r="F260"/>
  <c r="G260"/>
  <c r="H260"/>
  <c r="I260"/>
  <c r="J260"/>
  <c r="K260"/>
  <c r="L260"/>
  <c r="M260"/>
  <c r="N260"/>
  <c r="O260"/>
  <c r="P260"/>
  <c r="Q260"/>
  <c r="R260"/>
  <c r="S260"/>
  <c r="T260"/>
  <c r="T260" i="80" s="1"/>
  <c r="U260" i="84"/>
  <c r="V260"/>
  <c r="F261"/>
  <c r="G261"/>
  <c r="H261"/>
  <c r="I261"/>
  <c r="J261"/>
  <c r="K261"/>
  <c r="L261"/>
  <c r="M261"/>
  <c r="N261"/>
  <c r="O261"/>
  <c r="P261"/>
  <c r="Q261"/>
  <c r="R261"/>
  <c r="S261"/>
  <c r="T261"/>
  <c r="T261" i="80" s="1"/>
  <c r="U261" i="84"/>
  <c r="V261"/>
  <c r="E252"/>
  <c r="G252" i="64" s="1"/>
  <c r="E253" i="84"/>
  <c r="G253" i="64" s="1"/>
  <c r="E254" i="84"/>
  <c r="G254" i="64" s="1"/>
  <c r="E255" i="84"/>
  <c r="G255" i="64" s="1"/>
  <c r="E256" i="84"/>
  <c r="G256" i="64" s="1"/>
  <c r="E257" i="84"/>
  <c r="G257" i="64" s="1"/>
  <c r="E258" i="84"/>
  <c r="G258" i="64" s="1"/>
  <c r="E259" i="84"/>
  <c r="G259" i="64" s="1"/>
  <c r="E260" i="84"/>
  <c r="G260" i="64" s="1"/>
  <c r="E261" i="84"/>
  <c r="G261" i="64" s="1"/>
  <c r="E251" i="84"/>
  <c r="G251" i="64" s="1"/>
  <c r="G262" s="1"/>
  <c r="F247" i="84"/>
  <c r="G247"/>
  <c r="H247"/>
  <c r="I247"/>
  <c r="J247"/>
  <c r="K247"/>
  <c r="L247"/>
  <c r="M247"/>
  <c r="N247"/>
  <c r="O247"/>
  <c r="P247"/>
  <c r="Q247"/>
  <c r="R247"/>
  <c r="S247"/>
  <c r="T247"/>
  <c r="U247"/>
  <c r="V247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E248"/>
  <c r="E247"/>
  <c r="G247" i="64" s="1"/>
  <c r="F244" i="84"/>
  <c r="G244"/>
  <c r="H244"/>
  <c r="I244"/>
  <c r="J244"/>
  <c r="K244"/>
  <c r="L244"/>
  <c r="M244"/>
  <c r="N244"/>
  <c r="O244"/>
  <c r="P244"/>
  <c r="Q244"/>
  <c r="R244"/>
  <c r="S244"/>
  <c r="T244"/>
  <c r="T244" i="80" s="1"/>
  <c r="U244" i="84"/>
  <c r="V244"/>
  <c r="E244"/>
  <c r="G244" i="64" s="1"/>
  <c r="G245" s="1"/>
  <c r="F237" i="84"/>
  <c r="G237"/>
  <c r="H237"/>
  <c r="I237"/>
  <c r="J237"/>
  <c r="K237"/>
  <c r="L237"/>
  <c r="M237"/>
  <c r="N237"/>
  <c r="O237"/>
  <c r="P237"/>
  <c r="Q237"/>
  <c r="R237"/>
  <c r="S237"/>
  <c r="T237"/>
  <c r="T237" i="80" s="1"/>
  <c r="U237" i="84"/>
  <c r="V237"/>
  <c r="F238"/>
  <c r="G238"/>
  <c r="H238"/>
  <c r="I238"/>
  <c r="J238"/>
  <c r="K238"/>
  <c r="L238"/>
  <c r="M238"/>
  <c r="N238"/>
  <c r="O238"/>
  <c r="P238"/>
  <c r="Q238"/>
  <c r="R238"/>
  <c r="S238"/>
  <c r="T238"/>
  <c r="T238" i="80" s="1"/>
  <c r="U238" i="84"/>
  <c r="V238"/>
  <c r="F239"/>
  <c r="G239"/>
  <c r="H239"/>
  <c r="I239"/>
  <c r="J239"/>
  <c r="K239"/>
  <c r="L239"/>
  <c r="M239"/>
  <c r="N239"/>
  <c r="O239"/>
  <c r="P239"/>
  <c r="Q239"/>
  <c r="R239"/>
  <c r="S239"/>
  <c r="T239"/>
  <c r="T239" i="80" s="1"/>
  <c r="U239" i="84"/>
  <c r="V239"/>
  <c r="F240"/>
  <c r="G240"/>
  <c r="H240"/>
  <c r="I240"/>
  <c r="J240"/>
  <c r="K240"/>
  <c r="L240"/>
  <c r="M240"/>
  <c r="N240"/>
  <c r="O240"/>
  <c r="P240"/>
  <c r="Q240"/>
  <c r="R240"/>
  <c r="S240"/>
  <c r="T240"/>
  <c r="T240" i="80" s="1"/>
  <c r="U240" i="84"/>
  <c r="V240"/>
  <c r="F241"/>
  <c r="G241"/>
  <c r="H241"/>
  <c r="I241"/>
  <c r="J241"/>
  <c r="K241"/>
  <c r="L241"/>
  <c r="M241"/>
  <c r="N241"/>
  <c r="O241"/>
  <c r="P241"/>
  <c r="Q241"/>
  <c r="R241"/>
  <c r="S241"/>
  <c r="T241"/>
  <c r="T241" i="80" s="1"/>
  <c r="U241" i="84"/>
  <c r="V241"/>
  <c r="E238"/>
  <c r="G238" i="64" s="1"/>
  <c r="E239" i="84"/>
  <c r="G239" i="64" s="1"/>
  <c r="E240" i="84"/>
  <c r="G240" i="64" s="1"/>
  <c r="E241" i="84"/>
  <c r="E237"/>
  <c r="G237" i="64" s="1"/>
  <c r="F227" i="84"/>
  <c r="G227"/>
  <c r="H227"/>
  <c r="I227"/>
  <c r="J227"/>
  <c r="K227"/>
  <c r="L227"/>
  <c r="M227"/>
  <c r="N227"/>
  <c r="O227"/>
  <c r="P227"/>
  <c r="Q227"/>
  <c r="R227"/>
  <c r="S227"/>
  <c r="T227"/>
  <c r="T227" i="80" s="1"/>
  <c r="U227" i="84"/>
  <c r="V227"/>
  <c r="F228"/>
  <c r="G228"/>
  <c r="H228"/>
  <c r="I228"/>
  <c r="J228"/>
  <c r="K228"/>
  <c r="L228"/>
  <c r="M228"/>
  <c r="N228"/>
  <c r="O228"/>
  <c r="P228"/>
  <c r="Q228"/>
  <c r="R228"/>
  <c r="S228"/>
  <c r="T228"/>
  <c r="T228" i="80" s="1"/>
  <c r="U228" i="84"/>
  <c r="V228"/>
  <c r="F229"/>
  <c r="G229"/>
  <c r="H229"/>
  <c r="I229"/>
  <c r="J229"/>
  <c r="K229"/>
  <c r="L229"/>
  <c r="M229"/>
  <c r="N229"/>
  <c r="O229"/>
  <c r="P229"/>
  <c r="Q229"/>
  <c r="R229"/>
  <c r="S229"/>
  <c r="T229"/>
  <c r="T229" i="80" s="1"/>
  <c r="U229" i="84"/>
  <c r="V229"/>
  <c r="F230"/>
  <c r="G230"/>
  <c r="H230"/>
  <c r="I230"/>
  <c r="J230"/>
  <c r="K230"/>
  <c r="L230"/>
  <c r="M230"/>
  <c r="N230"/>
  <c r="O230"/>
  <c r="P230"/>
  <c r="Q230"/>
  <c r="R230"/>
  <c r="S230"/>
  <c r="T230"/>
  <c r="T230" i="80" s="1"/>
  <c r="U230" i="84"/>
  <c r="V230"/>
  <c r="F231"/>
  <c r="G231"/>
  <c r="H231"/>
  <c r="I231"/>
  <c r="J231"/>
  <c r="K231"/>
  <c r="L231"/>
  <c r="M231"/>
  <c r="N231"/>
  <c r="O231"/>
  <c r="P231"/>
  <c r="Q231"/>
  <c r="R231"/>
  <c r="S231"/>
  <c r="T231"/>
  <c r="T231" i="80" s="1"/>
  <c r="U231" i="84"/>
  <c r="V231"/>
  <c r="F232"/>
  <c r="G232"/>
  <c r="H232"/>
  <c r="I232"/>
  <c r="J232"/>
  <c r="K232"/>
  <c r="L232"/>
  <c r="M232"/>
  <c r="N232"/>
  <c r="O232"/>
  <c r="P232"/>
  <c r="Q232"/>
  <c r="R232"/>
  <c r="S232"/>
  <c r="T232"/>
  <c r="T232" i="80" s="1"/>
  <c r="U232" i="84"/>
  <c r="V232"/>
  <c r="F233"/>
  <c r="G233"/>
  <c r="H233"/>
  <c r="I233"/>
  <c r="J233"/>
  <c r="K233"/>
  <c r="L233"/>
  <c r="M233"/>
  <c r="N233"/>
  <c r="O233"/>
  <c r="P233"/>
  <c r="Q233"/>
  <c r="R233"/>
  <c r="S233"/>
  <c r="T233"/>
  <c r="T233" i="80" s="1"/>
  <c r="U233" i="84"/>
  <c r="V233"/>
  <c r="F234"/>
  <c r="G234"/>
  <c r="H234"/>
  <c r="I234"/>
  <c r="J234"/>
  <c r="K234"/>
  <c r="L234"/>
  <c r="M234"/>
  <c r="N234"/>
  <c r="O234"/>
  <c r="P234"/>
  <c r="Q234"/>
  <c r="R234"/>
  <c r="S234"/>
  <c r="T234"/>
  <c r="T234" i="80" s="1"/>
  <c r="U234" i="84"/>
  <c r="V234"/>
  <c r="E228"/>
  <c r="G228" i="64" s="1"/>
  <c r="E229" i="84"/>
  <c r="G229" i="64" s="1"/>
  <c r="E230" i="84"/>
  <c r="G230" i="64" s="1"/>
  <c r="E231" i="84"/>
  <c r="G231" i="64" s="1"/>
  <c r="E232" i="84"/>
  <c r="E233"/>
  <c r="G233" i="64" s="1"/>
  <c r="E234" i="84"/>
  <c r="E227"/>
  <c r="G227" i="64" s="1"/>
  <c r="F212" i="84"/>
  <c r="G212"/>
  <c r="H212"/>
  <c r="I212"/>
  <c r="J212"/>
  <c r="K212"/>
  <c r="L212"/>
  <c r="M212"/>
  <c r="N212"/>
  <c r="O212"/>
  <c r="P212"/>
  <c r="Q212"/>
  <c r="R212"/>
  <c r="S212"/>
  <c r="T212"/>
  <c r="T212" i="80" s="1"/>
  <c r="U212" i="84"/>
  <c r="V212"/>
  <c r="F213"/>
  <c r="G213"/>
  <c r="H213"/>
  <c r="I213"/>
  <c r="J213"/>
  <c r="K213"/>
  <c r="L213"/>
  <c r="M213"/>
  <c r="N213"/>
  <c r="O213"/>
  <c r="P213"/>
  <c r="Q213"/>
  <c r="R213"/>
  <c r="S213"/>
  <c r="T213"/>
  <c r="T213" i="80" s="1"/>
  <c r="U213" i="84"/>
  <c r="V213"/>
  <c r="F214"/>
  <c r="G214"/>
  <c r="H214"/>
  <c r="I214"/>
  <c r="J214"/>
  <c r="K214"/>
  <c r="L214"/>
  <c r="M214"/>
  <c r="N214"/>
  <c r="O214"/>
  <c r="P214"/>
  <c r="Q214"/>
  <c r="R214"/>
  <c r="S214"/>
  <c r="T214"/>
  <c r="T214" i="80" s="1"/>
  <c r="U214" i="84"/>
  <c r="V214"/>
  <c r="F215"/>
  <c r="G215"/>
  <c r="H215"/>
  <c r="I215"/>
  <c r="J215"/>
  <c r="K215"/>
  <c r="L215"/>
  <c r="M215"/>
  <c r="N215"/>
  <c r="O215"/>
  <c r="P215"/>
  <c r="Q215"/>
  <c r="R215"/>
  <c r="S215"/>
  <c r="T215"/>
  <c r="T215" i="80" s="1"/>
  <c r="U215" i="84"/>
  <c r="V215"/>
  <c r="F216"/>
  <c r="F216" i="80" s="1"/>
  <c r="G216" i="84"/>
  <c r="G216" i="80" s="1"/>
  <c r="H216" i="84"/>
  <c r="H216" i="80" s="1"/>
  <c r="I216" i="84"/>
  <c r="I216" i="80" s="1"/>
  <c r="J216" i="84"/>
  <c r="J216" i="80" s="1"/>
  <c r="K216" i="84"/>
  <c r="K216" i="80" s="1"/>
  <c r="L216" i="84"/>
  <c r="L216" i="80" s="1"/>
  <c r="M216" i="84"/>
  <c r="M216" i="80" s="1"/>
  <c r="N216" i="84"/>
  <c r="N216" i="80" s="1"/>
  <c r="O216" i="84"/>
  <c r="O216" i="80" s="1"/>
  <c r="P216" i="84"/>
  <c r="P216" i="80" s="1"/>
  <c r="Q216" i="84"/>
  <c r="Q216" i="80" s="1"/>
  <c r="R216" i="84"/>
  <c r="R216" i="80" s="1"/>
  <c r="S216" i="84"/>
  <c r="S216" i="80" s="1"/>
  <c r="T216" i="84"/>
  <c r="T216" i="80" s="1"/>
  <c r="U216" i="84"/>
  <c r="U216" i="80" s="1"/>
  <c r="V216" i="84"/>
  <c r="V216" i="80" s="1"/>
  <c r="E213" i="84"/>
  <c r="G213" i="64" s="1"/>
  <c r="E214" i="84"/>
  <c r="G214" i="64" s="1"/>
  <c r="E215" i="84"/>
  <c r="G215" i="64" s="1"/>
  <c r="E216" i="84"/>
  <c r="E216" i="80" s="1"/>
  <c r="E212" i="84"/>
  <c r="G212" i="64" s="1"/>
  <c r="F206" i="84"/>
  <c r="G206"/>
  <c r="H206"/>
  <c r="I206"/>
  <c r="J206"/>
  <c r="K206"/>
  <c r="L206"/>
  <c r="M206"/>
  <c r="N206"/>
  <c r="O206"/>
  <c r="P206"/>
  <c r="Q206"/>
  <c r="R206"/>
  <c r="S206"/>
  <c r="T206"/>
  <c r="F207"/>
  <c r="G207"/>
  <c r="H207"/>
  <c r="I207"/>
  <c r="J207"/>
  <c r="K207"/>
  <c r="L207"/>
  <c r="M207"/>
  <c r="N207"/>
  <c r="O207"/>
  <c r="P207"/>
  <c r="Q207"/>
  <c r="R207"/>
  <c r="S207"/>
  <c r="T207"/>
  <c r="F208"/>
  <c r="G208"/>
  <c r="H208"/>
  <c r="I208"/>
  <c r="J208"/>
  <c r="K208"/>
  <c r="L208"/>
  <c r="M208"/>
  <c r="N208"/>
  <c r="O208"/>
  <c r="P208"/>
  <c r="Q208"/>
  <c r="R208"/>
  <c r="S208"/>
  <c r="T208"/>
  <c r="F209"/>
  <c r="G209"/>
  <c r="H209"/>
  <c r="I209"/>
  <c r="J209"/>
  <c r="K209"/>
  <c r="L209"/>
  <c r="M209"/>
  <c r="N209"/>
  <c r="O209"/>
  <c r="P209"/>
  <c r="Q209"/>
  <c r="R209"/>
  <c r="S209"/>
  <c r="T209"/>
  <c r="E207"/>
  <c r="E208"/>
  <c r="G208" i="64" s="1"/>
  <c r="E209" i="84"/>
  <c r="E206"/>
  <c r="G206" i="64" s="1"/>
  <c r="E179" i="84"/>
  <c r="F179"/>
  <c r="G179"/>
  <c r="H179"/>
  <c r="I179"/>
  <c r="J179"/>
  <c r="K179"/>
  <c r="L179"/>
  <c r="M179"/>
  <c r="N179"/>
  <c r="O179"/>
  <c r="P179"/>
  <c r="Q179"/>
  <c r="R179"/>
  <c r="S179"/>
  <c r="T179"/>
  <c r="T179" i="80" s="1"/>
  <c r="U179" i="84"/>
  <c r="V179"/>
  <c r="E180"/>
  <c r="F180"/>
  <c r="G180"/>
  <c r="H180"/>
  <c r="I180"/>
  <c r="J180"/>
  <c r="K180"/>
  <c r="L180"/>
  <c r="M180"/>
  <c r="N180"/>
  <c r="O180"/>
  <c r="P180"/>
  <c r="Q180"/>
  <c r="R180"/>
  <c r="S180"/>
  <c r="T180"/>
  <c r="T180" i="80" s="1"/>
  <c r="U180" i="84"/>
  <c r="V180"/>
  <c r="E181"/>
  <c r="F181"/>
  <c r="G181"/>
  <c r="H181"/>
  <c r="I181"/>
  <c r="J181"/>
  <c r="K181"/>
  <c r="L181"/>
  <c r="M181"/>
  <c r="N181"/>
  <c r="O181"/>
  <c r="P181"/>
  <c r="Q181"/>
  <c r="R181"/>
  <c r="S181"/>
  <c r="T181"/>
  <c r="T181" i="80" s="1"/>
  <c r="U181" i="84"/>
  <c r="V181"/>
  <c r="E182"/>
  <c r="F182"/>
  <c r="G182"/>
  <c r="H182"/>
  <c r="I182"/>
  <c r="J182"/>
  <c r="K182"/>
  <c r="L182"/>
  <c r="M182"/>
  <c r="N182"/>
  <c r="O182"/>
  <c r="P182"/>
  <c r="Q182"/>
  <c r="R182"/>
  <c r="S182"/>
  <c r="T182"/>
  <c r="T182" i="80" s="1"/>
  <c r="U182" i="84"/>
  <c r="V182"/>
  <c r="E183"/>
  <c r="F183"/>
  <c r="G183"/>
  <c r="H183"/>
  <c r="I183"/>
  <c r="J183"/>
  <c r="K183"/>
  <c r="L183"/>
  <c r="M183"/>
  <c r="N183"/>
  <c r="O183"/>
  <c r="P183"/>
  <c r="Q183"/>
  <c r="R183"/>
  <c r="S183"/>
  <c r="T183"/>
  <c r="T183" i="80" s="1"/>
  <c r="U183" i="84"/>
  <c r="V183"/>
  <c r="E184"/>
  <c r="F184"/>
  <c r="G184"/>
  <c r="H184"/>
  <c r="I184"/>
  <c r="J184"/>
  <c r="K184"/>
  <c r="L184"/>
  <c r="M184"/>
  <c r="N184"/>
  <c r="O184"/>
  <c r="P184"/>
  <c r="Q184"/>
  <c r="R184"/>
  <c r="S184"/>
  <c r="T184"/>
  <c r="T184" i="80" s="1"/>
  <c r="U184" i="84"/>
  <c r="V184"/>
  <c r="E185"/>
  <c r="F185"/>
  <c r="G185"/>
  <c r="H185"/>
  <c r="I185"/>
  <c r="J185"/>
  <c r="K185"/>
  <c r="L185"/>
  <c r="M185"/>
  <c r="N185"/>
  <c r="O185"/>
  <c r="P185"/>
  <c r="Q185"/>
  <c r="R185"/>
  <c r="S185"/>
  <c r="T185"/>
  <c r="T185" i="80" s="1"/>
  <c r="U185" i="84"/>
  <c r="V185"/>
  <c r="E186"/>
  <c r="F186"/>
  <c r="G186"/>
  <c r="H186"/>
  <c r="I186"/>
  <c r="J186"/>
  <c r="K186"/>
  <c r="L186"/>
  <c r="M186"/>
  <c r="N186"/>
  <c r="O186"/>
  <c r="P186"/>
  <c r="Q186"/>
  <c r="R186"/>
  <c r="S186"/>
  <c r="T186"/>
  <c r="T186" i="80" s="1"/>
  <c r="U186" i="84"/>
  <c r="V186"/>
  <c r="E187"/>
  <c r="F187"/>
  <c r="G187"/>
  <c r="H187"/>
  <c r="I187"/>
  <c r="J187"/>
  <c r="K187"/>
  <c r="L187"/>
  <c r="M187"/>
  <c r="N187"/>
  <c r="O187"/>
  <c r="P187"/>
  <c r="Q187"/>
  <c r="R187"/>
  <c r="S187"/>
  <c r="T187"/>
  <c r="T187" i="80" s="1"/>
  <c r="U187" i="84"/>
  <c r="V187"/>
  <c r="E188"/>
  <c r="F188"/>
  <c r="G188"/>
  <c r="H188"/>
  <c r="I188"/>
  <c r="J188"/>
  <c r="K188"/>
  <c r="L188"/>
  <c r="M188"/>
  <c r="N188"/>
  <c r="O188"/>
  <c r="P188"/>
  <c r="Q188"/>
  <c r="R188"/>
  <c r="S188"/>
  <c r="T188"/>
  <c r="T188" i="80" s="1"/>
  <c r="U188" i="84"/>
  <c r="V188"/>
  <c r="E189"/>
  <c r="F189"/>
  <c r="G189"/>
  <c r="H189"/>
  <c r="I189"/>
  <c r="J189"/>
  <c r="K189"/>
  <c r="L189"/>
  <c r="M189"/>
  <c r="N189"/>
  <c r="O189"/>
  <c r="P189"/>
  <c r="Q189"/>
  <c r="R189"/>
  <c r="S189"/>
  <c r="T189"/>
  <c r="T189" i="80" s="1"/>
  <c r="U189" i="84"/>
  <c r="V189"/>
  <c r="E190"/>
  <c r="F190"/>
  <c r="G190"/>
  <c r="H190"/>
  <c r="I190"/>
  <c r="J190"/>
  <c r="K190"/>
  <c r="L190"/>
  <c r="M190"/>
  <c r="N190"/>
  <c r="O190"/>
  <c r="P190"/>
  <c r="Q190"/>
  <c r="R190"/>
  <c r="S190"/>
  <c r="T190"/>
  <c r="T190" i="80" s="1"/>
  <c r="U190" i="84"/>
  <c r="V190"/>
  <c r="E191"/>
  <c r="F191"/>
  <c r="G191"/>
  <c r="H191"/>
  <c r="I191"/>
  <c r="J191"/>
  <c r="K191"/>
  <c r="L191"/>
  <c r="M191"/>
  <c r="N191"/>
  <c r="O191"/>
  <c r="P191"/>
  <c r="Q191"/>
  <c r="R191"/>
  <c r="S191"/>
  <c r="T191"/>
  <c r="T191" i="80" s="1"/>
  <c r="U191" i="84"/>
  <c r="V191"/>
  <c r="E192"/>
  <c r="F192"/>
  <c r="G192"/>
  <c r="H192"/>
  <c r="I192"/>
  <c r="J192"/>
  <c r="K192"/>
  <c r="L192"/>
  <c r="M192"/>
  <c r="N192"/>
  <c r="O192"/>
  <c r="P192"/>
  <c r="Q192"/>
  <c r="R192"/>
  <c r="S192"/>
  <c r="T192"/>
  <c r="T192" i="80" s="1"/>
  <c r="U192" i="84"/>
  <c r="V192"/>
  <c r="E193"/>
  <c r="F193"/>
  <c r="G193"/>
  <c r="H193"/>
  <c r="I193"/>
  <c r="J193"/>
  <c r="K193"/>
  <c r="L193"/>
  <c r="M193"/>
  <c r="N193"/>
  <c r="O193"/>
  <c r="P193"/>
  <c r="Q193"/>
  <c r="R193"/>
  <c r="S193"/>
  <c r="T193"/>
  <c r="T193" i="80" s="1"/>
  <c r="U193" i="84"/>
  <c r="V193"/>
  <c r="E194"/>
  <c r="F194"/>
  <c r="G194"/>
  <c r="H194"/>
  <c r="I194"/>
  <c r="J194"/>
  <c r="K194"/>
  <c r="L194"/>
  <c r="M194"/>
  <c r="N194"/>
  <c r="O194"/>
  <c r="P194"/>
  <c r="Q194"/>
  <c r="R194"/>
  <c r="S194"/>
  <c r="T194"/>
  <c r="T194" i="80" s="1"/>
  <c r="U194" i="84"/>
  <c r="V194"/>
  <c r="E195"/>
  <c r="F195"/>
  <c r="G195"/>
  <c r="H195"/>
  <c r="I195"/>
  <c r="J195"/>
  <c r="K195"/>
  <c r="L195"/>
  <c r="M195"/>
  <c r="N195"/>
  <c r="O195"/>
  <c r="P195"/>
  <c r="Q195"/>
  <c r="R195"/>
  <c r="S195"/>
  <c r="T195"/>
  <c r="T195" i="80" s="1"/>
  <c r="U195" i="84"/>
  <c r="V195"/>
  <c r="E196"/>
  <c r="F196"/>
  <c r="G196"/>
  <c r="H196"/>
  <c r="I196"/>
  <c r="J196"/>
  <c r="K196"/>
  <c r="L196"/>
  <c r="M196"/>
  <c r="N196"/>
  <c r="O196"/>
  <c r="P196"/>
  <c r="Q196"/>
  <c r="R196"/>
  <c r="S196"/>
  <c r="T196"/>
  <c r="T196" i="80" s="1"/>
  <c r="U196" i="84"/>
  <c r="V196"/>
  <c r="E197"/>
  <c r="F197"/>
  <c r="G197"/>
  <c r="H197"/>
  <c r="I197"/>
  <c r="J197"/>
  <c r="K197"/>
  <c r="L197"/>
  <c r="M197"/>
  <c r="N197"/>
  <c r="O197"/>
  <c r="P197"/>
  <c r="Q197"/>
  <c r="R197"/>
  <c r="S197"/>
  <c r="T197"/>
  <c r="T197" i="80" s="1"/>
  <c r="U197" i="84"/>
  <c r="V197"/>
  <c r="E198"/>
  <c r="F198"/>
  <c r="G198"/>
  <c r="H198"/>
  <c r="I198"/>
  <c r="J198"/>
  <c r="K198"/>
  <c r="L198"/>
  <c r="M198"/>
  <c r="N198"/>
  <c r="O198"/>
  <c r="P198"/>
  <c r="Q198"/>
  <c r="R198"/>
  <c r="S198"/>
  <c r="T198"/>
  <c r="T198" i="80" s="1"/>
  <c r="U198" i="84"/>
  <c r="V198"/>
  <c r="E199"/>
  <c r="F199"/>
  <c r="G199"/>
  <c r="H199"/>
  <c r="I199"/>
  <c r="J199"/>
  <c r="K199"/>
  <c r="L199"/>
  <c r="M199"/>
  <c r="N199"/>
  <c r="O199"/>
  <c r="P199"/>
  <c r="Q199"/>
  <c r="R199"/>
  <c r="S199"/>
  <c r="T199"/>
  <c r="T199" i="80" s="1"/>
  <c r="U199" i="84"/>
  <c r="V199"/>
  <c r="E200"/>
  <c r="F200"/>
  <c r="G200"/>
  <c r="H200"/>
  <c r="I200"/>
  <c r="J200"/>
  <c r="K200"/>
  <c r="L200"/>
  <c r="M200"/>
  <c r="N200"/>
  <c r="O200"/>
  <c r="P200"/>
  <c r="Q200"/>
  <c r="R200"/>
  <c r="S200"/>
  <c r="T200"/>
  <c r="T200" i="80" s="1"/>
  <c r="U200" i="84"/>
  <c r="V200"/>
  <c r="E201"/>
  <c r="F201"/>
  <c r="G201"/>
  <c r="H201"/>
  <c r="I201"/>
  <c r="J201"/>
  <c r="K201"/>
  <c r="L201"/>
  <c r="M201"/>
  <c r="N201"/>
  <c r="O201"/>
  <c r="P201"/>
  <c r="Q201"/>
  <c r="R201"/>
  <c r="S201"/>
  <c r="T201"/>
  <c r="T201" i="80" s="1"/>
  <c r="U201" i="84"/>
  <c r="V201"/>
  <c r="E202"/>
  <c r="F202"/>
  <c r="G202"/>
  <c r="H202"/>
  <c r="I202"/>
  <c r="J202"/>
  <c r="K202"/>
  <c r="L202"/>
  <c r="M202"/>
  <c r="N202"/>
  <c r="O202"/>
  <c r="P202"/>
  <c r="Q202"/>
  <c r="R202"/>
  <c r="S202"/>
  <c r="T202"/>
  <c r="T202" i="80" s="1"/>
  <c r="U202" i="84"/>
  <c r="V202"/>
  <c r="E203"/>
  <c r="F203"/>
  <c r="G203"/>
  <c r="H203"/>
  <c r="I203"/>
  <c r="J203"/>
  <c r="K203"/>
  <c r="L203"/>
  <c r="M203"/>
  <c r="N203"/>
  <c r="O203"/>
  <c r="P203"/>
  <c r="Q203"/>
  <c r="R203"/>
  <c r="S203"/>
  <c r="T203"/>
  <c r="T203" i="80" s="1"/>
  <c r="U203" i="84"/>
  <c r="V203"/>
  <c r="F178"/>
  <c r="G178"/>
  <c r="H178"/>
  <c r="I178"/>
  <c r="J178"/>
  <c r="K178"/>
  <c r="L178"/>
  <c r="M178"/>
  <c r="N178"/>
  <c r="O178"/>
  <c r="P178"/>
  <c r="Q178"/>
  <c r="R178"/>
  <c r="S178"/>
  <c r="T178"/>
  <c r="T178" i="80" s="1"/>
  <c r="U178" i="84"/>
  <c r="V178"/>
  <c r="E178"/>
  <c r="G178" i="64" s="1"/>
  <c r="E52" i="84"/>
  <c r="F52"/>
  <c r="G52"/>
  <c r="H52"/>
  <c r="I52"/>
  <c r="J52"/>
  <c r="K52"/>
  <c r="L52"/>
  <c r="M52"/>
  <c r="N52"/>
  <c r="O52"/>
  <c r="P52"/>
  <c r="Q52"/>
  <c r="R52"/>
  <c r="S52"/>
  <c r="T52"/>
  <c r="T52" i="80" s="1"/>
  <c r="U52" i="84"/>
  <c r="V52"/>
  <c r="E53"/>
  <c r="F53"/>
  <c r="G53"/>
  <c r="H53"/>
  <c r="I53"/>
  <c r="J53"/>
  <c r="K53"/>
  <c r="L53"/>
  <c r="M53"/>
  <c r="N53"/>
  <c r="O53"/>
  <c r="P53"/>
  <c r="Q53"/>
  <c r="R53"/>
  <c r="S53"/>
  <c r="T53"/>
  <c r="T53" i="80" s="1"/>
  <c r="U53" i="84"/>
  <c r="V53"/>
  <c r="E54"/>
  <c r="F54"/>
  <c r="G54"/>
  <c r="H54"/>
  <c r="I54"/>
  <c r="J54"/>
  <c r="K54"/>
  <c r="L54"/>
  <c r="M54"/>
  <c r="N54"/>
  <c r="O54"/>
  <c r="P54"/>
  <c r="Q54"/>
  <c r="R54"/>
  <c r="S54"/>
  <c r="T54"/>
  <c r="T54" i="80" s="1"/>
  <c r="U54" i="84"/>
  <c r="V54"/>
  <c r="E55"/>
  <c r="F55"/>
  <c r="G55"/>
  <c r="H55"/>
  <c r="I55"/>
  <c r="J55"/>
  <c r="K55"/>
  <c r="L55"/>
  <c r="M55"/>
  <c r="N55"/>
  <c r="O55"/>
  <c r="P55"/>
  <c r="Q55"/>
  <c r="R55"/>
  <c r="S55"/>
  <c r="T55"/>
  <c r="T55" i="80" s="1"/>
  <c r="U55" i="84"/>
  <c r="V55"/>
  <c r="E56"/>
  <c r="F56"/>
  <c r="G56"/>
  <c r="H56"/>
  <c r="I56"/>
  <c r="J56"/>
  <c r="K56"/>
  <c r="L56"/>
  <c r="M56"/>
  <c r="N56"/>
  <c r="O56"/>
  <c r="P56"/>
  <c r="Q56"/>
  <c r="R56"/>
  <c r="S56"/>
  <c r="T56"/>
  <c r="T56" i="80" s="1"/>
  <c r="U56" i="84"/>
  <c r="V56"/>
  <c r="E57"/>
  <c r="F57"/>
  <c r="G57"/>
  <c r="H57"/>
  <c r="I57"/>
  <c r="J57"/>
  <c r="K57"/>
  <c r="L57"/>
  <c r="M57"/>
  <c r="N57"/>
  <c r="O57"/>
  <c r="P57"/>
  <c r="Q57"/>
  <c r="R57"/>
  <c r="S57"/>
  <c r="T57"/>
  <c r="T57" i="80" s="1"/>
  <c r="U57" i="84"/>
  <c r="V57"/>
  <c r="E58"/>
  <c r="F58"/>
  <c r="G58"/>
  <c r="H58"/>
  <c r="I58"/>
  <c r="J58"/>
  <c r="K58"/>
  <c r="L58"/>
  <c r="M58"/>
  <c r="N58"/>
  <c r="O58"/>
  <c r="P58"/>
  <c r="Q58"/>
  <c r="R58"/>
  <c r="S58"/>
  <c r="T58"/>
  <c r="T58" i="80" s="1"/>
  <c r="U58" i="84"/>
  <c r="V58"/>
  <c r="E59"/>
  <c r="F59"/>
  <c r="G59"/>
  <c r="H59"/>
  <c r="I59"/>
  <c r="J59"/>
  <c r="K59"/>
  <c r="L59"/>
  <c r="M59"/>
  <c r="N59"/>
  <c r="O59"/>
  <c r="P59"/>
  <c r="Q59"/>
  <c r="R59"/>
  <c r="S59"/>
  <c r="T59"/>
  <c r="T59" i="80" s="1"/>
  <c r="U59" i="84"/>
  <c r="V59"/>
  <c r="E60"/>
  <c r="F60"/>
  <c r="G60"/>
  <c r="H60"/>
  <c r="I60"/>
  <c r="J60"/>
  <c r="K60"/>
  <c r="L60"/>
  <c r="M60"/>
  <c r="N60"/>
  <c r="O60"/>
  <c r="P60"/>
  <c r="Q60"/>
  <c r="R60"/>
  <c r="S60"/>
  <c r="T60"/>
  <c r="T60" i="80" s="1"/>
  <c r="U60" i="84"/>
  <c r="V60"/>
  <c r="E61"/>
  <c r="F61"/>
  <c r="G61"/>
  <c r="H61"/>
  <c r="I61"/>
  <c r="J61"/>
  <c r="K61"/>
  <c r="L61"/>
  <c r="M61"/>
  <c r="N61"/>
  <c r="O61"/>
  <c r="P61"/>
  <c r="Q61"/>
  <c r="R61"/>
  <c r="S61"/>
  <c r="T61"/>
  <c r="T61" i="80" s="1"/>
  <c r="U61" i="84"/>
  <c r="V61"/>
  <c r="E62"/>
  <c r="F62"/>
  <c r="G62"/>
  <c r="H62"/>
  <c r="I62"/>
  <c r="J62"/>
  <c r="K62"/>
  <c r="L62"/>
  <c r="M62"/>
  <c r="N62"/>
  <c r="O62"/>
  <c r="P62"/>
  <c r="Q62"/>
  <c r="R62"/>
  <c r="S62"/>
  <c r="T62"/>
  <c r="T62" i="80" s="1"/>
  <c r="U62" i="84"/>
  <c r="V62"/>
  <c r="E63"/>
  <c r="F63"/>
  <c r="G63"/>
  <c r="H63"/>
  <c r="I63"/>
  <c r="J63"/>
  <c r="K63"/>
  <c r="L63"/>
  <c r="M63"/>
  <c r="N63"/>
  <c r="O63"/>
  <c r="P63"/>
  <c r="Q63"/>
  <c r="R63"/>
  <c r="S63"/>
  <c r="T63"/>
  <c r="T63" i="80" s="1"/>
  <c r="U63" i="84"/>
  <c r="V63"/>
  <c r="E64"/>
  <c r="F64"/>
  <c r="G64"/>
  <c r="H64"/>
  <c r="I64"/>
  <c r="J64"/>
  <c r="K64"/>
  <c r="L64"/>
  <c r="M64"/>
  <c r="N64"/>
  <c r="O64"/>
  <c r="P64"/>
  <c r="Q64"/>
  <c r="R64"/>
  <c r="S64"/>
  <c r="T64"/>
  <c r="T64" i="80" s="1"/>
  <c r="U64" i="84"/>
  <c r="V64"/>
  <c r="E65"/>
  <c r="F65"/>
  <c r="G65"/>
  <c r="H65"/>
  <c r="I65"/>
  <c r="J65"/>
  <c r="K65"/>
  <c r="L65"/>
  <c r="M65"/>
  <c r="N65"/>
  <c r="O65"/>
  <c r="P65"/>
  <c r="Q65"/>
  <c r="R65"/>
  <c r="S65"/>
  <c r="T65"/>
  <c r="T65" i="80" s="1"/>
  <c r="U65" i="84"/>
  <c r="V65"/>
  <c r="E66"/>
  <c r="F66"/>
  <c r="G66"/>
  <c r="H66"/>
  <c r="I66"/>
  <c r="J66"/>
  <c r="K66"/>
  <c r="L66"/>
  <c r="M66"/>
  <c r="N66"/>
  <c r="O66"/>
  <c r="P66"/>
  <c r="Q66"/>
  <c r="R66"/>
  <c r="S66"/>
  <c r="T66"/>
  <c r="T66" i="80" s="1"/>
  <c r="U66" i="84"/>
  <c r="V66"/>
  <c r="E67"/>
  <c r="F67"/>
  <c r="G67"/>
  <c r="H67"/>
  <c r="I67"/>
  <c r="J67"/>
  <c r="K67"/>
  <c r="L67"/>
  <c r="M67"/>
  <c r="N67"/>
  <c r="O67"/>
  <c r="P67"/>
  <c r="Q67"/>
  <c r="R67"/>
  <c r="S67"/>
  <c r="T67"/>
  <c r="T67" i="80" s="1"/>
  <c r="U67" i="84"/>
  <c r="V67"/>
  <c r="E68"/>
  <c r="F68"/>
  <c r="G68"/>
  <c r="H68"/>
  <c r="I68"/>
  <c r="J68"/>
  <c r="K68"/>
  <c r="L68"/>
  <c r="M68"/>
  <c r="N68"/>
  <c r="O68"/>
  <c r="P68"/>
  <c r="Q68"/>
  <c r="R68"/>
  <c r="S68"/>
  <c r="T68"/>
  <c r="T68" i="80" s="1"/>
  <c r="U68" i="84"/>
  <c r="V68"/>
  <c r="E69"/>
  <c r="F69"/>
  <c r="G69"/>
  <c r="H69"/>
  <c r="I69"/>
  <c r="J69"/>
  <c r="K69"/>
  <c r="L69"/>
  <c r="M69"/>
  <c r="N69"/>
  <c r="O69"/>
  <c r="P69"/>
  <c r="Q69"/>
  <c r="R69"/>
  <c r="S69"/>
  <c r="T69"/>
  <c r="T69" i="80" s="1"/>
  <c r="U69" i="84"/>
  <c r="V69"/>
  <c r="E70"/>
  <c r="F70"/>
  <c r="G70"/>
  <c r="H70"/>
  <c r="I70"/>
  <c r="J70"/>
  <c r="K70"/>
  <c r="L70"/>
  <c r="M70"/>
  <c r="N70"/>
  <c r="O70"/>
  <c r="P70"/>
  <c r="Q70"/>
  <c r="R70"/>
  <c r="S70"/>
  <c r="T70"/>
  <c r="T70" i="80" s="1"/>
  <c r="U70" i="84"/>
  <c r="V70"/>
  <c r="E71"/>
  <c r="F71"/>
  <c r="G71"/>
  <c r="H71"/>
  <c r="I71"/>
  <c r="J71"/>
  <c r="K71"/>
  <c r="L71"/>
  <c r="M71"/>
  <c r="N71"/>
  <c r="O71"/>
  <c r="P71"/>
  <c r="Q71"/>
  <c r="R71"/>
  <c r="S71"/>
  <c r="T71"/>
  <c r="T71" i="80" s="1"/>
  <c r="U71" i="84"/>
  <c r="V71"/>
  <c r="E72"/>
  <c r="F72"/>
  <c r="G72"/>
  <c r="H72"/>
  <c r="I72"/>
  <c r="J72"/>
  <c r="K72"/>
  <c r="L72"/>
  <c r="M72"/>
  <c r="N72"/>
  <c r="O72"/>
  <c r="P72"/>
  <c r="Q72"/>
  <c r="R72"/>
  <c r="S72"/>
  <c r="T72"/>
  <c r="T72" i="80" s="1"/>
  <c r="U72" i="84"/>
  <c r="V72"/>
  <c r="E73"/>
  <c r="F73"/>
  <c r="G73"/>
  <c r="H73"/>
  <c r="I73"/>
  <c r="J73"/>
  <c r="K73"/>
  <c r="L73"/>
  <c r="M73"/>
  <c r="N73"/>
  <c r="O73"/>
  <c r="P73"/>
  <c r="Q73"/>
  <c r="R73"/>
  <c r="S73"/>
  <c r="T73"/>
  <c r="T73" i="80" s="1"/>
  <c r="U73" i="84"/>
  <c r="V73"/>
  <c r="E74"/>
  <c r="F74"/>
  <c r="G74"/>
  <c r="H74"/>
  <c r="I74"/>
  <c r="J74"/>
  <c r="K74"/>
  <c r="L74"/>
  <c r="M74"/>
  <c r="N74"/>
  <c r="O74"/>
  <c r="P74"/>
  <c r="Q74"/>
  <c r="R74"/>
  <c r="S74"/>
  <c r="T74"/>
  <c r="T74" i="80" s="1"/>
  <c r="U74" i="84"/>
  <c r="V74"/>
  <c r="E75"/>
  <c r="F75"/>
  <c r="G75"/>
  <c r="H75"/>
  <c r="I75"/>
  <c r="J75"/>
  <c r="K75"/>
  <c r="L75"/>
  <c r="M75"/>
  <c r="N75"/>
  <c r="O75"/>
  <c r="P75"/>
  <c r="Q75"/>
  <c r="R75"/>
  <c r="S75"/>
  <c r="T75"/>
  <c r="T75" i="80" s="1"/>
  <c r="U75" i="84"/>
  <c r="V75"/>
  <c r="E76"/>
  <c r="F76"/>
  <c r="G76"/>
  <c r="H76"/>
  <c r="I76"/>
  <c r="J76"/>
  <c r="K76"/>
  <c r="L76"/>
  <c r="M76"/>
  <c r="N76"/>
  <c r="O76"/>
  <c r="P76"/>
  <c r="Q76"/>
  <c r="R76"/>
  <c r="S76"/>
  <c r="T76"/>
  <c r="T76" i="80" s="1"/>
  <c r="U76" i="84"/>
  <c r="V76"/>
  <c r="E77"/>
  <c r="F77"/>
  <c r="G77"/>
  <c r="H77"/>
  <c r="I77"/>
  <c r="J77"/>
  <c r="K77"/>
  <c r="L77"/>
  <c r="M77"/>
  <c r="N77"/>
  <c r="O77"/>
  <c r="P77"/>
  <c r="Q77"/>
  <c r="R77"/>
  <c r="S77"/>
  <c r="T77"/>
  <c r="T77" i="80" s="1"/>
  <c r="U77" i="84"/>
  <c r="V77"/>
  <c r="E78"/>
  <c r="F78"/>
  <c r="G78"/>
  <c r="H78"/>
  <c r="I78"/>
  <c r="J78"/>
  <c r="K78"/>
  <c r="L78"/>
  <c r="M78"/>
  <c r="N78"/>
  <c r="O78"/>
  <c r="P78"/>
  <c r="Q78"/>
  <c r="R78"/>
  <c r="S78"/>
  <c r="T78"/>
  <c r="T78" i="80" s="1"/>
  <c r="U78" i="84"/>
  <c r="V78"/>
  <c r="E79"/>
  <c r="F79"/>
  <c r="G79"/>
  <c r="H79"/>
  <c r="I79"/>
  <c r="J79"/>
  <c r="K79"/>
  <c r="L79"/>
  <c r="M79"/>
  <c r="N79"/>
  <c r="O79"/>
  <c r="P79"/>
  <c r="Q79"/>
  <c r="R79"/>
  <c r="S79"/>
  <c r="T79"/>
  <c r="T79" i="80" s="1"/>
  <c r="U79" i="84"/>
  <c r="V79"/>
  <c r="E80"/>
  <c r="F80"/>
  <c r="G80"/>
  <c r="H80"/>
  <c r="I80"/>
  <c r="J80"/>
  <c r="K80"/>
  <c r="L80"/>
  <c r="M80"/>
  <c r="N80"/>
  <c r="O80"/>
  <c r="P80"/>
  <c r="Q80"/>
  <c r="R80"/>
  <c r="S80"/>
  <c r="T80"/>
  <c r="T80" i="80" s="1"/>
  <c r="U80" i="84"/>
  <c r="V80"/>
  <c r="E81"/>
  <c r="F81"/>
  <c r="G81"/>
  <c r="H81"/>
  <c r="I81"/>
  <c r="J81"/>
  <c r="K81"/>
  <c r="L81"/>
  <c r="M81"/>
  <c r="N81"/>
  <c r="O81"/>
  <c r="P81"/>
  <c r="Q81"/>
  <c r="R81"/>
  <c r="S81"/>
  <c r="T81"/>
  <c r="T81" i="80" s="1"/>
  <c r="U81" i="84"/>
  <c r="V81"/>
  <c r="E82"/>
  <c r="F82"/>
  <c r="G82"/>
  <c r="H82"/>
  <c r="I82"/>
  <c r="J82"/>
  <c r="K82"/>
  <c r="L82"/>
  <c r="M82"/>
  <c r="N82"/>
  <c r="O82"/>
  <c r="P82"/>
  <c r="Q82"/>
  <c r="R82"/>
  <c r="S82"/>
  <c r="T82"/>
  <c r="T82" i="80" s="1"/>
  <c r="U82" i="84"/>
  <c r="V82"/>
  <c r="E83"/>
  <c r="F83"/>
  <c r="G83"/>
  <c r="H83"/>
  <c r="I83"/>
  <c r="J83"/>
  <c r="K83"/>
  <c r="L83"/>
  <c r="M83"/>
  <c r="N83"/>
  <c r="O83"/>
  <c r="P83"/>
  <c r="Q83"/>
  <c r="R83"/>
  <c r="S83"/>
  <c r="T83"/>
  <c r="T83" i="80" s="1"/>
  <c r="U83" i="84"/>
  <c r="V83"/>
  <c r="E84"/>
  <c r="F84"/>
  <c r="G84"/>
  <c r="H84"/>
  <c r="I84"/>
  <c r="J84"/>
  <c r="K84"/>
  <c r="L84"/>
  <c r="M84"/>
  <c r="N84"/>
  <c r="O84"/>
  <c r="P84"/>
  <c r="Q84"/>
  <c r="R84"/>
  <c r="S84"/>
  <c r="T84"/>
  <c r="T84" i="80" s="1"/>
  <c r="U84" i="84"/>
  <c r="V84"/>
  <c r="E85"/>
  <c r="F85"/>
  <c r="G85"/>
  <c r="H85"/>
  <c r="I85"/>
  <c r="J85"/>
  <c r="K85"/>
  <c r="L85"/>
  <c r="M85"/>
  <c r="N85"/>
  <c r="O85"/>
  <c r="P85"/>
  <c r="Q85"/>
  <c r="R85"/>
  <c r="S85"/>
  <c r="T85"/>
  <c r="T85" i="80" s="1"/>
  <c r="U85" i="84"/>
  <c r="V85"/>
  <c r="E86"/>
  <c r="F86"/>
  <c r="G86"/>
  <c r="H86"/>
  <c r="I86"/>
  <c r="J86"/>
  <c r="K86"/>
  <c r="L86"/>
  <c r="M86"/>
  <c r="N86"/>
  <c r="O86"/>
  <c r="P86"/>
  <c r="Q86"/>
  <c r="R86"/>
  <c r="S86"/>
  <c r="T86"/>
  <c r="T86" i="80" s="1"/>
  <c r="U86" i="84"/>
  <c r="V86"/>
  <c r="E87"/>
  <c r="F87"/>
  <c r="G87"/>
  <c r="H87"/>
  <c r="I87"/>
  <c r="J87"/>
  <c r="K87"/>
  <c r="L87"/>
  <c r="M87"/>
  <c r="N87"/>
  <c r="O87"/>
  <c r="P87"/>
  <c r="Q87"/>
  <c r="R87"/>
  <c r="S87"/>
  <c r="T87"/>
  <c r="T87" i="80" s="1"/>
  <c r="U87" i="84"/>
  <c r="V87"/>
  <c r="E88"/>
  <c r="F88"/>
  <c r="G88"/>
  <c r="H88"/>
  <c r="I88"/>
  <c r="J88"/>
  <c r="K88"/>
  <c r="L88"/>
  <c r="M88"/>
  <c r="N88"/>
  <c r="O88"/>
  <c r="P88"/>
  <c r="Q88"/>
  <c r="R88"/>
  <c r="S88"/>
  <c r="T88"/>
  <c r="T88" i="80" s="1"/>
  <c r="U88" i="84"/>
  <c r="V88"/>
  <c r="E89"/>
  <c r="F89"/>
  <c r="G89"/>
  <c r="H89"/>
  <c r="I89"/>
  <c r="J89"/>
  <c r="K89"/>
  <c r="L89"/>
  <c r="M89"/>
  <c r="N89"/>
  <c r="O89"/>
  <c r="P89"/>
  <c r="Q89"/>
  <c r="R89"/>
  <c r="S89"/>
  <c r="T89"/>
  <c r="T89" i="80" s="1"/>
  <c r="U89" i="84"/>
  <c r="V89"/>
  <c r="E90"/>
  <c r="F90"/>
  <c r="G90"/>
  <c r="H90"/>
  <c r="I90"/>
  <c r="J90"/>
  <c r="K90"/>
  <c r="L90"/>
  <c r="M90"/>
  <c r="N90"/>
  <c r="O90"/>
  <c r="P90"/>
  <c r="Q90"/>
  <c r="R90"/>
  <c r="S90"/>
  <c r="T90"/>
  <c r="T90" i="80" s="1"/>
  <c r="U90" i="84"/>
  <c r="V90"/>
  <c r="E91"/>
  <c r="F91"/>
  <c r="G91"/>
  <c r="H91"/>
  <c r="I91"/>
  <c r="J91"/>
  <c r="K91"/>
  <c r="L91"/>
  <c r="M91"/>
  <c r="N91"/>
  <c r="O91"/>
  <c r="P91"/>
  <c r="Q91"/>
  <c r="R91"/>
  <c r="S91"/>
  <c r="T91"/>
  <c r="T91" i="80" s="1"/>
  <c r="U91" i="84"/>
  <c r="V91"/>
  <c r="E92"/>
  <c r="F92"/>
  <c r="G92"/>
  <c r="H92"/>
  <c r="I92"/>
  <c r="J92"/>
  <c r="K92"/>
  <c r="L92"/>
  <c r="M92"/>
  <c r="N92"/>
  <c r="O92"/>
  <c r="P92"/>
  <c r="Q92"/>
  <c r="R92"/>
  <c r="S92"/>
  <c r="T92"/>
  <c r="T92" i="80" s="1"/>
  <c r="U92" i="84"/>
  <c r="V92"/>
  <c r="E93"/>
  <c r="F93"/>
  <c r="G93"/>
  <c r="H93"/>
  <c r="I93"/>
  <c r="J93"/>
  <c r="K93"/>
  <c r="L93"/>
  <c r="M93"/>
  <c r="N93"/>
  <c r="O93"/>
  <c r="P93"/>
  <c r="Q93"/>
  <c r="R93"/>
  <c r="S93"/>
  <c r="T93"/>
  <c r="T93" i="80" s="1"/>
  <c r="U93" i="84"/>
  <c r="V93"/>
  <c r="E94"/>
  <c r="F94"/>
  <c r="G94"/>
  <c r="H94"/>
  <c r="I94"/>
  <c r="J94"/>
  <c r="K94"/>
  <c r="L94"/>
  <c r="M94"/>
  <c r="N94"/>
  <c r="O94"/>
  <c r="P94"/>
  <c r="Q94"/>
  <c r="R94"/>
  <c r="S94"/>
  <c r="T94"/>
  <c r="T94" i="80" s="1"/>
  <c r="U94" i="84"/>
  <c r="V94"/>
  <c r="E95"/>
  <c r="F95"/>
  <c r="G95"/>
  <c r="H95"/>
  <c r="I95"/>
  <c r="J95"/>
  <c r="K95"/>
  <c r="L95"/>
  <c r="M95"/>
  <c r="N95"/>
  <c r="O95"/>
  <c r="P95"/>
  <c r="Q95"/>
  <c r="R95"/>
  <c r="S95"/>
  <c r="T95"/>
  <c r="T95" i="80" s="1"/>
  <c r="U95" i="84"/>
  <c r="V95"/>
  <c r="E96"/>
  <c r="F96"/>
  <c r="G96"/>
  <c r="H96"/>
  <c r="I96"/>
  <c r="J96"/>
  <c r="K96"/>
  <c r="L96"/>
  <c r="M96"/>
  <c r="N96"/>
  <c r="O96"/>
  <c r="P96"/>
  <c r="Q96"/>
  <c r="R96"/>
  <c r="S96"/>
  <c r="T96"/>
  <c r="T96" i="80" s="1"/>
  <c r="U96" i="84"/>
  <c r="V96"/>
  <c r="E97"/>
  <c r="F97"/>
  <c r="G97"/>
  <c r="H97"/>
  <c r="I97"/>
  <c r="J97"/>
  <c r="K97"/>
  <c r="L97"/>
  <c r="M97"/>
  <c r="N97"/>
  <c r="O97"/>
  <c r="P97"/>
  <c r="Q97"/>
  <c r="R97"/>
  <c r="S97"/>
  <c r="T97"/>
  <c r="T97" i="80" s="1"/>
  <c r="U97" i="84"/>
  <c r="V97"/>
  <c r="E98"/>
  <c r="F98"/>
  <c r="G98"/>
  <c r="H98"/>
  <c r="I98"/>
  <c r="J98"/>
  <c r="K98"/>
  <c r="L98"/>
  <c r="M98"/>
  <c r="N98"/>
  <c r="O98"/>
  <c r="P98"/>
  <c r="Q98"/>
  <c r="R98"/>
  <c r="S98"/>
  <c r="T98"/>
  <c r="T98" i="80" s="1"/>
  <c r="U98" i="84"/>
  <c r="V98"/>
  <c r="E99"/>
  <c r="F99"/>
  <c r="G99"/>
  <c r="H99"/>
  <c r="I99"/>
  <c r="J99"/>
  <c r="K99"/>
  <c r="L99"/>
  <c r="M99"/>
  <c r="N99"/>
  <c r="O99"/>
  <c r="P99"/>
  <c r="Q99"/>
  <c r="R99"/>
  <c r="S99"/>
  <c r="T99"/>
  <c r="T99" i="80" s="1"/>
  <c r="U99" i="84"/>
  <c r="V99"/>
  <c r="E100"/>
  <c r="F100"/>
  <c r="G100"/>
  <c r="H100"/>
  <c r="I100"/>
  <c r="J100"/>
  <c r="K100"/>
  <c r="L100"/>
  <c r="M100"/>
  <c r="N100"/>
  <c r="O100"/>
  <c r="P100"/>
  <c r="Q100"/>
  <c r="R100"/>
  <c r="S100"/>
  <c r="T100"/>
  <c r="T100" i="80" s="1"/>
  <c r="U100" i="84"/>
  <c r="V100"/>
  <c r="E101"/>
  <c r="F101"/>
  <c r="G101"/>
  <c r="H101"/>
  <c r="I101"/>
  <c r="J101"/>
  <c r="K101"/>
  <c r="L101"/>
  <c r="M101"/>
  <c r="N101"/>
  <c r="O101"/>
  <c r="P101"/>
  <c r="Q101"/>
  <c r="R101"/>
  <c r="S101"/>
  <c r="T101"/>
  <c r="T101" i="80" s="1"/>
  <c r="U101" i="84"/>
  <c r="V101"/>
  <c r="E102"/>
  <c r="F102"/>
  <c r="G102"/>
  <c r="H102"/>
  <c r="I102"/>
  <c r="J102"/>
  <c r="K102"/>
  <c r="L102"/>
  <c r="M102"/>
  <c r="N102"/>
  <c r="O102"/>
  <c r="P102"/>
  <c r="Q102"/>
  <c r="R102"/>
  <c r="S102"/>
  <c r="T102"/>
  <c r="T102" i="80" s="1"/>
  <c r="U102" i="84"/>
  <c r="V102"/>
  <c r="E103"/>
  <c r="F103"/>
  <c r="G103"/>
  <c r="H103"/>
  <c r="I103"/>
  <c r="J103"/>
  <c r="K103"/>
  <c r="L103"/>
  <c r="M103"/>
  <c r="N103"/>
  <c r="O103"/>
  <c r="P103"/>
  <c r="Q103"/>
  <c r="R103"/>
  <c r="S103"/>
  <c r="T103"/>
  <c r="T103" i="80" s="1"/>
  <c r="U103" i="84"/>
  <c r="V103"/>
  <c r="E104"/>
  <c r="F104"/>
  <c r="G104"/>
  <c r="H104"/>
  <c r="I104"/>
  <c r="J104"/>
  <c r="K104"/>
  <c r="L104"/>
  <c r="M104"/>
  <c r="N104"/>
  <c r="O104"/>
  <c r="P104"/>
  <c r="Q104"/>
  <c r="R104"/>
  <c r="S104"/>
  <c r="T104"/>
  <c r="T104" i="80" s="1"/>
  <c r="U104" i="84"/>
  <c r="V104"/>
  <c r="E105"/>
  <c r="F105"/>
  <c r="G105"/>
  <c r="H105"/>
  <c r="I105"/>
  <c r="J105"/>
  <c r="K105"/>
  <c r="L105"/>
  <c r="M105"/>
  <c r="N105"/>
  <c r="O105"/>
  <c r="P105"/>
  <c r="Q105"/>
  <c r="R105"/>
  <c r="S105"/>
  <c r="T105"/>
  <c r="T105" i="80" s="1"/>
  <c r="U105" i="84"/>
  <c r="V105"/>
  <c r="E106"/>
  <c r="F106"/>
  <c r="G106"/>
  <c r="H106"/>
  <c r="I106"/>
  <c r="J106"/>
  <c r="K106"/>
  <c r="L106"/>
  <c r="M106"/>
  <c r="N106"/>
  <c r="O106"/>
  <c r="P106"/>
  <c r="Q106"/>
  <c r="R106"/>
  <c r="S106"/>
  <c r="T106"/>
  <c r="T106" i="80" s="1"/>
  <c r="U106" i="84"/>
  <c r="V106"/>
  <c r="E107"/>
  <c r="F107"/>
  <c r="G107"/>
  <c r="H107"/>
  <c r="I107"/>
  <c r="J107"/>
  <c r="K107"/>
  <c r="L107"/>
  <c r="M107"/>
  <c r="N107"/>
  <c r="O107"/>
  <c r="P107"/>
  <c r="Q107"/>
  <c r="R107"/>
  <c r="S107"/>
  <c r="T107"/>
  <c r="T107" i="80" s="1"/>
  <c r="U107" i="84"/>
  <c r="V107"/>
  <c r="E108"/>
  <c r="F108"/>
  <c r="G108"/>
  <c r="H108"/>
  <c r="I108"/>
  <c r="J108"/>
  <c r="K108"/>
  <c r="L108"/>
  <c r="M108"/>
  <c r="N108"/>
  <c r="O108"/>
  <c r="P108"/>
  <c r="Q108"/>
  <c r="R108"/>
  <c r="S108"/>
  <c r="T108"/>
  <c r="T108" i="80" s="1"/>
  <c r="U108" i="84"/>
  <c r="V108"/>
  <c r="E109"/>
  <c r="F109"/>
  <c r="G109"/>
  <c r="H109"/>
  <c r="I109"/>
  <c r="J109"/>
  <c r="K109"/>
  <c r="L109"/>
  <c r="M109"/>
  <c r="N109"/>
  <c r="O109"/>
  <c r="P109"/>
  <c r="Q109"/>
  <c r="R109"/>
  <c r="S109"/>
  <c r="T109"/>
  <c r="T109" i="80" s="1"/>
  <c r="U109" i="84"/>
  <c r="V109"/>
  <c r="E110"/>
  <c r="F110"/>
  <c r="G110"/>
  <c r="H110"/>
  <c r="I110"/>
  <c r="J110"/>
  <c r="K110"/>
  <c r="L110"/>
  <c r="M110"/>
  <c r="N110"/>
  <c r="O110"/>
  <c r="P110"/>
  <c r="Q110"/>
  <c r="R110"/>
  <c r="S110"/>
  <c r="T110"/>
  <c r="T110" i="80" s="1"/>
  <c r="U110" i="84"/>
  <c r="V110"/>
  <c r="E111"/>
  <c r="F111"/>
  <c r="G111"/>
  <c r="H111"/>
  <c r="I111"/>
  <c r="J111"/>
  <c r="K111"/>
  <c r="L111"/>
  <c r="M111"/>
  <c r="N111"/>
  <c r="O111"/>
  <c r="P111"/>
  <c r="Q111"/>
  <c r="R111"/>
  <c r="S111"/>
  <c r="T111"/>
  <c r="T111" i="80" s="1"/>
  <c r="U111" i="84"/>
  <c r="V111"/>
  <c r="E112"/>
  <c r="F112"/>
  <c r="G112"/>
  <c r="H112"/>
  <c r="I112"/>
  <c r="J112"/>
  <c r="K112"/>
  <c r="L112"/>
  <c r="M112"/>
  <c r="N112"/>
  <c r="O112"/>
  <c r="P112"/>
  <c r="Q112"/>
  <c r="R112"/>
  <c r="S112"/>
  <c r="T112"/>
  <c r="T112" i="80" s="1"/>
  <c r="U112" i="84"/>
  <c r="V112"/>
  <c r="E113"/>
  <c r="F113"/>
  <c r="G113"/>
  <c r="H113"/>
  <c r="I113"/>
  <c r="J113"/>
  <c r="K113"/>
  <c r="L113"/>
  <c r="M113"/>
  <c r="N113"/>
  <c r="O113"/>
  <c r="P113"/>
  <c r="Q113"/>
  <c r="R113"/>
  <c r="S113"/>
  <c r="T113"/>
  <c r="T113" i="80" s="1"/>
  <c r="U113" i="84"/>
  <c r="V113"/>
  <c r="E114"/>
  <c r="F114"/>
  <c r="G114"/>
  <c r="H114"/>
  <c r="I114"/>
  <c r="J114"/>
  <c r="K114"/>
  <c r="L114"/>
  <c r="M114"/>
  <c r="N114"/>
  <c r="O114"/>
  <c r="P114"/>
  <c r="Q114"/>
  <c r="R114"/>
  <c r="S114"/>
  <c r="T114"/>
  <c r="T114" i="80" s="1"/>
  <c r="U114" i="84"/>
  <c r="V114"/>
  <c r="E115"/>
  <c r="F115"/>
  <c r="G115"/>
  <c r="H115"/>
  <c r="I115"/>
  <c r="J115"/>
  <c r="K115"/>
  <c r="L115"/>
  <c r="M115"/>
  <c r="N115"/>
  <c r="O115"/>
  <c r="P115"/>
  <c r="Q115"/>
  <c r="R115"/>
  <c r="S115"/>
  <c r="T115"/>
  <c r="T115" i="80" s="1"/>
  <c r="U115" i="84"/>
  <c r="V115"/>
  <c r="E116"/>
  <c r="F116"/>
  <c r="G116"/>
  <c r="H116"/>
  <c r="I116"/>
  <c r="J116"/>
  <c r="K116"/>
  <c r="L116"/>
  <c r="M116"/>
  <c r="N116"/>
  <c r="O116"/>
  <c r="P116"/>
  <c r="Q116"/>
  <c r="R116"/>
  <c r="S116"/>
  <c r="T116"/>
  <c r="T116" i="80" s="1"/>
  <c r="U116" i="84"/>
  <c r="V116"/>
  <c r="E117"/>
  <c r="F117"/>
  <c r="G117"/>
  <c r="H117"/>
  <c r="I117"/>
  <c r="J117"/>
  <c r="K117"/>
  <c r="L117"/>
  <c r="M117"/>
  <c r="N117"/>
  <c r="O117"/>
  <c r="P117"/>
  <c r="Q117"/>
  <c r="R117"/>
  <c r="S117"/>
  <c r="T117"/>
  <c r="T117" i="80" s="1"/>
  <c r="U117" i="84"/>
  <c r="V117"/>
  <c r="E118"/>
  <c r="F118"/>
  <c r="G118"/>
  <c r="H118"/>
  <c r="I118"/>
  <c r="J118"/>
  <c r="K118"/>
  <c r="L118"/>
  <c r="M118"/>
  <c r="N118"/>
  <c r="O118"/>
  <c r="P118"/>
  <c r="Q118"/>
  <c r="R118"/>
  <c r="S118"/>
  <c r="T118"/>
  <c r="T118" i="80" s="1"/>
  <c r="U118" i="84"/>
  <c r="V118"/>
  <c r="E119"/>
  <c r="F119"/>
  <c r="G119"/>
  <c r="H119"/>
  <c r="I119"/>
  <c r="J119"/>
  <c r="K119"/>
  <c r="L119"/>
  <c r="M119"/>
  <c r="N119"/>
  <c r="O119"/>
  <c r="P119"/>
  <c r="Q119"/>
  <c r="R119"/>
  <c r="S119"/>
  <c r="T119"/>
  <c r="T119" i="80" s="1"/>
  <c r="U119" i="84"/>
  <c r="V119"/>
  <c r="E120"/>
  <c r="F120"/>
  <c r="G120"/>
  <c r="H120"/>
  <c r="I120"/>
  <c r="J120"/>
  <c r="K120"/>
  <c r="L120"/>
  <c r="M120"/>
  <c r="N120"/>
  <c r="O120"/>
  <c r="P120"/>
  <c r="Q120"/>
  <c r="R120"/>
  <c r="S120"/>
  <c r="T120"/>
  <c r="T120" i="80" s="1"/>
  <c r="U120" i="84"/>
  <c r="V120"/>
  <c r="E121"/>
  <c r="F121"/>
  <c r="G121"/>
  <c r="H121"/>
  <c r="I121"/>
  <c r="J121"/>
  <c r="K121"/>
  <c r="L121"/>
  <c r="M121"/>
  <c r="N121"/>
  <c r="O121"/>
  <c r="P121"/>
  <c r="Q121"/>
  <c r="R121"/>
  <c r="S121"/>
  <c r="T121"/>
  <c r="T121" i="80" s="1"/>
  <c r="U121" i="84"/>
  <c r="V121"/>
  <c r="E122"/>
  <c r="F122"/>
  <c r="G122"/>
  <c r="H122"/>
  <c r="I122"/>
  <c r="J122"/>
  <c r="K122"/>
  <c r="L122"/>
  <c r="M122"/>
  <c r="N122"/>
  <c r="O122"/>
  <c r="P122"/>
  <c r="Q122"/>
  <c r="R122"/>
  <c r="S122"/>
  <c r="T122"/>
  <c r="T122" i="80" s="1"/>
  <c r="U122" i="84"/>
  <c r="V122"/>
  <c r="E123"/>
  <c r="F123"/>
  <c r="G123"/>
  <c r="H123"/>
  <c r="I123"/>
  <c r="J123"/>
  <c r="K123"/>
  <c r="L123"/>
  <c r="M123"/>
  <c r="N123"/>
  <c r="O123"/>
  <c r="P123"/>
  <c r="Q123"/>
  <c r="R123"/>
  <c r="S123"/>
  <c r="T123"/>
  <c r="T123" i="80" s="1"/>
  <c r="U123" i="84"/>
  <c r="V123"/>
  <c r="E124"/>
  <c r="F124"/>
  <c r="G124"/>
  <c r="H124"/>
  <c r="I124"/>
  <c r="J124"/>
  <c r="K124"/>
  <c r="L124"/>
  <c r="M124"/>
  <c r="N124"/>
  <c r="O124"/>
  <c r="P124"/>
  <c r="Q124"/>
  <c r="R124"/>
  <c r="S124"/>
  <c r="T124"/>
  <c r="T124" i="80" s="1"/>
  <c r="U124" i="84"/>
  <c r="V124"/>
  <c r="E125"/>
  <c r="F125"/>
  <c r="G125"/>
  <c r="H125"/>
  <c r="I125"/>
  <c r="J125"/>
  <c r="K125"/>
  <c r="L125"/>
  <c r="M125"/>
  <c r="N125"/>
  <c r="O125"/>
  <c r="P125"/>
  <c r="Q125"/>
  <c r="R125"/>
  <c r="S125"/>
  <c r="T125"/>
  <c r="T125" i="80" s="1"/>
  <c r="U125" i="84"/>
  <c r="V125"/>
  <c r="E126"/>
  <c r="F126"/>
  <c r="G126"/>
  <c r="H126"/>
  <c r="I126"/>
  <c r="J126"/>
  <c r="K126"/>
  <c r="L126"/>
  <c r="M126"/>
  <c r="N126"/>
  <c r="O126"/>
  <c r="P126"/>
  <c r="Q126"/>
  <c r="R126"/>
  <c r="S126"/>
  <c r="T126"/>
  <c r="T126" i="80" s="1"/>
  <c r="U126" i="84"/>
  <c r="V126"/>
  <c r="E127"/>
  <c r="F127"/>
  <c r="G127"/>
  <c r="H127"/>
  <c r="I127"/>
  <c r="J127"/>
  <c r="K127"/>
  <c r="L127"/>
  <c r="M127"/>
  <c r="N127"/>
  <c r="O127"/>
  <c r="P127"/>
  <c r="Q127"/>
  <c r="R127"/>
  <c r="S127"/>
  <c r="T127"/>
  <c r="T127" i="80" s="1"/>
  <c r="U127" i="84"/>
  <c r="V127"/>
  <c r="E128"/>
  <c r="F128"/>
  <c r="G128"/>
  <c r="H128"/>
  <c r="I128"/>
  <c r="J128"/>
  <c r="K128"/>
  <c r="L128"/>
  <c r="M128"/>
  <c r="N128"/>
  <c r="O128"/>
  <c r="P128"/>
  <c r="Q128"/>
  <c r="R128"/>
  <c r="S128"/>
  <c r="T128"/>
  <c r="T128" i="80" s="1"/>
  <c r="U128" i="84"/>
  <c r="V128"/>
  <c r="E129"/>
  <c r="F129"/>
  <c r="G129"/>
  <c r="H129"/>
  <c r="I129"/>
  <c r="J129"/>
  <c r="K129"/>
  <c r="L129"/>
  <c r="M129"/>
  <c r="N129"/>
  <c r="O129"/>
  <c r="P129"/>
  <c r="Q129"/>
  <c r="R129"/>
  <c r="S129"/>
  <c r="T129"/>
  <c r="T129" i="80" s="1"/>
  <c r="U129" i="84"/>
  <c r="V129"/>
  <c r="E130"/>
  <c r="F130"/>
  <c r="G130"/>
  <c r="H130"/>
  <c r="I130"/>
  <c r="J130"/>
  <c r="K130"/>
  <c r="L130"/>
  <c r="M130"/>
  <c r="N130"/>
  <c r="O130"/>
  <c r="P130"/>
  <c r="Q130"/>
  <c r="R130"/>
  <c r="S130"/>
  <c r="T130"/>
  <c r="T130" i="80" s="1"/>
  <c r="U130" i="84"/>
  <c r="V130"/>
  <c r="E131"/>
  <c r="F131"/>
  <c r="G131"/>
  <c r="H131"/>
  <c r="I131"/>
  <c r="J131"/>
  <c r="K131"/>
  <c r="L131"/>
  <c r="M131"/>
  <c r="N131"/>
  <c r="O131"/>
  <c r="P131"/>
  <c r="Q131"/>
  <c r="R131"/>
  <c r="S131"/>
  <c r="T131"/>
  <c r="T131" i="80" s="1"/>
  <c r="U131" i="84"/>
  <c r="V131"/>
  <c r="E132"/>
  <c r="F132"/>
  <c r="G132"/>
  <c r="H132"/>
  <c r="I132"/>
  <c r="J132"/>
  <c r="K132"/>
  <c r="L132"/>
  <c r="M132"/>
  <c r="N132"/>
  <c r="O132"/>
  <c r="P132"/>
  <c r="Q132"/>
  <c r="R132"/>
  <c r="S132"/>
  <c r="T132"/>
  <c r="T132" i="80" s="1"/>
  <c r="U132" i="84"/>
  <c r="V132"/>
  <c r="E133"/>
  <c r="F133"/>
  <c r="G133"/>
  <c r="H133"/>
  <c r="I133"/>
  <c r="J133"/>
  <c r="K133"/>
  <c r="L133"/>
  <c r="M133"/>
  <c r="N133"/>
  <c r="O133"/>
  <c r="P133"/>
  <c r="Q133"/>
  <c r="R133"/>
  <c r="S133"/>
  <c r="T133"/>
  <c r="T133" i="80" s="1"/>
  <c r="U133" i="84"/>
  <c r="V133"/>
  <c r="E134"/>
  <c r="F134"/>
  <c r="G134"/>
  <c r="H134"/>
  <c r="I134"/>
  <c r="J134"/>
  <c r="K134"/>
  <c r="L134"/>
  <c r="M134"/>
  <c r="N134"/>
  <c r="O134"/>
  <c r="P134"/>
  <c r="Q134"/>
  <c r="R134"/>
  <c r="S134"/>
  <c r="T134"/>
  <c r="T134" i="80" s="1"/>
  <c r="U134" i="84"/>
  <c r="V134"/>
  <c r="E135"/>
  <c r="F135"/>
  <c r="G135"/>
  <c r="H135"/>
  <c r="I135"/>
  <c r="J135"/>
  <c r="K135"/>
  <c r="L135"/>
  <c r="M135"/>
  <c r="N135"/>
  <c r="O135"/>
  <c r="P135"/>
  <c r="Q135"/>
  <c r="R135"/>
  <c r="S135"/>
  <c r="T135"/>
  <c r="T135" i="80" s="1"/>
  <c r="U135" i="84"/>
  <c r="V135"/>
  <c r="E136"/>
  <c r="F136"/>
  <c r="G136"/>
  <c r="H136"/>
  <c r="I136"/>
  <c r="J136"/>
  <c r="K136"/>
  <c r="L136"/>
  <c r="M136"/>
  <c r="N136"/>
  <c r="O136"/>
  <c r="P136"/>
  <c r="Q136"/>
  <c r="R136"/>
  <c r="S136"/>
  <c r="T136"/>
  <c r="T136" i="80" s="1"/>
  <c r="U136" i="84"/>
  <c r="V136"/>
  <c r="E137"/>
  <c r="F137"/>
  <c r="G137"/>
  <c r="H137"/>
  <c r="I137"/>
  <c r="J137"/>
  <c r="K137"/>
  <c r="L137"/>
  <c r="M137"/>
  <c r="N137"/>
  <c r="O137"/>
  <c r="P137"/>
  <c r="Q137"/>
  <c r="R137"/>
  <c r="S137"/>
  <c r="T137"/>
  <c r="T137" i="80" s="1"/>
  <c r="U137" i="84"/>
  <c r="V137"/>
  <c r="E138"/>
  <c r="F138"/>
  <c r="G138"/>
  <c r="H138"/>
  <c r="I138"/>
  <c r="J138"/>
  <c r="K138"/>
  <c r="L138"/>
  <c r="M138"/>
  <c r="N138"/>
  <c r="O138"/>
  <c r="P138"/>
  <c r="Q138"/>
  <c r="R138"/>
  <c r="S138"/>
  <c r="T138"/>
  <c r="T138" i="80" s="1"/>
  <c r="U138" i="84"/>
  <c r="V138"/>
  <c r="E139"/>
  <c r="F139"/>
  <c r="G139"/>
  <c r="H139"/>
  <c r="I139"/>
  <c r="J139"/>
  <c r="K139"/>
  <c r="L139"/>
  <c r="M139"/>
  <c r="N139"/>
  <c r="O139"/>
  <c r="P139"/>
  <c r="Q139"/>
  <c r="R139"/>
  <c r="S139"/>
  <c r="T139"/>
  <c r="T139" i="80" s="1"/>
  <c r="U139" i="84"/>
  <c r="V139"/>
  <c r="E140"/>
  <c r="F140"/>
  <c r="G140"/>
  <c r="H140"/>
  <c r="I140"/>
  <c r="J140"/>
  <c r="K140"/>
  <c r="L140"/>
  <c r="M140"/>
  <c r="N140"/>
  <c r="O140"/>
  <c r="P140"/>
  <c r="Q140"/>
  <c r="R140"/>
  <c r="S140"/>
  <c r="T140"/>
  <c r="T140" i="80" s="1"/>
  <c r="U140" i="84"/>
  <c r="V140"/>
  <c r="E141"/>
  <c r="F141"/>
  <c r="G141"/>
  <c r="H141"/>
  <c r="I141"/>
  <c r="J141"/>
  <c r="K141"/>
  <c r="L141"/>
  <c r="M141"/>
  <c r="N141"/>
  <c r="O141"/>
  <c r="P141"/>
  <c r="Q141"/>
  <c r="R141"/>
  <c r="S141"/>
  <c r="T141"/>
  <c r="T141" i="80" s="1"/>
  <c r="U141" i="84"/>
  <c r="V141"/>
  <c r="E142"/>
  <c r="F142"/>
  <c r="G142"/>
  <c r="H142"/>
  <c r="I142"/>
  <c r="J142"/>
  <c r="K142"/>
  <c r="L142"/>
  <c r="M142"/>
  <c r="N142"/>
  <c r="O142"/>
  <c r="P142"/>
  <c r="Q142"/>
  <c r="R142"/>
  <c r="S142"/>
  <c r="T142"/>
  <c r="T142" i="80" s="1"/>
  <c r="U142" i="84"/>
  <c r="V142"/>
  <c r="E143"/>
  <c r="F143"/>
  <c r="G143"/>
  <c r="H143"/>
  <c r="I143"/>
  <c r="J143"/>
  <c r="K143"/>
  <c r="L143"/>
  <c r="M143"/>
  <c r="N143"/>
  <c r="O143"/>
  <c r="P143"/>
  <c r="Q143"/>
  <c r="R143"/>
  <c r="S143"/>
  <c r="T143"/>
  <c r="T143" i="80" s="1"/>
  <c r="U143" i="84"/>
  <c r="V143"/>
  <c r="E144"/>
  <c r="F144"/>
  <c r="G144"/>
  <c r="H144"/>
  <c r="I144"/>
  <c r="J144"/>
  <c r="K144"/>
  <c r="L144"/>
  <c r="M144"/>
  <c r="N144"/>
  <c r="O144"/>
  <c r="P144"/>
  <c r="Q144"/>
  <c r="R144"/>
  <c r="S144"/>
  <c r="T144"/>
  <c r="T144" i="80" s="1"/>
  <c r="U144" i="84"/>
  <c r="V144"/>
  <c r="E145"/>
  <c r="F145"/>
  <c r="G145"/>
  <c r="H145"/>
  <c r="I145"/>
  <c r="J145"/>
  <c r="K145"/>
  <c r="L145"/>
  <c r="M145"/>
  <c r="N145"/>
  <c r="O145"/>
  <c r="P145"/>
  <c r="Q145"/>
  <c r="R145"/>
  <c r="S145"/>
  <c r="T145"/>
  <c r="T145" i="80" s="1"/>
  <c r="U145" i="84"/>
  <c r="V145"/>
  <c r="E146"/>
  <c r="F146"/>
  <c r="G146"/>
  <c r="H146"/>
  <c r="I146"/>
  <c r="J146"/>
  <c r="K146"/>
  <c r="L146"/>
  <c r="M146"/>
  <c r="N146"/>
  <c r="O146"/>
  <c r="P146"/>
  <c r="Q146"/>
  <c r="R146"/>
  <c r="S146"/>
  <c r="T146"/>
  <c r="T146" i="80" s="1"/>
  <c r="U146" i="84"/>
  <c r="V146"/>
  <c r="E147"/>
  <c r="F147"/>
  <c r="G147"/>
  <c r="H147"/>
  <c r="I147"/>
  <c r="J147"/>
  <c r="K147"/>
  <c r="L147"/>
  <c r="M147"/>
  <c r="N147"/>
  <c r="O147"/>
  <c r="P147"/>
  <c r="Q147"/>
  <c r="R147"/>
  <c r="S147"/>
  <c r="T147"/>
  <c r="T147" i="80" s="1"/>
  <c r="U147" i="84"/>
  <c r="V147"/>
  <c r="E148"/>
  <c r="F148"/>
  <c r="G148"/>
  <c r="H148"/>
  <c r="I148"/>
  <c r="J148"/>
  <c r="K148"/>
  <c r="L148"/>
  <c r="M148"/>
  <c r="N148"/>
  <c r="O148"/>
  <c r="P148"/>
  <c r="Q148"/>
  <c r="R148"/>
  <c r="S148"/>
  <c r="T148"/>
  <c r="T148" i="80" s="1"/>
  <c r="U148" i="84"/>
  <c r="V148"/>
  <c r="E149"/>
  <c r="F149"/>
  <c r="G149"/>
  <c r="H149"/>
  <c r="I149"/>
  <c r="J149"/>
  <c r="K149"/>
  <c r="L149"/>
  <c r="M149"/>
  <c r="N149"/>
  <c r="O149"/>
  <c r="P149"/>
  <c r="Q149"/>
  <c r="R149"/>
  <c r="S149"/>
  <c r="T149"/>
  <c r="T149" i="80" s="1"/>
  <c r="U149" i="84"/>
  <c r="V149"/>
  <c r="E150"/>
  <c r="F150"/>
  <c r="G150"/>
  <c r="H150"/>
  <c r="I150"/>
  <c r="J150"/>
  <c r="K150"/>
  <c r="L150"/>
  <c r="M150"/>
  <c r="N150"/>
  <c r="O150"/>
  <c r="P150"/>
  <c r="Q150"/>
  <c r="R150"/>
  <c r="S150"/>
  <c r="T150"/>
  <c r="T150" i="80" s="1"/>
  <c r="U150" i="84"/>
  <c r="V150"/>
  <c r="E151"/>
  <c r="F151"/>
  <c r="G151"/>
  <c r="H151"/>
  <c r="I151"/>
  <c r="J151"/>
  <c r="K151"/>
  <c r="L151"/>
  <c r="M151"/>
  <c r="N151"/>
  <c r="O151"/>
  <c r="P151"/>
  <c r="Q151"/>
  <c r="R151"/>
  <c r="S151"/>
  <c r="T151"/>
  <c r="T151" i="80" s="1"/>
  <c r="U151" i="84"/>
  <c r="V151"/>
  <c r="E152"/>
  <c r="F152"/>
  <c r="G152"/>
  <c r="H152"/>
  <c r="I152"/>
  <c r="J152"/>
  <c r="K152"/>
  <c r="L152"/>
  <c r="M152"/>
  <c r="N152"/>
  <c r="O152"/>
  <c r="P152"/>
  <c r="Q152"/>
  <c r="R152"/>
  <c r="S152"/>
  <c r="T152"/>
  <c r="T152" i="80" s="1"/>
  <c r="U152" i="84"/>
  <c r="V152"/>
  <c r="E153"/>
  <c r="F153"/>
  <c r="G153"/>
  <c r="H153"/>
  <c r="I153"/>
  <c r="J153"/>
  <c r="K153"/>
  <c r="L153"/>
  <c r="M153"/>
  <c r="N153"/>
  <c r="O153"/>
  <c r="P153"/>
  <c r="Q153"/>
  <c r="R153"/>
  <c r="S153"/>
  <c r="T153"/>
  <c r="T153" i="80" s="1"/>
  <c r="U153" i="84"/>
  <c r="V153"/>
  <c r="E154"/>
  <c r="F154"/>
  <c r="G154"/>
  <c r="H154"/>
  <c r="I154"/>
  <c r="J154"/>
  <c r="K154"/>
  <c r="L154"/>
  <c r="M154"/>
  <c r="N154"/>
  <c r="O154"/>
  <c r="P154"/>
  <c r="Q154"/>
  <c r="R154"/>
  <c r="S154"/>
  <c r="T154"/>
  <c r="T154" i="80" s="1"/>
  <c r="U154" i="84"/>
  <c r="V154"/>
  <c r="E155"/>
  <c r="F155"/>
  <c r="G155"/>
  <c r="H155"/>
  <c r="I155"/>
  <c r="J155"/>
  <c r="K155"/>
  <c r="L155"/>
  <c r="M155"/>
  <c r="N155"/>
  <c r="O155"/>
  <c r="P155"/>
  <c r="Q155"/>
  <c r="R155"/>
  <c r="S155"/>
  <c r="T155"/>
  <c r="T155" i="80" s="1"/>
  <c r="U155" i="84"/>
  <c r="V155"/>
  <c r="E156"/>
  <c r="F156"/>
  <c r="G156"/>
  <c r="H156"/>
  <c r="I156"/>
  <c r="J156"/>
  <c r="K156"/>
  <c r="L156"/>
  <c r="M156"/>
  <c r="N156"/>
  <c r="O156"/>
  <c r="P156"/>
  <c r="Q156"/>
  <c r="R156"/>
  <c r="S156"/>
  <c r="T156"/>
  <c r="T156" i="80" s="1"/>
  <c r="U156" i="84"/>
  <c r="V156"/>
  <c r="E157"/>
  <c r="F157"/>
  <c r="G157"/>
  <c r="H157"/>
  <c r="I157"/>
  <c r="J157"/>
  <c r="K157"/>
  <c r="L157"/>
  <c r="M157"/>
  <c r="N157"/>
  <c r="O157"/>
  <c r="P157"/>
  <c r="Q157"/>
  <c r="R157"/>
  <c r="S157"/>
  <c r="T157"/>
  <c r="T157" i="80" s="1"/>
  <c r="U157" i="84"/>
  <c r="V157"/>
  <c r="E158"/>
  <c r="F158"/>
  <c r="G158"/>
  <c r="H158"/>
  <c r="I158"/>
  <c r="J158"/>
  <c r="K158"/>
  <c r="L158"/>
  <c r="M158"/>
  <c r="N158"/>
  <c r="O158"/>
  <c r="P158"/>
  <c r="Q158"/>
  <c r="R158"/>
  <c r="S158"/>
  <c r="T158"/>
  <c r="T158" i="80" s="1"/>
  <c r="U158" i="84"/>
  <c r="V158"/>
  <c r="E159"/>
  <c r="F159"/>
  <c r="G159"/>
  <c r="H159"/>
  <c r="I159"/>
  <c r="J159"/>
  <c r="K159"/>
  <c r="L159"/>
  <c r="M159"/>
  <c r="N159"/>
  <c r="O159"/>
  <c r="P159"/>
  <c r="Q159"/>
  <c r="R159"/>
  <c r="S159"/>
  <c r="T159"/>
  <c r="T159" i="80" s="1"/>
  <c r="U159" i="84"/>
  <c r="V159"/>
  <c r="E160"/>
  <c r="F160"/>
  <c r="G160"/>
  <c r="H160"/>
  <c r="I160"/>
  <c r="J160"/>
  <c r="K160"/>
  <c r="L160"/>
  <c r="M160"/>
  <c r="N160"/>
  <c r="O160"/>
  <c r="P160"/>
  <c r="Q160"/>
  <c r="R160"/>
  <c r="S160"/>
  <c r="T160"/>
  <c r="T160" i="80" s="1"/>
  <c r="U160" i="84"/>
  <c r="V160"/>
  <c r="E161"/>
  <c r="F161"/>
  <c r="G161"/>
  <c r="H161"/>
  <c r="I161"/>
  <c r="J161"/>
  <c r="K161"/>
  <c r="L161"/>
  <c r="M161"/>
  <c r="N161"/>
  <c r="O161"/>
  <c r="P161"/>
  <c r="Q161"/>
  <c r="R161"/>
  <c r="S161"/>
  <c r="T161"/>
  <c r="T161" i="80" s="1"/>
  <c r="U161" i="84"/>
  <c r="V161"/>
  <c r="E162"/>
  <c r="F162"/>
  <c r="G162"/>
  <c r="H162"/>
  <c r="I162"/>
  <c r="J162"/>
  <c r="K162"/>
  <c r="L162"/>
  <c r="M162"/>
  <c r="N162"/>
  <c r="O162"/>
  <c r="P162"/>
  <c r="Q162"/>
  <c r="R162"/>
  <c r="S162"/>
  <c r="T162"/>
  <c r="T162" i="80" s="1"/>
  <c r="U162" i="84"/>
  <c r="V162"/>
  <c r="E163"/>
  <c r="F163"/>
  <c r="G163"/>
  <c r="H163"/>
  <c r="I163"/>
  <c r="J163"/>
  <c r="K163"/>
  <c r="L163"/>
  <c r="M163"/>
  <c r="N163"/>
  <c r="O163"/>
  <c r="P163"/>
  <c r="Q163"/>
  <c r="R163"/>
  <c r="S163"/>
  <c r="T163"/>
  <c r="T163" i="80" s="1"/>
  <c r="U163" i="84"/>
  <c r="V163"/>
  <c r="E164"/>
  <c r="F164"/>
  <c r="G164"/>
  <c r="H164"/>
  <c r="I164"/>
  <c r="J164"/>
  <c r="K164"/>
  <c r="L164"/>
  <c r="M164"/>
  <c r="N164"/>
  <c r="O164"/>
  <c r="P164"/>
  <c r="Q164"/>
  <c r="R164"/>
  <c r="S164"/>
  <c r="T164"/>
  <c r="T164" i="80" s="1"/>
  <c r="U164" i="84"/>
  <c r="V164"/>
  <c r="E165"/>
  <c r="F165"/>
  <c r="G165"/>
  <c r="H165"/>
  <c r="I165"/>
  <c r="J165"/>
  <c r="K165"/>
  <c r="L165"/>
  <c r="M165"/>
  <c r="N165"/>
  <c r="O165"/>
  <c r="P165"/>
  <c r="Q165"/>
  <c r="R165"/>
  <c r="S165"/>
  <c r="T165"/>
  <c r="T165" i="80" s="1"/>
  <c r="U165" i="84"/>
  <c r="V165"/>
  <c r="E166"/>
  <c r="F166"/>
  <c r="G166"/>
  <c r="H166"/>
  <c r="I166"/>
  <c r="J166"/>
  <c r="K166"/>
  <c r="L166"/>
  <c r="M166"/>
  <c r="N166"/>
  <c r="O166"/>
  <c r="P166"/>
  <c r="Q166"/>
  <c r="R166"/>
  <c r="S166"/>
  <c r="T166"/>
  <c r="T166" i="80" s="1"/>
  <c r="U166" i="84"/>
  <c r="V166"/>
  <c r="E167"/>
  <c r="F167"/>
  <c r="G167"/>
  <c r="H167"/>
  <c r="I167"/>
  <c r="J167"/>
  <c r="K167"/>
  <c r="L167"/>
  <c r="M167"/>
  <c r="N167"/>
  <c r="O167"/>
  <c r="P167"/>
  <c r="Q167"/>
  <c r="R167"/>
  <c r="S167"/>
  <c r="T167"/>
  <c r="T167" i="80" s="1"/>
  <c r="U167" i="84"/>
  <c r="V167"/>
  <c r="E168"/>
  <c r="F168"/>
  <c r="G168"/>
  <c r="H168"/>
  <c r="I168"/>
  <c r="J168"/>
  <c r="K168"/>
  <c r="L168"/>
  <c r="M168"/>
  <c r="N168"/>
  <c r="O168"/>
  <c r="P168"/>
  <c r="Q168"/>
  <c r="R168"/>
  <c r="S168"/>
  <c r="T168"/>
  <c r="T168" i="80" s="1"/>
  <c r="U168" i="84"/>
  <c r="V168"/>
  <c r="E169"/>
  <c r="F169"/>
  <c r="G169"/>
  <c r="H169"/>
  <c r="I169"/>
  <c r="J169"/>
  <c r="K169"/>
  <c r="L169"/>
  <c r="M169"/>
  <c r="N169"/>
  <c r="O169"/>
  <c r="P169"/>
  <c r="Q169"/>
  <c r="R169"/>
  <c r="S169"/>
  <c r="T169"/>
  <c r="T169" i="80" s="1"/>
  <c r="U169" i="84"/>
  <c r="V169"/>
  <c r="E170"/>
  <c r="F170"/>
  <c r="G170"/>
  <c r="H170"/>
  <c r="I170"/>
  <c r="J170"/>
  <c r="J176" s="1"/>
  <c r="K170"/>
  <c r="L170"/>
  <c r="M170"/>
  <c r="N170"/>
  <c r="O170"/>
  <c r="P170"/>
  <c r="Q170"/>
  <c r="R170"/>
  <c r="S170"/>
  <c r="T170"/>
  <c r="T170" i="80" s="1"/>
  <c r="U170" i="84"/>
  <c r="V170"/>
  <c r="E171"/>
  <c r="F171"/>
  <c r="G171"/>
  <c r="H171"/>
  <c r="I171"/>
  <c r="J171"/>
  <c r="K171"/>
  <c r="L171"/>
  <c r="M171"/>
  <c r="N171"/>
  <c r="O171"/>
  <c r="P171"/>
  <c r="Q171"/>
  <c r="R171"/>
  <c r="S171"/>
  <c r="T171"/>
  <c r="T171" i="80" s="1"/>
  <c r="U171" i="84"/>
  <c r="V171"/>
  <c r="E172"/>
  <c r="F172"/>
  <c r="G172"/>
  <c r="H172"/>
  <c r="H176" s="1"/>
  <c r="I172"/>
  <c r="J172"/>
  <c r="K172"/>
  <c r="L172"/>
  <c r="M172"/>
  <c r="N172"/>
  <c r="O172"/>
  <c r="P172"/>
  <c r="Q172"/>
  <c r="R172"/>
  <c r="S172"/>
  <c r="T172"/>
  <c r="T172" i="80" s="1"/>
  <c r="U172" i="84"/>
  <c r="V172"/>
  <c r="E173"/>
  <c r="F173"/>
  <c r="G173"/>
  <c r="H173"/>
  <c r="I173"/>
  <c r="J173"/>
  <c r="K173"/>
  <c r="L173"/>
  <c r="M173"/>
  <c r="N173"/>
  <c r="O173"/>
  <c r="P173"/>
  <c r="Q173"/>
  <c r="R173"/>
  <c r="S173"/>
  <c r="T173"/>
  <c r="T173" i="80" s="1"/>
  <c r="U173" i="84"/>
  <c r="V173"/>
  <c r="E174"/>
  <c r="F174"/>
  <c r="G174"/>
  <c r="H174"/>
  <c r="I174"/>
  <c r="J174"/>
  <c r="K174"/>
  <c r="L174"/>
  <c r="M174"/>
  <c r="N174"/>
  <c r="O174"/>
  <c r="P174"/>
  <c r="Q174"/>
  <c r="R174"/>
  <c r="S174"/>
  <c r="T174"/>
  <c r="T174" i="80" s="1"/>
  <c r="U174" i="84"/>
  <c r="V174"/>
  <c r="F51"/>
  <c r="G51"/>
  <c r="G176" s="1"/>
  <c r="H51"/>
  <c r="I51"/>
  <c r="J51"/>
  <c r="K51"/>
  <c r="L51"/>
  <c r="M51"/>
  <c r="M176" s="1"/>
  <c r="N51"/>
  <c r="O51"/>
  <c r="O176" s="1"/>
  <c r="P51"/>
  <c r="Q51"/>
  <c r="Q176" s="1"/>
  <c r="R51"/>
  <c r="S51"/>
  <c r="S176" s="1"/>
  <c r="T51"/>
  <c r="T51" i="80" s="1"/>
  <c r="U51" i="84"/>
  <c r="U176" s="1"/>
  <c r="V51"/>
  <c r="E51"/>
  <c r="E176" s="1"/>
  <c r="F41"/>
  <c r="G41"/>
  <c r="G49" s="1"/>
  <c r="H41"/>
  <c r="I41"/>
  <c r="I49" s="1"/>
  <c r="J41"/>
  <c r="K41"/>
  <c r="K49" s="1"/>
  <c r="L41"/>
  <c r="M41"/>
  <c r="M49" s="1"/>
  <c r="N41"/>
  <c r="O41"/>
  <c r="O49" s="1"/>
  <c r="P41"/>
  <c r="Q41"/>
  <c r="Q49" s="1"/>
  <c r="R41"/>
  <c r="S41"/>
  <c r="S49" s="1"/>
  <c r="T41"/>
  <c r="T41" i="80" s="1"/>
  <c r="U41" i="84"/>
  <c r="V41"/>
  <c r="F42"/>
  <c r="G42"/>
  <c r="H42"/>
  <c r="I42"/>
  <c r="J42"/>
  <c r="K42"/>
  <c r="L42"/>
  <c r="M42"/>
  <c r="N42"/>
  <c r="O42"/>
  <c r="P42"/>
  <c r="Q42"/>
  <c r="R42"/>
  <c r="S42"/>
  <c r="T42"/>
  <c r="T42" i="80" s="1"/>
  <c r="U42" i="84"/>
  <c r="V42"/>
  <c r="V49" s="1"/>
  <c r="F43"/>
  <c r="G43"/>
  <c r="H43"/>
  <c r="I43"/>
  <c r="J43"/>
  <c r="K43"/>
  <c r="L43"/>
  <c r="M43"/>
  <c r="N43"/>
  <c r="O43"/>
  <c r="P43"/>
  <c r="Q43"/>
  <c r="R43"/>
  <c r="S43"/>
  <c r="T43"/>
  <c r="T43" i="80" s="1"/>
  <c r="U43" i="84"/>
  <c r="V43"/>
  <c r="F44"/>
  <c r="G44"/>
  <c r="H44"/>
  <c r="I44"/>
  <c r="J44"/>
  <c r="K44"/>
  <c r="L44"/>
  <c r="M44"/>
  <c r="N44"/>
  <c r="O44"/>
  <c r="P44"/>
  <c r="Q44"/>
  <c r="R44"/>
  <c r="S44"/>
  <c r="T44"/>
  <c r="T44" i="80" s="1"/>
  <c r="U44" i="84"/>
  <c r="V44"/>
  <c r="F45"/>
  <c r="G45"/>
  <c r="H45"/>
  <c r="I45"/>
  <c r="J45"/>
  <c r="K45"/>
  <c r="L45"/>
  <c r="M45"/>
  <c r="N45"/>
  <c r="O45"/>
  <c r="P45"/>
  <c r="Q45"/>
  <c r="R45"/>
  <c r="S45"/>
  <c r="T45"/>
  <c r="T45" i="80" s="1"/>
  <c r="U45" i="84"/>
  <c r="V45"/>
  <c r="F46"/>
  <c r="G46"/>
  <c r="H46"/>
  <c r="I46"/>
  <c r="J46"/>
  <c r="K46"/>
  <c r="L46"/>
  <c r="M46"/>
  <c r="N46"/>
  <c r="O46"/>
  <c r="P46"/>
  <c r="Q46"/>
  <c r="R46"/>
  <c r="S46"/>
  <c r="T46"/>
  <c r="T46" i="80" s="1"/>
  <c r="U46" i="84"/>
  <c r="V46"/>
  <c r="F47"/>
  <c r="G47"/>
  <c r="H47"/>
  <c r="I47"/>
  <c r="J47"/>
  <c r="K47"/>
  <c r="L47"/>
  <c r="M47"/>
  <c r="N47"/>
  <c r="O47"/>
  <c r="P47"/>
  <c r="Q47"/>
  <c r="R47"/>
  <c r="S47"/>
  <c r="T47"/>
  <c r="T47" i="80" s="1"/>
  <c r="U47" i="84"/>
  <c r="V47"/>
  <c r="F48"/>
  <c r="G48"/>
  <c r="H48"/>
  <c r="I48"/>
  <c r="J48"/>
  <c r="K48"/>
  <c r="L48"/>
  <c r="M48"/>
  <c r="N48"/>
  <c r="O48"/>
  <c r="P48"/>
  <c r="Q48"/>
  <c r="R48"/>
  <c r="S48"/>
  <c r="T48"/>
  <c r="T48" i="80" s="1"/>
  <c r="U48" i="84"/>
  <c r="V48"/>
  <c r="E42"/>
  <c r="E43"/>
  <c r="G43" i="64" s="1"/>
  <c r="E44" i="84"/>
  <c r="E45"/>
  <c r="G45" i="64" s="1"/>
  <c r="E46" i="84"/>
  <c r="E47"/>
  <c r="G47" i="64" s="1"/>
  <c r="E48" i="84"/>
  <c r="E41"/>
  <c r="G41" i="64" s="1"/>
  <c r="M31" i="84"/>
  <c r="M32"/>
  <c r="M33"/>
  <c r="M34"/>
  <c r="M35"/>
  <c r="M36"/>
  <c r="M37"/>
  <c r="M38"/>
  <c r="M38" i="80" s="1"/>
  <c r="M30" i="84"/>
  <c r="H31"/>
  <c r="H32"/>
  <c r="H33"/>
  <c r="H34"/>
  <c r="H35"/>
  <c r="H36"/>
  <c r="H37"/>
  <c r="H38"/>
  <c r="H38" i="80" s="1"/>
  <c r="H30" i="84"/>
  <c r="H39" s="1"/>
  <c r="F31"/>
  <c r="F32"/>
  <c r="F33"/>
  <c r="F34"/>
  <c r="F35"/>
  <c r="F36"/>
  <c r="F37"/>
  <c r="F38"/>
  <c r="F38" i="80" s="1"/>
  <c r="F30" i="84"/>
  <c r="E31"/>
  <c r="G31" i="64" s="1"/>
  <c r="E32" i="84"/>
  <c r="E33"/>
  <c r="G33" i="64" s="1"/>
  <c r="E34" i="84"/>
  <c r="E35"/>
  <c r="G35" i="64" s="1"/>
  <c r="E36" i="84"/>
  <c r="E37"/>
  <c r="G37" i="64" s="1"/>
  <c r="E38" i="84"/>
  <c r="E38" i="80" s="1"/>
  <c r="E30" i="84"/>
  <c r="E39" s="1"/>
  <c r="E24"/>
  <c r="G24" i="64" s="1"/>
  <c r="E25" i="84"/>
  <c r="G25" i="64" s="1"/>
  <c r="E26" i="84"/>
  <c r="G26" i="64" s="1"/>
  <c r="E27" i="84"/>
  <c r="G27" i="64" s="1"/>
  <c r="E23" i="84"/>
  <c r="D11"/>
  <c r="G11" i="64" s="1"/>
  <c r="D12" i="84"/>
  <c r="G12" i="64" s="1"/>
  <c r="D13" i="84"/>
  <c r="G13" i="64" s="1"/>
  <c r="D14" i="84"/>
  <c r="G14" i="64" s="1"/>
  <c r="D15" i="84"/>
  <c r="G15" i="64" s="1"/>
  <c r="D16" i="84"/>
  <c r="G16" i="64" s="1"/>
  <c r="D17" i="84"/>
  <c r="G17" i="64" s="1"/>
  <c r="D18" i="84"/>
  <c r="G18" i="64" s="1"/>
  <c r="D19" i="84"/>
  <c r="G19" i="64" s="1"/>
  <c r="D20" i="84"/>
  <c r="G20" i="64" s="1"/>
  <c r="D10" i="84"/>
  <c r="D21" s="1"/>
  <c r="W21" s="1"/>
  <c r="C67"/>
  <c r="C221"/>
  <c r="C285"/>
  <c r="C39"/>
  <c r="C195"/>
  <c r="C287"/>
  <c r="C297" s="1"/>
  <c r="C276"/>
  <c r="C272"/>
  <c r="C238"/>
  <c r="C231"/>
  <c r="C262"/>
  <c r="C224"/>
  <c r="C209"/>
  <c r="C208"/>
  <c r="C207"/>
  <c r="C206"/>
  <c r="C210"/>
  <c r="C189"/>
  <c r="C187"/>
  <c r="C185"/>
  <c r="C184"/>
  <c r="C182"/>
  <c r="C181"/>
  <c r="C180"/>
  <c r="C178"/>
  <c r="C204"/>
  <c r="C163"/>
  <c r="C158"/>
  <c r="C156"/>
  <c r="C154"/>
  <c r="C137"/>
  <c r="C135"/>
  <c r="C134"/>
  <c r="C133"/>
  <c r="C131"/>
  <c r="C95"/>
  <c r="C94"/>
  <c r="C93"/>
  <c r="C92"/>
  <c r="C91"/>
  <c r="C90"/>
  <c r="C81"/>
  <c r="C80"/>
  <c r="C79"/>
  <c r="C66"/>
  <c r="C64"/>
  <c r="C63"/>
  <c r="C61"/>
  <c r="C58"/>
  <c r="C55"/>
  <c r="C52"/>
  <c r="C51"/>
  <c r="C176"/>
  <c r="C47"/>
  <c r="C46"/>
  <c r="C49"/>
  <c r="C43"/>
  <c r="C36"/>
  <c r="C34"/>
  <c r="C33"/>
  <c r="C30"/>
  <c r="C27"/>
  <c r="C28"/>
  <c r="C19"/>
  <c r="C21"/>
  <c r="V297"/>
  <c r="U297"/>
  <c r="S297"/>
  <c r="R297"/>
  <c r="Q297"/>
  <c r="P297"/>
  <c r="O297"/>
  <c r="N297"/>
  <c r="M297"/>
  <c r="L297"/>
  <c r="K297"/>
  <c r="J297"/>
  <c r="I297"/>
  <c r="H297"/>
  <c r="G297"/>
  <c r="F297"/>
  <c r="E297"/>
  <c r="D297"/>
  <c r="V285"/>
  <c r="U285"/>
  <c r="S285"/>
  <c r="R285"/>
  <c r="P285"/>
  <c r="O285"/>
  <c r="N285"/>
  <c r="M285"/>
  <c r="L285"/>
  <c r="J285"/>
  <c r="I285"/>
  <c r="H285"/>
  <c r="G285"/>
  <c r="F285"/>
  <c r="E285"/>
  <c r="D285"/>
  <c r="V276"/>
  <c r="U276"/>
  <c r="S276"/>
  <c r="R276"/>
  <c r="Q276"/>
  <c r="P276"/>
  <c r="O276"/>
  <c r="N276"/>
  <c r="M276"/>
  <c r="L276"/>
  <c r="K276"/>
  <c r="J276"/>
  <c r="I276"/>
  <c r="H276"/>
  <c r="G276"/>
  <c r="F276"/>
  <c r="E276"/>
  <c r="D276"/>
  <c r="V272"/>
  <c r="U272"/>
  <c r="S272"/>
  <c r="R272"/>
  <c r="Q272"/>
  <c r="P272"/>
  <c r="O272"/>
  <c r="N272"/>
  <c r="M272"/>
  <c r="L272"/>
  <c r="K272"/>
  <c r="J272"/>
  <c r="I272"/>
  <c r="H272"/>
  <c r="G272"/>
  <c r="F272"/>
  <c r="E272"/>
  <c r="D272"/>
  <c r="V262"/>
  <c r="U262"/>
  <c r="S262"/>
  <c r="R262"/>
  <c r="Q262"/>
  <c r="P262"/>
  <c r="O262"/>
  <c r="N262"/>
  <c r="M262"/>
  <c r="L262"/>
  <c r="K262"/>
  <c r="J262"/>
  <c r="I262"/>
  <c r="H262"/>
  <c r="G262"/>
  <c r="F262"/>
  <c r="E262"/>
  <c r="D262"/>
  <c r="V249"/>
  <c r="U249"/>
  <c r="S249"/>
  <c r="R249"/>
  <c r="Q249"/>
  <c r="P249"/>
  <c r="O249"/>
  <c r="N249"/>
  <c r="M249"/>
  <c r="L249"/>
  <c r="K249"/>
  <c r="J249"/>
  <c r="I249"/>
  <c r="H249"/>
  <c r="G249"/>
  <c r="F249"/>
  <c r="E249"/>
  <c r="V245"/>
  <c r="U245"/>
  <c r="S245"/>
  <c r="R245"/>
  <c r="Q245"/>
  <c r="P245"/>
  <c r="O245"/>
  <c r="N245"/>
  <c r="M245"/>
  <c r="L245"/>
  <c r="K245"/>
  <c r="J245"/>
  <c r="I245"/>
  <c r="H245"/>
  <c r="G245"/>
  <c r="F245"/>
  <c r="E245"/>
  <c r="V242"/>
  <c r="U242"/>
  <c r="S242"/>
  <c r="R242"/>
  <c r="Q242"/>
  <c r="P242"/>
  <c r="O242"/>
  <c r="N242"/>
  <c r="M242"/>
  <c r="L242"/>
  <c r="K242"/>
  <c r="J242"/>
  <c r="I242"/>
  <c r="H242"/>
  <c r="G242"/>
  <c r="F242"/>
  <c r="E242"/>
  <c r="W242" s="1"/>
  <c r="V235"/>
  <c r="U235"/>
  <c r="S235"/>
  <c r="R235"/>
  <c r="Q235"/>
  <c r="P235"/>
  <c r="O235"/>
  <c r="N235"/>
  <c r="M235"/>
  <c r="L235"/>
  <c r="K235"/>
  <c r="J235"/>
  <c r="I235"/>
  <c r="H235"/>
  <c r="G235"/>
  <c r="F235"/>
  <c r="E235"/>
  <c r="V221"/>
  <c r="U221"/>
  <c r="S221"/>
  <c r="R221"/>
  <c r="Q221"/>
  <c r="P221"/>
  <c r="O221"/>
  <c r="N221"/>
  <c r="M221"/>
  <c r="L221"/>
  <c r="K221"/>
  <c r="J221"/>
  <c r="H221"/>
  <c r="G221"/>
  <c r="F221"/>
  <c r="E221"/>
  <c r="D221"/>
  <c r="S210"/>
  <c r="R210"/>
  <c r="Q210"/>
  <c r="P210"/>
  <c r="O210"/>
  <c r="N210"/>
  <c r="M210"/>
  <c r="L210"/>
  <c r="K210"/>
  <c r="J210"/>
  <c r="I210"/>
  <c r="G210"/>
  <c r="F210"/>
  <c r="E210"/>
  <c r="D210"/>
  <c r="V205"/>
  <c r="U205"/>
  <c r="U204"/>
  <c r="S204"/>
  <c r="R204"/>
  <c r="Q204"/>
  <c r="P204"/>
  <c r="O204"/>
  <c r="N204"/>
  <c r="M204"/>
  <c r="L204"/>
  <c r="K204"/>
  <c r="J204"/>
  <c r="I204"/>
  <c r="H204"/>
  <c r="G204"/>
  <c r="F204"/>
  <c r="E204"/>
  <c r="D204"/>
  <c r="V204"/>
  <c r="T176"/>
  <c r="R176"/>
  <c r="P176"/>
  <c r="N176"/>
  <c r="L176"/>
  <c r="I176"/>
  <c r="F176"/>
  <c r="U49"/>
  <c r="R49"/>
  <c r="P49"/>
  <c r="N49"/>
  <c r="L49"/>
  <c r="J49"/>
  <c r="H49"/>
  <c r="F49"/>
  <c r="D49"/>
  <c r="V39"/>
  <c r="U39"/>
  <c r="S39"/>
  <c r="R39"/>
  <c r="Q39"/>
  <c r="P39"/>
  <c r="O39"/>
  <c r="N39"/>
  <c r="L39"/>
  <c r="K39"/>
  <c r="J39"/>
  <c r="I39"/>
  <c r="G39"/>
  <c r="D39"/>
  <c r="V28"/>
  <c r="U28"/>
  <c r="S28"/>
  <c r="R28"/>
  <c r="Q28"/>
  <c r="P28"/>
  <c r="O28"/>
  <c r="N28"/>
  <c r="M28"/>
  <c r="L28"/>
  <c r="K28"/>
  <c r="J28"/>
  <c r="I28"/>
  <c r="H28"/>
  <c r="G28"/>
  <c r="F28"/>
  <c r="D28"/>
  <c r="V21"/>
  <c r="U21"/>
  <c r="S21"/>
  <c r="R21"/>
  <c r="Q21"/>
  <c r="P21"/>
  <c r="O21"/>
  <c r="N21"/>
  <c r="M21"/>
  <c r="L21"/>
  <c r="K21"/>
  <c r="J21"/>
  <c r="I21"/>
  <c r="H21"/>
  <c r="G21"/>
  <c r="F21"/>
  <c r="E21"/>
  <c r="N262" i="83"/>
  <c r="D204"/>
  <c r="V189"/>
  <c r="C190" i="65"/>
  <c r="C51"/>
  <c r="C12"/>
  <c r="C30"/>
  <c r="C206"/>
  <c r="C142"/>
  <c r="C46"/>
  <c r="C184"/>
  <c r="C166"/>
  <c r="C184" i="21"/>
  <c r="C127"/>
  <c r="C182" i="73"/>
  <c r="C76"/>
  <c r="C61"/>
  <c r="C132"/>
  <c r="C127"/>
  <c r="K285" i="83"/>
  <c r="M39"/>
  <c r="H39"/>
  <c r="C285"/>
  <c r="Q285"/>
  <c r="K39"/>
  <c r="H49"/>
  <c r="C50" i="81"/>
  <c r="E39" i="83"/>
  <c r="E28"/>
  <c r="V297"/>
  <c r="U297"/>
  <c r="S297"/>
  <c r="R297"/>
  <c r="Q297"/>
  <c r="P297"/>
  <c r="O297"/>
  <c r="N297"/>
  <c r="M297"/>
  <c r="L297"/>
  <c r="K297"/>
  <c r="J297"/>
  <c r="I297"/>
  <c r="H297"/>
  <c r="G297"/>
  <c r="F297"/>
  <c r="E297"/>
  <c r="D297"/>
  <c r="C287"/>
  <c r="C297" s="1"/>
  <c r="V285"/>
  <c r="U285"/>
  <c r="S285"/>
  <c r="R285"/>
  <c r="P285"/>
  <c r="O285"/>
  <c r="N285"/>
  <c r="M285"/>
  <c r="L285"/>
  <c r="J285"/>
  <c r="I285"/>
  <c r="H285"/>
  <c r="G285"/>
  <c r="F285"/>
  <c r="E285"/>
  <c r="D285"/>
  <c r="V276"/>
  <c r="U276"/>
  <c r="S276"/>
  <c r="R276"/>
  <c r="Q276"/>
  <c r="P276"/>
  <c r="O276"/>
  <c r="N276"/>
  <c r="M276"/>
  <c r="L276"/>
  <c r="K276"/>
  <c r="J276"/>
  <c r="I276"/>
  <c r="H276"/>
  <c r="G276"/>
  <c r="F276"/>
  <c r="E276"/>
  <c r="D276"/>
  <c r="W276"/>
  <c r="C276"/>
  <c r="V272"/>
  <c r="U272"/>
  <c r="S272"/>
  <c r="R272"/>
  <c r="Q272"/>
  <c r="P272"/>
  <c r="O272"/>
  <c r="N272"/>
  <c r="M272"/>
  <c r="L272"/>
  <c r="K272"/>
  <c r="J272"/>
  <c r="I272"/>
  <c r="H272"/>
  <c r="G272"/>
  <c r="F272"/>
  <c r="E272"/>
  <c r="D272"/>
  <c r="W272"/>
  <c r="C272"/>
  <c r="V262"/>
  <c r="U262"/>
  <c r="S262"/>
  <c r="R262"/>
  <c r="Q262"/>
  <c r="P262"/>
  <c r="O262"/>
  <c r="W262"/>
  <c r="M262"/>
  <c r="L262"/>
  <c r="K262"/>
  <c r="J262"/>
  <c r="I262"/>
  <c r="H262"/>
  <c r="G262"/>
  <c r="F262"/>
  <c r="E262"/>
  <c r="D262"/>
  <c r="V249"/>
  <c r="U249"/>
  <c r="S249"/>
  <c r="R249"/>
  <c r="Q249"/>
  <c r="P249"/>
  <c r="O249"/>
  <c r="N249"/>
  <c r="M249"/>
  <c r="L249"/>
  <c r="K249"/>
  <c r="J249"/>
  <c r="I249"/>
  <c r="H249"/>
  <c r="G249"/>
  <c r="F249"/>
  <c r="E249"/>
  <c r="V245"/>
  <c r="U245"/>
  <c r="S245"/>
  <c r="R245"/>
  <c r="Q245"/>
  <c r="P245"/>
  <c r="O245"/>
  <c r="N245"/>
  <c r="M245"/>
  <c r="L245"/>
  <c r="K245"/>
  <c r="J245"/>
  <c r="I245"/>
  <c r="H245"/>
  <c r="G245"/>
  <c r="F245"/>
  <c r="E245"/>
  <c r="V242"/>
  <c r="U242"/>
  <c r="S242"/>
  <c r="R242"/>
  <c r="Q242"/>
  <c r="P242"/>
  <c r="O242"/>
  <c r="N242"/>
  <c r="M242"/>
  <c r="L242"/>
  <c r="K242"/>
  <c r="J242"/>
  <c r="I242"/>
  <c r="H242"/>
  <c r="G242"/>
  <c r="F242"/>
  <c r="E242"/>
  <c r="W242"/>
  <c r="C238"/>
  <c r="V235"/>
  <c r="U235"/>
  <c r="S235"/>
  <c r="R235"/>
  <c r="Q235"/>
  <c r="P235"/>
  <c r="O235"/>
  <c r="N235"/>
  <c r="M235"/>
  <c r="L235"/>
  <c r="K235"/>
  <c r="J235"/>
  <c r="I235"/>
  <c r="H235"/>
  <c r="G235"/>
  <c r="F235"/>
  <c r="W235"/>
  <c r="E235"/>
  <c r="C231"/>
  <c r="C262"/>
  <c r="C224"/>
  <c r="V221"/>
  <c r="U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S210"/>
  <c r="R210"/>
  <c r="Q210"/>
  <c r="P210"/>
  <c r="O210"/>
  <c r="N210"/>
  <c r="M210"/>
  <c r="L210"/>
  <c r="K210"/>
  <c r="J210"/>
  <c r="I210"/>
  <c r="H210"/>
  <c r="G210"/>
  <c r="F210"/>
  <c r="E210"/>
  <c r="D210"/>
  <c r="V209"/>
  <c r="U209"/>
  <c r="C209"/>
  <c r="V208"/>
  <c r="U208"/>
  <c r="C208"/>
  <c r="V207"/>
  <c r="U207"/>
  <c r="C207"/>
  <c r="V206"/>
  <c r="V210" s="1"/>
  <c r="U206"/>
  <c r="C206"/>
  <c r="C210"/>
  <c r="V205"/>
  <c r="U205"/>
  <c r="V204"/>
  <c r="U204"/>
  <c r="S204"/>
  <c r="R204"/>
  <c r="Q204"/>
  <c r="P204"/>
  <c r="O204"/>
  <c r="N204"/>
  <c r="M204"/>
  <c r="L204"/>
  <c r="K204"/>
  <c r="J204"/>
  <c r="I204"/>
  <c r="H204"/>
  <c r="G204"/>
  <c r="F204"/>
  <c r="E204"/>
  <c r="C189"/>
  <c r="C187"/>
  <c r="C185"/>
  <c r="C184"/>
  <c r="C182"/>
  <c r="C181"/>
  <c r="C180"/>
  <c r="C178"/>
  <c r="C204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63"/>
  <c r="C158"/>
  <c r="C156"/>
  <c r="C154"/>
  <c r="C137"/>
  <c r="C135"/>
  <c r="C134"/>
  <c r="C133"/>
  <c r="C131"/>
  <c r="C95"/>
  <c r="C94"/>
  <c r="C93"/>
  <c r="C92"/>
  <c r="C91"/>
  <c r="C90"/>
  <c r="C81"/>
  <c r="C80"/>
  <c r="C79"/>
  <c r="C67"/>
  <c r="C66"/>
  <c r="C64"/>
  <c r="C63"/>
  <c r="C61"/>
  <c r="C58"/>
  <c r="C55"/>
  <c r="C52"/>
  <c r="C51"/>
  <c r="C176"/>
  <c r="V49"/>
  <c r="U49"/>
  <c r="S49"/>
  <c r="R49"/>
  <c r="Q49"/>
  <c r="P49"/>
  <c r="O49"/>
  <c r="N49"/>
  <c r="M49"/>
  <c r="L49"/>
  <c r="K49"/>
  <c r="J49"/>
  <c r="I49"/>
  <c r="G49"/>
  <c r="F49"/>
  <c r="E49"/>
  <c r="D49"/>
  <c r="C47"/>
  <c r="C46"/>
  <c r="C43"/>
  <c r="C49"/>
  <c r="V39"/>
  <c r="U39"/>
  <c r="S39"/>
  <c r="R39"/>
  <c r="Q39"/>
  <c r="P39"/>
  <c r="O39"/>
  <c r="N39"/>
  <c r="L39"/>
  <c r="J39"/>
  <c r="I39"/>
  <c r="G39"/>
  <c r="F39"/>
  <c r="D39"/>
  <c r="C36"/>
  <c r="C34"/>
  <c r="C33"/>
  <c r="C30"/>
  <c r="C39"/>
  <c r="V28"/>
  <c r="U28"/>
  <c r="S28"/>
  <c r="R28"/>
  <c r="Q28"/>
  <c r="P28"/>
  <c r="O28"/>
  <c r="N28"/>
  <c r="M28"/>
  <c r="L28"/>
  <c r="K28"/>
  <c r="J28"/>
  <c r="I28"/>
  <c r="H28"/>
  <c r="G28"/>
  <c r="F28"/>
  <c r="D28"/>
  <c r="C28"/>
  <c r="C27"/>
  <c r="V21"/>
  <c r="U21"/>
  <c r="S21"/>
  <c r="R21"/>
  <c r="Q21"/>
  <c r="P21"/>
  <c r="O21"/>
  <c r="N21"/>
  <c r="M21"/>
  <c r="L21"/>
  <c r="K21"/>
  <c r="J21"/>
  <c r="I21"/>
  <c r="H21"/>
  <c r="G21"/>
  <c r="F21"/>
  <c r="E21"/>
  <c r="D21"/>
  <c r="W21"/>
  <c r="C19"/>
  <c r="C21"/>
  <c r="C36" i="81"/>
  <c r="C32"/>
  <c r="C53"/>
  <c r="C141"/>
  <c r="C30"/>
  <c r="C144"/>
  <c r="C140"/>
  <c r="C133"/>
  <c r="C131"/>
  <c r="C52"/>
  <c r="C84"/>
  <c r="C184"/>
  <c r="C74"/>
  <c r="C45"/>
  <c r="C196"/>
  <c r="C213"/>
  <c r="C60"/>
  <c r="C181"/>
  <c r="C76"/>
  <c r="C64"/>
  <c r="C59"/>
  <c r="C183"/>
  <c r="C126"/>
  <c r="C117"/>
  <c r="C116"/>
  <c r="C182"/>
  <c r="C33"/>
  <c r="C80"/>
  <c r="C77"/>
  <c r="C73"/>
  <c r="C85"/>
  <c r="C34"/>
  <c r="C37"/>
  <c r="C113"/>
  <c r="C120"/>
  <c r="C115"/>
  <c r="C123"/>
  <c r="C179"/>
  <c r="C207"/>
  <c r="C112"/>
  <c r="C114"/>
  <c r="C39" i="77"/>
  <c r="C65" i="81"/>
  <c r="C125"/>
  <c r="C192"/>
  <c r="C68"/>
  <c r="D21" i="82"/>
  <c r="H299"/>
  <c r="H298"/>
  <c r="E299"/>
  <c r="E298"/>
  <c r="K299"/>
  <c r="K298"/>
  <c r="E242"/>
  <c r="W242"/>
  <c r="W235"/>
  <c r="E28"/>
  <c r="M39"/>
  <c r="E210"/>
  <c r="E39"/>
  <c r="V297"/>
  <c r="U297"/>
  <c r="S297"/>
  <c r="R297"/>
  <c r="R299"/>
  <c r="Q297"/>
  <c r="Q299"/>
  <c r="P297"/>
  <c r="O297"/>
  <c r="N297"/>
  <c r="M297"/>
  <c r="L297"/>
  <c r="K297"/>
  <c r="J297"/>
  <c r="I297"/>
  <c r="H297"/>
  <c r="G297"/>
  <c r="F297"/>
  <c r="E297"/>
  <c r="D297"/>
  <c r="C287"/>
  <c r="C297" s="1"/>
  <c r="C299" s="1"/>
  <c r="V285"/>
  <c r="U285"/>
  <c r="S285"/>
  <c r="R285"/>
  <c r="Q285"/>
  <c r="P285"/>
  <c r="O285"/>
  <c r="N285"/>
  <c r="M285"/>
  <c r="L285"/>
  <c r="K285"/>
  <c r="J285"/>
  <c r="I285"/>
  <c r="H285"/>
  <c r="G285"/>
  <c r="F285"/>
  <c r="E285"/>
  <c r="D285"/>
  <c r="W285"/>
  <c r="C285"/>
  <c r="V276"/>
  <c r="U276"/>
  <c r="S276"/>
  <c r="R276"/>
  <c r="Q276"/>
  <c r="P276"/>
  <c r="O276"/>
  <c r="N276"/>
  <c r="M276"/>
  <c r="L276"/>
  <c r="K276"/>
  <c r="J276"/>
  <c r="I276"/>
  <c r="H276"/>
  <c r="G276"/>
  <c r="F276"/>
  <c r="E276"/>
  <c r="D276"/>
  <c r="W276"/>
  <c r="C276"/>
  <c r="V272"/>
  <c r="U272"/>
  <c r="S272"/>
  <c r="R272"/>
  <c r="R298"/>
  <c r="Q272"/>
  <c r="Q298"/>
  <c r="P272"/>
  <c r="O272"/>
  <c r="N272"/>
  <c r="M272"/>
  <c r="L272"/>
  <c r="K272"/>
  <c r="J272"/>
  <c r="I272"/>
  <c r="H272"/>
  <c r="G272"/>
  <c r="F272"/>
  <c r="E272"/>
  <c r="D272"/>
  <c r="W272"/>
  <c r="C272"/>
  <c r="V262"/>
  <c r="U262"/>
  <c r="S262"/>
  <c r="R262"/>
  <c r="Q262"/>
  <c r="P262"/>
  <c r="O262"/>
  <c r="N262"/>
  <c r="M262"/>
  <c r="L262"/>
  <c r="K262"/>
  <c r="J262"/>
  <c r="I262"/>
  <c r="H262"/>
  <c r="G262"/>
  <c r="F262"/>
  <c r="E262"/>
  <c r="D262"/>
  <c r="W262"/>
  <c r="V249"/>
  <c r="U249"/>
  <c r="S249"/>
  <c r="R249"/>
  <c r="Q249"/>
  <c r="P249"/>
  <c r="O249"/>
  <c r="N249"/>
  <c r="M249"/>
  <c r="L249"/>
  <c r="K249"/>
  <c r="J249"/>
  <c r="I249"/>
  <c r="H249"/>
  <c r="G249"/>
  <c r="F249"/>
  <c r="E249"/>
  <c r="V245"/>
  <c r="U245"/>
  <c r="S245"/>
  <c r="R245"/>
  <c r="Q245"/>
  <c r="P245"/>
  <c r="O245"/>
  <c r="N245"/>
  <c r="M245"/>
  <c r="L245"/>
  <c r="K245"/>
  <c r="J245"/>
  <c r="I245"/>
  <c r="H245"/>
  <c r="G245"/>
  <c r="F245"/>
  <c r="E245"/>
  <c r="V242"/>
  <c r="U242"/>
  <c r="S242"/>
  <c r="R242"/>
  <c r="Q242"/>
  <c r="P242"/>
  <c r="O242"/>
  <c r="N242"/>
  <c r="M242"/>
  <c r="L242"/>
  <c r="K242"/>
  <c r="J242"/>
  <c r="I242"/>
  <c r="H242"/>
  <c r="G242"/>
  <c r="F242"/>
  <c r="C238"/>
  <c r="C262"/>
  <c r="V235"/>
  <c r="U235"/>
  <c r="S235"/>
  <c r="R235"/>
  <c r="Q235"/>
  <c r="P235"/>
  <c r="O235"/>
  <c r="N235"/>
  <c r="M235"/>
  <c r="L235"/>
  <c r="K235"/>
  <c r="J235"/>
  <c r="I235"/>
  <c r="H235"/>
  <c r="G235"/>
  <c r="F235"/>
  <c r="E235"/>
  <c r="C231"/>
  <c r="C224"/>
  <c r="V221"/>
  <c r="U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S210"/>
  <c r="R210"/>
  <c r="Q210"/>
  <c r="P210"/>
  <c r="O210"/>
  <c r="N210"/>
  <c r="M210"/>
  <c r="L210"/>
  <c r="K210"/>
  <c r="J210"/>
  <c r="I210"/>
  <c r="H210"/>
  <c r="G210"/>
  <c r="F210"/>
  <c r="D210"/>
  <c r="V209"/>
  <c r="U209"/>
  <c r="C209"/>
  <c r="V208"/>
  <c r="U208"/>
  <c r="C208"/>
  <c r="V207"/>
  <c r="U207"/>
  <c r="C207"/>
  <c r="V206"/>
  <c r="U206"/>
  <c r="C206"/>
  <c r="C210"/>
  <c r="V205"/>
  <c r="U205"/>
  <c r="V204"/>
  <c r="U204"/>
  <c r="S204"/>
  <c r="R204"/>
  <c r="Q204"/>
  <c r="P204"/>
  <c r="O204"/>
  <c r="N204"/>
  <c r="M204"/>
  <c r="L204"/>
  <c r="K204"/>
  <c r="J204"/>
  <c r="I204"/>
  <c r="H204"/>
  <c r="G204"/>
  <c r="F204"/>
  <c r="E204"/>
  <c r="D204"/>
  <c r="C189"/>
  <c r="C187"/>
  <c r="C185"/>
  <c r="C184"/>
  <c r="C182"/>
  <c r="C181"/>
  <c r="C180"/>
  <c r="C178"/>
  <c r="C204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C163"/>
  <c r="C158"/>
  <c r="C156"/>
  <c r="C154"/>
  <c r="C137"/>
  <c r="C135"/>
  <c r="C134"/>
  <c r="C133"/>
  <c r="C131"/>
  <c r="C95"/>
  <c r="C94"/>
  <c r="C93"/>
  <c r="C92"/>
  <c r="C91"/>
  <c r="C90"/>
  <c r="C81"/>
  <c r="C80"/>
  <c r="C79"/>
  <c r="C67"/>
  <c r="C66"/>
  <c r="C64"/>
  <c r="C63"/>
  <c r="C61"/>
  <c r="C58"/>
  <c r="C55"/>
  <c r="C52"/>
  <c r="C51"/>
  <c r="C176"/>
  <c r="V49"/>
  <c r="U49"/>
  <c r="S49"/>
  <c r="R49"/>
  <c r="Q49"/>
  <c r="P49"/>
  <c r="O49"/>
  <c r="N49"/>
  <c r="M49"/>
  <c r="L49"/>
  <c r="K49"/>
  <c r="J49"/>
  <c r="I49"/>
  <c r="H49"/>
  <c r="G49"/>
  <c r="F49"/>
  <c r="E49"/>
  <c r="D49"/>
  <c r="C47"/>
  <c r="C46"/>
  <c r="C43"/>
  <c r="C49"/>
  <c r="V39"/>
  <c r="U39"/>
  <c r="S39"/>
  <c r="R39"/>
  <c r="Q39"/>
  <c r="P39"/>
  <c r="O39"/>
  <c r="N39"/>
  <c r="L39"/>
  <c r="K39"/>
  <c r="J39"/>
  <c r="I39"/>
  <c r="H39"/>
  <c r="G39"/>
  <c r="F39"/>
  <c r="D39"/>
  <c r="C36"/>
  <c r="C34"/>
  <c r="C33"/>
  <c r="C30"/>
  <c r="C39"/>
  <c r="V28"/>
  <c r="U28"/>
  <c r="S28"/>
  <c r="R28"/>
  <c r="Q28"/>
  <c r="P28"/>
  <c r="O28"/>
  <c r="N28"/>
  <c r="M28"/>
  <c r="L28"/>
  <c r="K28"/>
  <c r="J28"/>
  <c r="I28"/>
  <c r="H28"/>
  <c r="G28"/>
  <c r="F28"/>
  <c r="D28"/>
  <c r="C27"/>
  <c r="C28"/>
  <c r="V21"/>
  <c r="U21"/>
  <c r="S21"/>
  <c r="R21"/>
  <c r="Q21"/>
  <c r="P21"/>
  <c r="O21"/>
  <c r="N21"/>
  <c r="M21"/>
  <c r="L21"/>
  <c r="K21"/>
  <c r="J21"/>
  <c r="I21"/>
  <c r="H21"/>
  <c r="G21"/>
  <c r="F21"/>
  <c r="E21"/>
  <c r="W21"/>
  <c r="C19"/>
  <c r="C21"/>
  <c r="C210" i="80"/>
  <c r="C221"/>
  <c r="C293"/>
  <c r="C235"/>
  <c r="C242"/>
  <c r="C245"/>
  <c r="C276"/>
  <c r="C249"/>
  <c r="G24" i="81"/>
  <c r="G25"/>
  <c r="G26"/>
  <c r="G27"/>
  <c r="G23"/>
  <c r="G11"/>
  <c r="G12"/>
  <c r="G13"/>
  <c r="G14"/>
  <c r="G15"/>
  <c r="G16"/>
  <c r="G17"/>
  <c r="G18"/>
  <c r="G19"/>
  <c r="G20"/>
  <c r="G10"/>
  <c r="G285"/>
  <c r="G286"/>
  <c r="G287"/>
  <c r="G288"/>
  <c r="G289"/>
  <c r="G290"/>
  <c r="G291"/>
  <c r="G292"/>
  <c r="G284"/>
  <c r="G294"/>
  <c r="G282"/>
  <c r="G277"/>
  <c r="C61"/>
  <c r="G253"/>
  <c r="G254"/>
  <c r="G255"/>
  <c r="G256"/>
  <c r="G257"/>
  <c r="G258"/>
  <c r="G259"/>
  <c r="G260"/>
  <c r="G261"/>
  <c r="G262"/>
  <c r="G252"/>
  <c r="G249"/>
  <c r="G248"/>
  <c r="G250" s="1"/>
  <c r="G245"/>
  <c r="G246" s="1"/>
  <c r="G239"/>
  <c r="G240"/>
  <c r="G241"/>
  <c r="G242"/>
  <c r="G238"/>
  <c r="G243" s="1"/>
  <c r="G229"/>
  <c r="G230"/>
  <c r="G231"/>
  <c r="G232"/>
  <c r="G233"/>
  <c r="G234"/>
  <c r="G235"/>
  <c r="G228"/>
  <c r="G214"/>
  <c r="G215"/>
  <c r="G216"/>
  <c r="G213"/>
  <c r="G208"/>
  <c r="G209"/>
  <c r="G210"/>
  <c r="G207"/>
  <c r="G211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179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52"/>
  <c r="G42"/>
  <c r="G43"/>
  <c r="G44"/>
  <c r="G45"/>
  <c r="G46"/>
  <c r="G47"/>
  <c r="G48"/>
  <c r="G41"/>
  <c r="G50" s="1"/>
  <c r="G31"/>
  <c r="G32"/>
  <c r="G33"/>
  <c r="G34"/>
  <c r="G35"/>
  <c r="G36"/>
  <c r="G37"/>
  <c r="G30"/>
  <c r="G39" s="1"/>
  <c r="G21"/>
  <c r="F294"/>
  <c r="C294"/>
  <c r="F282"/>
  <c r="E282"/>
  <c r="C282"/>
  <c r="F277"/>
  <c r="D277"/>
  <c r="C277"/>
  <c r="I273"/>
  <c r="H273"/>
  <c r="G273"/>
  <c r="F273"/>
  <c r="E273"/>
  <c r="D273"/>
  <c r="C273"/>
  <c r="D263"/>
  <c r="C263"/>
  <c r="D250"/>
  <c r="C250"/>
  <c r="D246"/>
  <c r="C246"/>
  <c r="D243"/>
  <c r="C239"/>
  <c r="C243"/>
  <c r="D236"/>
  <c r="C236"/>
  <c r="C232"/>
  <c r="I225"/>
  <c r="H225"/>
  <c r="G225"/>
  <c r="F225"/>
  <c r="E225"/>
  <c r="D225"/>
  <c r="C225"/>
  <c r="C222"/>
  <c r="H221"/>
  <c r="I221"/>
  <c r="H220"/>
  <c r="I220"/>
  <c r="H219"/>
  <c r="I219"/>
  <c r="H218"/>
  <c r="I218"/>
  <c r="H217"/>
  <c r="I217"/>
  <c r="C210"/>
  <c r="C209"/>
  <c r="C208"/>
  <c r="C211"/>
  <c r="H204"/>
  <c r="I204"/>
  <c r="H203"/>
  <c r="I203"/>
  <c r="H202"/>
  <c r="I202"/>
  <c r="H201"/>
  <c r="I201"/>
  <c r="H200"/>
  <c r="I200"/>
  <c r="C190"/>
  <c r="C188"/>
  <c r="C186"/>
  <c r="C185"/>
  <c r="C205"/>
  <c r="H176"/>
  <c r="I176"/>
  <c r="C169"/>
  <c r="C164"/>
  <c r="C159"/>
  <c r="C157"/>
  <c r="C156"/>
  <c r="C155"/>
  <c r="C154"/>
  <c r="C153"/>
  <c r="C152"/>
  <c r="C151"/>
  <c r="C150"/>
  <c r="C149"/>
  <c r="C148"/>
  <c r="C147"/>
  <c r="C146"/>
  <c r="C145"/>
  <c r="C142"/>
  <c r="C138"/>
  <c r="C137"/>
  <c r="C136"/>
  <c r="C135"/>
  <c r="C134"/>
  <c r="C132"/>
  <c r="C129"/>
  <c r="C128"/>
  <c r="C96"/>
  <c r="C95"/>
  <c r="C94"/>
  <c r="C93"/>
  <c r="C92"/>
  <c r="C91"/>
  <c r="C82"/>
  <c r="C81"/>
  <c r="C78"/>
  <c r="C75"/>
  <c r="C72"/>
  <c r="C71"/>
  <c r="C70"/>
  <c r="C69"/>
  <c r="C67"/>
  <c r="C63"/>
  <c r="C62"/>
  <c r="C56"/>
  <c r="C177"/>
  <c r="C47"/>
  <c r="C46"/>
  <c r="C43"/>
  <c r="I29"/>
  <c r="C27"/>
  <c r="C28"/>
  <c r="C25"/>
  <c r="C24"/>
  <c r="C23"/>
  <c r="I22"/>
  <c r="C19"/>
  <c r="C10"/>
  <c r="C21"/>
  <c r="V278" i="80"/>
  <c r="V280" s="1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E264"/>
  <c r="E272" s="1"/>
  <c r="F264"/>
  <c r="F272" s="1"/>
  <c r="G264"/>
  <c r="G272" s="1"/>
  <c r="H264"/>
  <c r="H272" s="1"/>
  <c r="I264"/>
  <c r="I272" s="1"/>
  <c r="J264"/>
  <c r="J272" s="1"/>
  <c r="K264"/>
  <c r="K272" s="1"/>
  <c r="L264"/>
  <c r="L272" s="1"/>
  <c r="M264"/>
  <c r="M272" s="1"/>
  <c r="N264"/>
  <c r="N272" s="1"/>
  <c r="O264"/>
  <c r="O272" s="1"/>
  <c r="P264"/>
  <c r="P272" s="1"/>
  <c r="Q264"/>
  <c r="Q272" s="1"/>
  <c r="R264"/>
  <c r="R272" s="1"/>
  <c r="S264"/>
  <c r="S272" s="1"/>
  <c r="T264"/>
  <c r="T272" s="1"/>
  <c r="U264"/>
  <c r="U272" s="1"/>
  <c r="V264"/>
  <c r="V272" s="1"/>
  <c r="D264"/>
  <c r="D272" s="1"/>
  <c r="D248"/>
  <c r="V248"/>
  <c r="V247"/>
  <c r="V249" s="1"/>
  <c r="D247"/>
  <c r="D249" s="1"/>
  <c r="D245"/>
  <c r="V224"/>
  <c r="E223"/>
  <c r="E224" s="1"/>
  <c r="F223"/>
  <c r="F224" s="1"/>
  <c r="G223"/>
  <c r="G224" s="1"/>
  <c r="H223"/>
  <c r="H224" s="1"/>
  <c r="I223"/>
  <c r="I224" s="1"/>
  <c r="J223"/>
  <c r="J224" s="1"/>
  <c r="K223"/>
  <c r="K224" s="1"/>
  <c r="L223"/>
  <c r="L224" s="1"/>
  <c r="M223"/>
  <c r="M224" s="1"/>
  <c r="N223"/>
  <c r="N224" s="1"/>
  <c r="O223"/>
  <c r="O224" s="1"/>
  <c r="P223"/>
  <c r="P224" s="1"/>
  <c r="Q223"/>
  <c r="Q224" s="1"/>
  <c r="R223"/>
  <c r="R224" s="1"/>
  <c r="S223"/>
  <c r="S224" s="1"/>
  <c r="T223"/>
  <c r="T224" s="1"/>
  <c r="U223"/>
  <c r="U224" s="1"/>
  <c r="D223"/>
  <c r="D224" s="1"/>
  <c r="C282"/>
  <c r="C292" s="1"/>
  <c r="C294" s="1"/>
  <c r="C280"/>
  <c r="C272"/>
  <c r="C238"/>
  <c r="C231"/>
  <c r="C224"/>
  <c r="D221"/>
  <c r="D210"/>
  <c r="C209"/>
  <c r="C208"/>
  <c r="C207"/>
  <c r="C206"/>
  <c r="V205"/>
  <c r="U205"/>
  <c r="D204"/>
  <c r="C189"/>
  <c r="C187"/>
  <c r="C185"/>
  <c r="C184"/>
  <c r="C182"/>
  <c r="C181"/>
  <c r="C180"/>
  <c r="C178"/>
  <c r="D176"/>
  <c r="C163"/>
  <c r="C158"/>
  <c r="C156"/>
  <c r="C154"/>
  <c r="C137"/>
  <c r="C135"/>
  <c r="C134"/>
  <c r="C133"/>
  <c r="C131"/>
  <c r="C95"/>
  <c r="C94"/>
  <c r="C93"/>
  <c r="C92"/>
  <c r="C91"/>
  <c r="C90"/>
  <c r="C81"/>
  <c r="C80"/>
  <c r="C79"/>
  <c r="C67"/>
  <c r="C66"/>
  <c r="C64"/>
  <c r="C63"/>
  <c r="C61"/>
  <c r="C58"/>
  <c r="C55"/>
  <c r="C52"/>
  <c r="C51"/>
  <c r="D49"/>
  <c r="C47"/>
  <c r="C46"/>
  <c r="C43"/>
  <c r="D39"/>
  <c r="C36"/>
  <c r="C34"/>
  <c r="C33"/>
  <c r="C30"/>
  <c r="C39"/>
  <c r="V28"/>
  <c r="U28"/>
  <c r="S28"/>
  <c r="R28"/>
  <c r="Q28"/>
  <c r="P28"/>
  <c r="O28"/>
  <c r="N28"/>
  <c r="M28"/>
  <c r="L28"/>
  <c r="K28"/>
  <c r="J28"/>
  <c r="I28"/>
  <c r="H28"/>
  <c r="G28"/>
  <c r="F28"/>
  <c r="D28"/>
  <c r="C27"/>
  <c r="C28"/>
  <c r="V21"/>
  <c r="U21"/>
  <c r="S21"/>
  <c r="R21"/>
  <c r="Q21"/>
  <c r="P21"/>
  <c r="O21"/>
  <c r="N21"/>
  <c r="M21"/>
  <c r="L21"/>
  <c r="K21"/>
  <c r="J21"/>
  <c r="I21"/>
  <c r="H21"/>
  <c r="G21"/>
  <c r="F21"/>
  <c r="E21"/>
  <c r="C19"/>
  <c r="C21"/>
  <c r="N262" i="79"/>
  <c r="E235"/>
  <c r="T176"/>
  <c r="M39"/>
  <c r="H210"/>
  <c r="H39"/>
  <c r="E210"/>
  <c r="E39"/>
  <c r="E28"/>
  <c r="D21"/>
  <c r="F210"/>
  <c r="G210"/>
  <c r="I210"/>
  <c r="J210"/>
  <c r="K210"/>
  <c r="L210"/>
  <c r="M210"/>
  <c r="N210"/>
  <c r="O210"/>
  <c r="P210"/>
  <c r="Q210"/>
  <c r="R210"/>
  <c r="S210"/>
  <c r="D210"/>
  <c r="G298"/>
  <c r="J298"/>
  <c r="K298"/>
  <c r="L298"/>
  <c r="O298"/>
  <c r="Q298"/>
  <c r="R298"/>
  <c r="W262"/>
  <c r="E297"/>
  <c r="F297"/>
  <c r="G297"/>
  <c r="H297"/>
  <c r="I297"/>
  <c r="J297"/>
  <c r="K297"/>
  <c r="L297"/>
  <c r="M297"/>
  <c r="N297"/>
  <c r="O297"/>
  <c r="P297"/>
  <c r="Q297"/>
  <c r="R297"/>
  <c r="S297"/>
  <c r="U297"/>
  <c r="V297"/>
  <c r="D297"/>
  <c r="D285"/>
  <c r="D276"/>
  <c r="W276"/>
  <c r="E272"/>
  <c r="F272"/>
  <c r="G272"/>
  <c r="H272"/>
  <c r="I272"/>
  <c r="J272"/>
  <c r="K272"/>
  <c r="L272"/>
  <c r="M272"/>
  <c r="N272"/>
  <c r="O272"/>
  <c r="P272"/>
  <c r="Q272"/>
  <c r="R272"/>
  <c r="S272"/>
  <c r="U272"/>
  <c r="V272"/>
  <c r="D272"/>
  <c r="E262"/>
  <c r="F262"/>
  <c r="G262"/>
  <c r="H262"/>
  <c r="I262"/>
  <c r="J262"/>
  <c r="K262"/>
  <c r="L262"/>
  <c r="M262"/>
  <c r="O262"/>
  <c r="P262"/>
  <c r="Q262"/>
  <c r="R262"/>
  <c r="S262"/>
  <c r="U262"/>
  <c r="V262"/>
  <c r="D262"/>
  <c r="I249"/>
  <c r="F249"/>
  <c r="G249"/>
  <c r="H249"/>
  <c r="J249"/>
  <c r="K249"/>
  <c r="L249"/>
  <c r="M249"/>
  <c r="N249"/>
  <c r="O249"/>
  <c r="P249"/>
  <c r="Q249"/>
  <c r="R249"/>
  <c r="S249"/>
  <c r="U249"/>
  <c r="V249"/>
  <c r="E249"/>
  <c r="F245"/>
  <c r="G245"/>
  <c r="H245"/>
  <c r="I245"/>
  <c r="J245"/>
  <c r="K245"/>
  <c r="L245"/>
  <c r="M245"/>
  <c r="N245"/>
  <c r="O245"/>
  <c r="P245"/>
  <c r="Q245"/>
  <c r="R245"/>
  <c r="S245"/>
  <c r="U245"/>
  <c r="V245"/>
  <c r="E245"/>
  <c r="M242"/>
  <c r="E242"/>
  <c r="F242"/>
  <c r="G242"/>
  <c r="H242"/>
  <c r="I242"/>
  <c r="J242"/>
  <c r="K242"/>
  <c r="L242"/>
  <c r="N242"/>
  <c r="O242"/>
  <c r="P242"/>
  <c r="Q242"/>
  <c r="R242"/>
  <c r="S242"/>
  <c r="U242"/>
  <c r="V242"/>
  <c r="M235"/>
  <c r="F235"/>
  <c r="G235"/>
  <c r="H235"/>
  <c r="I235"/>
  <c r="J235"/>
  <c r="K235"/>
  <c r="L235"/>
  <c r="N235"/>
  <c r="O235"/>
  <c r="P235"/>
  <c r="Q235"/>
  <c r="R235"/>
  <c r="S235"/>
  <c r="U235"/>
  <c r="V235"/>
  <c r="E204"/>
  <c r="E298"/>
  <c r="F204"/>
  <c r="G204"/>
  <c r="H204"/>
  <c r="I204"/>
  <c r="J204"/>
  <c r="K204"/>
  <c r="L204"/>
  <c r="M204"/>
  <c r="N204"/>
  <c r="N298"/>
  <c r="O204"/>
  <c r="P204"/>
  <c r="Q204"/>
  <c r="R204"/>
  <c r="S204"/>
  <c r="U204"/>
  <c r="V204"/>
  <c r="C287"/>
  <c r="C297" s="1"/>
  <c r="C299" s="1"/>
  <c r="C285"/>
  <c r="V285"/>
  <c r="U285"/>
  <c r="S285"/>
  <c r="R285"/>
  <c r="Q285"/>
  <c r="P285"/>
  <c r="O285"/>
  <c r="N285"/>
  <c r="M285"/>
  <c r="L285"/>
  <c r="K285"/>
  <c r="J285"/>
  <c r="I285"/>
  <c r="H285"/>
  <c r="G285"/>
  <c r="F285"/>
  <c r="E285"/>
  <c r="C276"/>
  <c r="V276"/>
  <c r="U276"/>
  <c r="S276"/>
  <c r="R276"/>
  <c r="Q276"/>
  <c r="P276"/>
  <c r="O276"/>
  <c r="N276"/>
  <c r="M276"/>
  <c r="L276"/>
  <c r="K276"/>
  <c r="J276"/>
  <c r="I276"/>
  <c r="H276"/>
  <c r="G276"/>
  <c r="F276"/>
  <c r="E276"/>
  <c r="W272"/>
  <c r="C272"/>
  <c r="C238"/>
  <c r="C231"/>
  <c r="C262"/>
  <c r="C224"/>
  <c r="D221"/>
  <c r="C221"/>
  <c r="V221"/>
  <c r="U221"/>
  <c r="S221"/>
  <c r="R221"/>
  <c r="Q221"/>
  <c r="P221"/>
  <c r="O221"/>
  <c r="N221"/>
  <c r="M221"/>
  <c r="L221"/>
  <c r="K221"/>
  <c r="J221"/>
  <c r="I221"/>
  <c r="H221"/>
  <c r="G221"/>
  <c r="F221"/>
  <c r="E221"/>
  <c r="V209"/>
  <c r="V209" i="80"/>
  <c r="U209" i="79"/>
  <c r="U209" i="84" s="1"/>
  <c r="C209" i="79"/>
  <c r="V208"/>
  <c r="V208" i="80" s="1"/>
  <c r="U208" i="79"/>
  <c r="U208" i="84" s="1"/>
  <c r="C208" i="79"/>
  <c r="V207"/>
  <c r="V207" i="84" s="1"/>
  <c r="U207" i="79"/>
  <c r="U207" i="84" s="1"/>
  <c r="C207" i="79"/>
  <c r="V206"/>
  <c r="V206" i="84" s="1"/>
  <c r="V206" i="80"/>
  <c r="U206" i="79"/>
  <c r="C206"/>
  <c r="C210"/>
  <c r="V205"/>
  <c r="U205"/>
  <c r="D204"/>
  <c r="C189"/>
  <c r="C187"/>
  <c r="C185"/>
  <c r="C184"/>
  <c r="C182"/>
  <c r="C181"/>
  <c r="C180"/>
  <c r="C178"/>
  <c r="C204"/>
  <c r="D176"/>
  <c r="C163"/>
  <c r="C158"/>
  <c r="C156"/>
  <c r="C154"/>
  <c r="C137"/>
  <c r="C135"/>
  <c r="C134"/>
  <c r="C133"/>
  <c r="C131"/>
  <c r="C95"/>
  <c r="C94"/>
  <c r="C93"/>
  <c r="C92"/>
  <c r="C91"/>
  <c r="C90"/>
  <c r="C81"/>
  <c r="C80"/>
  <c r="C79"/>
  <c r="C67"/>
  <c r="C66"/>
  <c r="C64"/>
  <c r="C63"/>
  <c r="C61"/>
  <c r="C58"/>
  <c r="C55"/>
  <c r="C52"/>
  <c r="V176"/>
  <c r="U176"/>
  <c r="S176"/>
  <c r="S298"/>
  <c r="R176"/>
  <c r="Q176"/>
  <c r="P176"/>
  <c r="P298"/>
  <c r="O176"/>
  <c r="N176"/>
  <c r="M176"/>
  <c r="L176"/>
  <c r="K176"/>
  <c r="J176"/>
  <c r="I176"/>
  <c r="H176"/>
  <c r="G176"/>
  <c r="F176"/>
  <c r="E176"/>
  <c r="C51"/>
  <c r="C176"/>
  <c r="D49"/>
  <c r="C47"/>
  <c r="C46"/>
  <c r="C43"/>
  <c r="C49"/>
  <c r="V49"/>
  <c r="U49"/>
  <c r="S49"/>
  <c r="R49"/>
  <c r="Q49"/>
  <c r="P49"/>
  <c r="O49"/>
  <c r="N49"/>
  <c r="M49"/>
  <c r="L49"/>
  <c r="K49"/>
  <c r="J49"/>
  <c r="I49"/>
  <c r="H49"/>
  <c r="G49"/>
  <c r="F49"/>
  <c r="E49"/>
  <c r="D39"/>
  <c r="C36"/>
  <c r="C34"/>
  <c r="C33"/>
  <c r="V39"/>
  <c r="U39"/>
  <c r="S39"/>
  <c r="R39"/>
  <c r="Q39"/>
  <c r="P39"/>
  <c r="O39"/>
  <c r="N39"/>
  <c r="L39"/>
  <c r="K39"/>
  <c r="J39"/>
  <c r="I39"/>
  <c r="G39"/>
  <c r="F39"/>
  <c r="C30"/>
  <c r="C39"/>
  <c r="V28"/>
  <c r="U28"/>
  <c r="S28"/>
  <c r="R28"/>
  <c r="Q28"/>
  <c r="P28"/>
  <c r="O28"/>
  <c r="N28"/>
  <c r="M28"/>
  <c r="L28"/>
  <c r="K28"/>
  <c r="J28"/>
  <c r="I28"/>
  <c r="H28"/>
  <c r="G28"/>
  <c r="F28"/>
  <c r="D28"/>
  <c r="C27"/>
  <c r="C28"/>
  <c r="V21"/>
  <c r="U21"/>
  <c r="S21"/>
  <c r="R21"/>
  <c r="Q21"/>
  <c r="P21"/>
  <c r="O21"/>
  <c r="N21"/>
  <c r="M21"/>
  <c r="L21"/>
  <c r="K21"/>
  <c r="J21"/>
  <c r="I21"/>
  <c r="H21"/>
  <c r="G21"/>
  <c r="F21"/>
  <c r="E21"/>
  <c r="C19"/>
  <c r="C21"/>
  <c r="W21"/>
  <c r="D179" i="77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78"/>
  <c r="D262"/>
  <c r="D249"/>
  <c r="D245"/>
  <c r="D242"/>
  <c r="D235"/>
  <c r="C21"/>
  <c r="I297" i="78"/>
  <c r="H297"/>
  <c r="G297"/>
  <c r="F297"/>
  <c r="I285"/>
  <c r="H285"/>
  <c r="G285"/>
  <c r="F285"/>
  <c r="E285"/>
  <c r="D285"/>
  <c r="G276"/>
  <c r="F276"/>
  <c r="D276"/>
  <c r="I272"/>
  <c r="H272"/>
  <c r="G272"/>
  <c r="F272"/>
  <c r="E272"/>
  <c r="D272"/>
  <c r="G262"/>
  <c r="D262"/>
  <c r="I261"/>
  <c r="I260"/>
  <c r="I259"/>
  <c r="I258"/>
  <c r="I257"/>
  <c r="I256"/>
  <c r="I255"/>
  <c r="I254"/>
  <c r="I253"/>
  <c r="I252"/>
  <c r="G249"/>
  <c r="D249"/>
  <c r="G245"/>
  <c r="D245"/>
  <c r="G242"/>
  <c r="D242"/>
  <c r="G235"/>
  <c r="D235"/>
  <c r="I224"/>
  <c r="H224"/>
  <c r="G224"/>
  <c r="F224"/>
  <c r="E224"/>
  <c r="D224"/>
  <c r="H220"/>
  <c r="I220"/>
  <c r="H219"/>
  <c r="I219"/>
  <c r="H218"/>
  <c r="I218"/>
  <c r="I217"/>
  <c r="H217"/>
  <c r="I216"/>
  <c r="H216"/>
  <c r="G210"/>
  <c r="G204"/>
  <c r="H203"/>
  <c r="I203"/>
  <c r="H202"/>
  <c r="I202"/>
  <c r="H201"/>
  <c r="I201"/>
  <c r="H200"/>
  <c r="I200"/>
  <c r="H199"/>
  <c r="I199"/>
  <c r="G176"/>
  <c r="H175"/>
  <c r="I175" s="1"/>
  <c r="G49"/>
  <c r="G39"/>
  <c r="I29"/>
  <c r="G28"/>
  <c r="I22"/>
  <c r="G21"/>
  <c r="C282" i="77"/>
  <c r="C292"/>
  <c r="C294" s="1"/>
  <c r="C280"/>
  <c r="C276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C272"/>
  <c r="F246" i="78"/>
  <c r="C238" i="77"/>
  <c r="C231"/>
  <c r="C262"/>
  <c r="C224"/>
  <c r="D221"/>
  <c r="C221"/>
  <c r="U210"/>
  <c r="T210"/>
  <c r="S210"/>
  <c r="R210"/>
  <c r="Q210"/>
  <c r="P210"/>
  <c r="O210"/>
  <c r="N210"/>
  <c r="U209"/>
  <c r="U209" i="80" s="1"/>
  <c r="T209" i="77"/>
  <c r="T209" i="80" s="1"/>
  <c r="S209" i="77"/>
  <c r="S209" i="80" s="1"/>
  <c r="R209" i="77"/>
  <c r="R209" i="80" s="1"/>
  <c r="Q209" i="77"/>
  <c r="Q209" i="80" s="1"/>
  <c r="P209" i="77"/>
  <c r="P209" i="80" s="1"/>
  <c r="O209" i="77"/>
  <c r="O209" i="80" s="1"/>
  <c r="N209" i="77"/>
  <c r="N209" i="80" s="1"/>
  <c r="M209" i="77"/>
  <c r="M209" i="80" s="1"/>
  <c r="L209" i="77"/>
  <c r="L209" i="80" s="1"/>
  <c r="K209" i="77"/>
  <c r="K209" i="80" s="1"/>
  <c r="J209" i="77"/>
  <c r="J209" i="80" s="1"/>
  <c r="C209" i="77"/>
  <c r="U208"/>
  <c r="U208" i="80" s="1"/>
  <c r="T208" i="77"/>
  <c r="T208" i="80" s="1"/>
  <c r="S208" i="77"/>
  <c r="S208" i="80" s="1"/>
  <c r="R208" i="77"/>
  <c r="R208" i="80" s="1"/>
  <c r="Q208" i="77"/>
  <c r="Q208" i="80" s="1"/>
  <c r="P208" i="77"/>
  <c r="P208" i="80" s="1"/>
  <c r="O208" i="77"/>
  <c r="O208" i="80" s="1"/>
  <c r="N208" i="77"/>
  <c r="N208" i="80" s="1"/>
  <c r="M208" i="77"/>
  <c r="M208" i="80" s="1"/>
  <c r="L208" i="77"/>
  <c r="L208" i="80" s="1"/>
  <c r="K208" i="77"/>
  <c r="K208" i="80" s="1"/>
  <c r="J208" i="77"/>
  <c r="J208" i="80" s="1"/>
  <c r="C208" i="77"/>
  <c r="U207"/>
  <c r="U207" i="80" s="1"/>
  <c r="T207" i="77"/>
  <c r="T207" i="80" s="1"/>
  <c r="S207" i="77"/>
  <c r="S207" i="80" s="1"/>
  <c r="R207" i="77"/>
  <c r="R207" i="80" s="1"/>
  <c r="Q207" i="77"/>
  <c r="Q207" i="80" s="1"/>
  <c r="P207" i="77"/>
  <c r="P207" i="80" s="1"/>
  <c r="O207" i="77"/>
  <c r="O207" i="80" s="1"/>
  <c r="N207" i="77"/>
  <c r="N207" i="80" s="1"/>
  <c r="M207" i="77"/>
  <c r="M207" i="80" s="1"/>
  <c r="L207" i="77"/>
  <c r="K207"/>
  <c r="K207" i="80" s="1"/>
  <c r="J207" i="77"/>
  <c r="C207"/>
  <c r="U206"/>
  <c r="U206" i="80" s="1"/>
  <c r="T206" i="77"/>
  <c r="T206" i="80" s="1"/>
  <c r="S206" i="77"/>
  <c r="S206" i="80" s="1"/>
  <c r="R206" i="77"/>
  <c r="R206" i="80" s="1"/>
  <c r="Q206" i="77"/>
  <c r="Q206" i="80" s="1"/>
  <c r="P206" i="77"/>
  <c r="P206" i="80" s="1"/>
  <c r="O206" i="77"/>
  <c r="O206" i="80" s="1"/>
  <c r="N206" i="77"/>
  <c r="N206" i="80" s="1"/>
  <c r="M206" i="77"/>
  <c r="L206"/>
  <c r="L206" i="80"/>
  <c r="K206" i="77"/>
  <c r="J206"/>
  <c r="J206" i="80" s="1"/>
  <c r="C206" i="77"/>
  <c r="C210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C189"/>
  <c r="C187"/>
  <c r="C185"/>
  <c r="C184"/>
  <c r="C182"/>
  <c r="C181"/>
  <c r="C180"/>
  <c r="C178"/>
  <c r="C204"/>
  <c r="D176"/>
  <c r="C163"/>
  <c r="C158"/>
  <c r="C156"/>
  <c r="C154"/>
  <c r="C137"/>
  <c r="C135"/>
  <c r="C134"/>
  <c r="C133"/>
  <c r="C131"/>
  <c r="C95"/>
  <c r="C94"/>
  <c r="C93"/>
  <c r="C92"/>
  <c r="C91"/>
  <c r="C90"/>
  <c r="C81"/>
  <c r="C80"/>
  <c r="C79"/>
  <c r="C67"/>
  <c r="C66"/>
  <c r="C64"/>
  <c r="C63"/>
  <c r="C61"/>
  <c r="C58"/>
  <c r="C55"/>
  <c r="C52"/>
  <c r="C51"/>
  <c r="C176"/>
  <c r="D49"/>
  <c r="C47"/>
  <c r="C46"/>
  <c r="C43"/>
  <c r="C49"/>
  <c r="D39"/>
  <c r="U37"/>
  <c r="T37"/>
  <c r="S37"/>
  <c r="R37"/>
  <c r="Q37"/>
  <c r="P37"/>
  <c r="O37"/>
  <c r="U36"/>
  <c r="T36"/>
  <c r="S36"/>
  <c r="R36"/>
  <c r="Q36"/>
  <c r="P36"/>
  <c r="O36"/>
  <c r="C36"/>
  <c r="U35"/>
  <c r="T35"/>
  <c r="S35"/>
  <c r="R35"/>
  <c r="Q35"/>
  <c r="P35"/>
  <c r="O35"/>
  <c r="U34"/>
  <c r="T34"/>
  <c r="S34"/>
  <c r="R34"/>
  <c r="Q34"/>
  <c r="P34"/>
  <c r="O34"/>
  <c r="C34"/>
  <c r="U33"/>
  <c r="T33"/>
  <c r="S33"/>
  <c r="R33"/>
  <c r="Q33"/>
  <c r="P33"/>
  <c r="O33"/>
  <c r="C33"/>
  <c r="U32"/>
  <c r="T32"/>
  <c r="S32"/>
  <c r="R32"/>
  <c r="Q32"/>
  <c r="P32"/>
  <c r="O32"/>
  <c r="U31"/>
  <c r="T31"/>
  <c r="S31"/>
  <c r="R31"/>
  <c r="Q31"/>
  <c r="P31"/>
  <c r="O31"/>
  <c r="U30"/>
  <c r="T30"/>
  <c r="S30"/>
  <c r="R30"/>
  <c r="Q30"/>
  <c r="P30"/>
  <c r="O30"/>
  <c r="C30"/>
  <c r="U28"/>
  <c r="T28"/>
  <c r="S28"/>
  <c r="R28"/>
  <c r="Q28"/>
  <c r="P28"/>
  <c r="O28"/>
  <c r="N28"/>
  <c r="M28"/>
  <c r="L28"/>
  <c r="K28"/>
  <c r="J28"/>
  <c r="I28"/>
  <c r="H28"/>
  <c r="G28"/>
  <c r="F28"/>
  <c r="D28"/>
  <c r="C27"/>
  <c r="C28"/>
  <c r="U21"/>
  <c r="T21"/>
  <c r="S21"/>
  <c r="R21"/>
  <c r="Q21"/>
  <c r="P21"/>
  <c r="O21"/>
  <c r="N21"/>
  <c r="M21"/>
  <c r="L21"/>
  <c r="K21"/>
  <c r="J21"/>
  <c r="I21"/>
  <c r="H21"/>
  <c r="G21"/>
  <c r="F21"/>
  <c r="E21"/>
  <c r="C19"/>
  <c r="H175" i="75"/>
  <c r="H272" i="64"/>
  <c r="D262"/>
  <c r="D245"/>
  <c r="D242"/>
  <c r="E179" i="76"/>
  <c r="F179"/>
  <c r="G179"/>
  <c r="H179"/>
  <c r="I179"/>
  <c r="J179"/>
  <c r="K179"/>
  <c r="L179"/>
  <c r="M179"/>
  <c r="N179"/>
  <c r="O179"/>
  <c r="P179"/>
  <c r="Q179"/>
  <c r="R179"/>
  <c r="S179"/>
  <c r="U179"/>
  <c r="V179"/>
  <c r="E180"/>
  <c r="F180"/>
  <c r="G180"/>
  <c r="H180"/>
  <c r="I180"/>
  <c r="J180"/>
  <c r="K180"/>
  <c r="L180"/>
  <c r="M180"/>
  <c r="N180"/>
  <c r="O180"/>
  <c r="P180"/>
  <c r="Q180"/>
  <c r="R180"/>
  <c r="S180"/>
  <c r="U180"/>
  <c r="V180"/>
  <c r="E181"/>
  <c r="F181"/>
  <c r="G181"/>
  <c r="H181"/>
  <c r="I181"/>
  <c r="J181"/>
  <c r="K181"/>
  <c r="L181"/>
  <c r="M181"/>
  <c r="N181"/>
  <c r="O181"/>
  <c r="P181"/>
  <c r="Q181"/>
  <c r="R181"/>
  <c r="S181"/>
  <c r="U181"/>
  <c r="V181"/>
  <c r="E182"/>
  <c r="F182"/>
  <c r="G182"/>
  <c r="H182"/>
  <c r="I182"/>
  <c r="J182"/>
  <c r="K182"/>
  <c r="L182"/>
  <c r="M182"/>
  <c r="N182"/>
  <c r="O182"/>
  <c r="P182"/>
  <c r="Q182"/>
  <c r="R182"/>
  <c r="S182"/>
  <c r="U182"/>
  <c r="V182"/>
  <c r="E183"/>
  <c r="F183"/>
  <c r="G183"/>
  <c r="H183"/>
  <c r="I183"/>
  <c r="J183"/>
  <c r="K183"/>
  <c r="L183"/>
  <c r="M183"/>
  <c r="N183"/>
  <c r="O183"/>
  <c r="P183"/>
  <c r="Q183"/>
  <c r="R183"/>
  <c r="S183"/>
  <c r="U183"/>
  <c r="V183"/>
  <c r="E184"/>
  <c r="F184"/>
  <c r="G184"/>
  <c r="H184"/>
  <c r="I184"/>
  <c r="J184"/>
  <c r="K184"/>
  <c r="L184"/>
  <c r="M184"/>
  <c r="N184"/>
  <c r="O184"/>
  <c r="P184"/>
  <c r="Q184"/>
  <c r="R184"/>
  <c r="S184"/>
  <c r="U184"/>
  <c r="V184"/>
  <c r="E185"/>
  <c r="F185"/>
  <c r="G185"/>
  <c r="H185"/>
  <c r="I185"/>
  <c r="J185"/>
  <c r="K185"/>
  <c r="L185"/>
  <c r="M185"/>
  <c r="N185"/>
  <c r="O185"/>
  <c r="P185"/>
  <c r="Q185"/>
  <c r="R185"/>
  <c r="S185"/>
  <c r="U185"/>
  <c r="V185"/>
  <c r="E186"/>
  <c r="F186"/>
  <c r="G186"/>
  <c r="H186"/>
  <c r="I186"/>
  <c r="J186"/>
  <c r="K186"/>
  <c r="L186"/>
  <c r="M186"/>
  <c r="N186"/>
  <c r="O186"/>
  <c r="P186"/>
  <c r="Q186"/>
  <c r="R186"/>
  <c r="S186"/>
  <c r="U186"/>
  <c r="V186"/>
  <c r="E187"/>
  <c r="F187"/>
  <c r="G187"/>
  <c r="H187"/>
  <c r="I187"/>
  <c r="J187"/>
  <c r="K187"/>
  <c r="L187"/>
  <c r="M187"/>
  <c r="N187"/>
  <c r="O187"/>
  <c r="P187"/>
  <c r="Q187"/>
  <c r="R187"/>
  <c r="S187"/>
  <c r="U187"/>
  <c r="V187"/>
  <c r="E188"/>
  <c r="F188"/>
  <c r="G188"/>
  <c r="H188"/>
  <c r="I188"/>
  <c r="J188"/>
  <c r="K188"/>
  <c r="L188"/>
  <c r="M188"/>
  <c r="N188"/>
  <c r="O188"/>
  <c r="P188"/>
  <c r="Q188"/>
  <c r="R188"/>
  <c r="S188"/>
  <c r="U188"/>
  <c r="V188"/>
  <c r="E189"/>
  <c r="F189"/>
  <c r="G189"/>
  <c r="H189"/>
  <c r="I189"/>
  <c r="J189"/>
  <c r="K189"/>
  <c r="L189"/>
  <c r="M189"/>
  <c r="N189"/>
  <c r="O189"/>
  <c r="P189"/>
  <c r="Q189"/>
  <c r="R189"/>
  <c r="S189"/>
  <c r="U189"/>
  <c r="V189"/>
  <c r="E190"/>
  <c r="F190"/>
  <c r="G190"/>
  <c r="H190"/>
  <c r="I190"/>
  <c r="J190"/>
  <c r="K190"/>
  <c r="L190"/>
  <c r="M190"/>
  <c r="N190"/>
  <c r="O190"/>
  <c r="P190"/>
  <c r="Q190"/>
  <c r="R190"/>
  <c r="S190"/>
  <c r="U190"/>
  <c r="V190"/>
  <c r="E191"/>
  <c r="F191"/>
  <c r="G191"/>
  <c r="H191"/>
  <c r="I191"/>
  <c r="J191"/>
  <c r="K191"/>
  <c r="L191"/>
  <c r="M191"/>
  <c r="N191"/>
  <c r="O191"/>
  <c r="P191"/>
  <c r="Q191"/>
  <c r="R191"/>
  <c r="S191"/>
  <c r="U191"/>
  <c r="V191"/>
  <c r="E192"/>
  <c r="F192"/>
  <c r="G192"/>
  <c r="H192"/>
  <c r="I192"/>
  <c r="J192"/>
  <c r="K192"/>
  <c r="L192"/>
  <c r="M192"/>
  <c r="N192"/>
  <c r="O192"/>
  <c r="P192"/>
  <c r="Q192"/>
  <c r="R192"/>
  <c r="S192"/>
  <c r="U192"/>
  <c r="V192"/>
  <c r="E193"/>
  <c r="F193"/>
  <c r="G193"/>
  <c r="H193"/>
  <c r="I193"/>
  <c r="J193"/>
  <c r="K193"/>
  <c r="L193"/>
  <c r="M193"/>
  <c r="N193"/>
  <c r="O193"/>
  <c r="P193"/>
  <c r="Q193"/>
  <c r="R193"/>
  <c r="S193"/>
  <c r="U193"/>
  <c r="V193"/>
  <c r="E194"/>
  <c r="F194"/>
  <c r="G194"/>
  <c r="H194"/>
  <c r="I194"/>
  <c r="J194"/>
  <c r="K194"/>
  <c r="L194"/>
  <c r="M194"/>
  <c r="N194"/>
  <c r="O194"/>
  <c r="P194"/>
  <c r="Q194"/>
  <c r="R194"/>
  <c r="S194"/>
  <c r="U194"/>
  <c r="V194"/>
  <c r="E195"/>
  <c r="F195"/>
  <c r="G195"/>
  <c r="H195"/>
  <c r="I195"/>
  <c r="J195"/>
  <c r="K195"/>
  <c r="L195"/>
  <c r="M195"/>
  <c r="N195"/>
  <c r="O195"/>
  <c r="P195"/>
  <c r="Q195"/>
  <c r="R195"/>
  <c r="S195"/>
  <c r="U195"/>
  <c r="V195"/>
  <c r="E196"/>
  <c r="F196"/>
  <c r="G196"/>
  <c r="H196"/>
  <c r="I196"/>
  <c r="J196"/>
  <c r="K196"/>
  <c r="L196"/>
  <c r="M196"/>
  <c r="N196"/>
  <c r="O196"/>
  <c r="P196"/>
  <c r="Q196"/>
  <c r="R196"/>
  <c r="S196"/>
  <c r="U196"/>
  <c r="V196"/>
  <c r="E197"/>
  <c r="F197"/>
  <c r="G197"/>
  <c r="H197"/>
  <c r="I197"/>
  <c r="J197"/>
  <c r="K197"/>
  <c r="L197"/>
  <c r="M197"/>
  <c r="N197"/>
  <c r="O197"/>
  <c r="P197"/>
  <c r="Q197"/>
  <c r="R197"/>
  <c r="S197"/>
  <c r="U197"/>
  <c r="V197"/>
  <c r="E198"/>
  <c r="F198"/>
  <c r="G198"/>
  <c r="H198"/>
  <c r="I198"/>
  <c r="J198"/>
  <c r="K198"/>
  <c r="L198"/>
  <c r="M198"/>
  <c r="N198"/>
  <c r="O198"/>
  <c r="P198"/>
  <c r="Q198"/>
  <c r="R198"/>
  <c r="S198"/>
  <c r="U198"/>
  <c r="V198"/>
  <c r="E199"/>
  <c r="E199" i="80" s="1"/>
  <c r="F199" i="76"/>
  <c r="F199" i="80" s="1"/>
  <c r="G199" i="76"/>
  <c r="G199" i="80" s="1"/>
  <c r="H199" i="76"/>
  <c r="H199" i="80" s="1"/>
  <c r="I199" i="76"/>
  <c r="I199" i="80" s="1"/>
  <c r="J199" i="76"/>
  <c r="J199" i="80" s="1"/>
  <c r="K199" i="76"/>
  <c r="K199" i="80" s="1"/>
  <c r="L199" i="76"/>
  <c r="L199" i="80" s="1"/>
  <c r="M199" i="76"/>
  <c r="M199" i="80" s="1"/>
  <c r="N199" i="76"/>
  <c r="N199" i="80" s="1"/>
  <c r="O199" i="76"/>
  <c r="O199" i="80" s="1"/>
  <c r="P199" i="76"/>
  <c r="P199" i="80" s="1"/>
  <c r="Q199" i="76"/>
  <c r="Q199" i="80" s="1"/>
  <c r="R199" i="76"/>
  <c r="R199" i="80" s="1"/>
  <c r="S199" i="76"/>
  <c r="S199" i="80" s="1"/>
  <c r="U199" i="76"/>
  <c r="U199" i="80" s="1"/>
  <c r="V199" i="76"/>
  <c r="V199" i="80" s="1"/>
  <c r="E200" i="76"/>
  <c r="E200" i="80" s="1"/>
  <c r="F200" i="76"/>
  <c r="F200" i="80" s="1"/>
  <c r="G200" i="76"/>
  <c r="G200" i="80" s="1"/>
  <c r="H200" i="76"/>
  <c r="H200" i="80" s="1"/>
  <c r="I200" i="76"/>
  <c r="I200" i="80" s="1"/>
  <c r="J200" i="76"/>
  <c r="J200" i="80" s="1"/>
  <c r="K200" i="76"/>
  <c r="K200" i="80" s="1"/>
  <c r="L200" i="76"/>
  <c r="L200" i="80" s="1"/>
  <c r="M200" i="76"/>
  <c r="M200" i="80" s="1"/>
  <c r="N200" i="76"/>
  <c r="N200" i="80" s="1"/>
  <c r="O200" i="76"/>
  <c r="O200" i="80" s="1"/>
  <c r="P200" i="76"/>
  <c r="P200" i="80" s="1"/>
  <c r="Q200" i="76"/>
  <c r="Q200" i="80" s="1"/>
  <c r="R200" i="76"/>
  <c r="R200" i="80" s="1"/>
  <c r="S200" i="76"/>
  <c r="S200" i="80" s="1"/>
  <c r="U200" i="76"/>
  <c r="U200" i="80" s="1"/>
  <c r="V200" i="76"/>
  <c r="V200" i="80" s="1"/>
  <c r="E201" i="76"/>
  <c r="E201" i="80" s="1"/>
  <c r="F201" i="76"/>
  <c r="F201" i="80" s="1"/>
  <c r="G201" i="76"/>
  <c r="G201" i="80" s="1"/>
  <c r="H201" i="76"/>
  <c r="H201" i="80" s="1"/>
  <c r="I201" i="76"/>
  <c r="I201" i="80" s="1"/>
  <c r="J201" i="76"/>
  <c r="J201" i="80" s="1"/>
  <c r="K201" i="76"/>
  <c r="K201" i="80" s="1"/>
  <c r="L201" i="76"/>
  <c r="L201" i="80" s="1"/>
  <c r="M201" i="76"/>
  <c r="M201" i="80" s="1"/>
  <c r="N201" i="76"/>
  <c r="N201" i="80" s="1"/>
  <c r="O201" i="76"/>
  <c r="O201" i="80" s="1"/>
  <c r="P201" i="76"/>
  <c r="P201" i="80" s="1"/>
  <c r="Q201" i="76"/>
  <c r="Q201" i="80" s="1"/>
  <c r="R201" i="76"/>
  <c r="R201" i="80" s="1"/>
  <c r="S201" i="76"/>
  <c r="S201" i="80" s="1"/>
  <c r="U201" i="76"/>
  <c r="U201" i="80" s="1"/>
  <c r="V201" i="76"/>
  <c r="V201" i="80" s="1"/>
  <c r="E202" i="76"/>
  <c r="E202" i="80" s="1"/>
  <c r="F202" i="76"/>
  <c r="F202" i="80" s="1"/>
  <c r="G202" i="76"/>
  <c r="G202" i="80" s="1"/>
  <c r="H202" i="76"/>
  <c r="H202" i="80" s="1"/>
  <c r="I202" i="76"/>
  <c r="I202" i="80" s="1"/>
  <c r="J202" i="76"/>
  <c r="J202" i="80" s="1"/>
  <c r="K202" i="76"/>
  <c r="K202" i="80" s="1"/>
  <c r="L202" i="76"/>
  <c r="L202" i="80" s="1"/>
  <c r="M202" i="76"/>
  <c r="M202" i="80" s="1"/>
  <c r="N202" i="76"/>
  <c r="N202" i="80" s="1"/>
  <c r="O202" i="76"/>
  <c r="O202" i="80" s="1"/>
  <c r="P202" i="76"/>
  <c r="P202" i="80" s="1"/>
  <c r="Q202" i="76"/>
  <c r="Q202" i="80" s="1"/>
  <c r="R202" i="76"/>
  <c r="R202" i="80" s="1"/>
  <c r="S202" i="76"/>
  <c r="S202" i="80" s="1"/>
  <c r="U202" i="76"/>
  <c r="U202" i="80" s="1"/>
  <c r="V202" i="76"/>
  <c r="V202" i="80" s="1"/>
  <c r="E203" i="76"/>
  <c r="E203" i="80" s="1"/>
  <c r="F203" i="76"/>
  <c r="F203" i="80" s="1"/>
  <c r="G203" i="76"/>
  <c r="G203" i="80" s="1"/>
  <c r="H203" i="76"/>
  <c r="H203" i="80" s="1"/>
  <c r="I203" i="76"/>
  <c r="I203" i="80" s="1"/>
  <c r="J203" i="76"/>
  <c r="J203" i="80" s="1"/>
  <c r="K203" i="76"/>
  <c r="K203" i="80" s="1"/>
  <c r="L203" i="76"/>
  <c r="L203" i="80" s="1"/>
  <c r="M203" i="76"/>
  <c r="M203" i="80" s="1"/>
  <c r="N203" i="76"/>
  <c r="N203" i="80" s="1"/>
  <c r="O203" i="76"/>
  <c r="O203" i="80" s="1"/>
  <c r="P203" i="76"/>
  <c r="P203" i="80" s="1"/>
  <c r="Q203" i="76"/>
  <c r="Q203" i="80" s="1"/>
  <c r="R203" i="76"/>
  <c r="R203" i="80" s="1"/>
  <c r="S203" i="76"/>
  <c r="S203" i="80" s="1"/>
  <c r="U203" i="76"/>
  <c r="U203" i="80" s="1"/>
  <c r="V203" i="76"/>
  <c r="V203" i="80" s="1"/>
  <c r="E204" i="76"/>
  <c r="F204"/>
  <c r="G204"/>
  <c r="H204"/>
  <c r="J204"/>
  <c r="K204"/>
  <c r="L204"/>
  <c r="M204"/>
  <c r="N204"/>
  <c r="O204"/>
  <c r="P204"/>
  <c r="Q204"/>
  <c r="R204"/>
  <c r="S204"/>
  <c r="U204"/>
  <c r="V204"/>
  <c r="E205"/>
  <c r="F205"/>
  <c r="G205"/>
  <c r="H205"/>
  <c r="I205"/>
  <c r="J205"/>
  <c r="K205"/>
  <c r="L205"/>
  <c r="M205"/>
  <c r="N205"/>
  <c r="O205"/>
  <c r="P205"/>
  <c r="Q205"/>
  <c r="R205"/>
  <c r="S205"/>
  <c r="U205"/>
  <c r="V205"/>
  <c r="E206"/>
  <c r="F207" i="81" s="1"/>
  <c r="F206" i="76"/>
  <c r="G206"/>
  <c r="H206"/>
  <c r="I206"/>
  <c r="J206"/>
  <c r="K206"/>
  <c r="L206"/>
  <c r="M206"/>
  <c r="N206"/>
  <c r="O206"/>
  <c r="P206"/>
  <c r="Q206"/>
  <c r="R206"/>
  <c r="S206"/>
  <c r="U206"/>
  <c r="V206"/>
  <c r="E207"/>
  <c r="F207"/>
  <c r="G207"/>
  <c r="H207"/>
  <c r="I207"/>
  <c r="J207"/>
  <c r="K207"/>
  <c r="L207"/>
  <c r="M207"/>
  <c r="N207"/>
  <c r="O207"/>
  <c r="P207"/>
  <c r="Q207"/>
  <c r="R207"/>
  <c r="S207"/>
  <c r="U207"/>
  <c r="V207"/>
  <c r="E208"/>
  <c r="F209" i="81" s="1"/>
  <c r="F208" i="76"/>
  <c r="G208"/>
  <c r="H208"/>
  <c r="I208"/>
  <c r="J208"/>
  <c r="K208"/>
  <c r="L208"/>
  <c r="M208"/>
  <c r="N208"/>
  <c r="O208"/>
  <c r="P208"/>
  <c r="Q208"/>
  <c r="R208"/>
  <c r="S208"/>
  <c r="U208"/>
  <c r="V208"/>
  <c r="E209"/>
  <c r="F209"/>
  <c r="G209"/>
  <c r="H209"/>
  <c r="I209"/>
  <c r="J209"/>
  <c r="K209"/>
  <c r="L209"/>
  <c r="M209"/>
  <c r="N209"/>
  <c r="O209"/>
  <c r="P209"/>
  <c r="Q209"/>
  <c r="R209"/>
  <c r="S209"/>
  <c r="U209"/>
  <c r="V209"/>
  <c r="E210"/>
  <c r="F210"/>
  <c r="G210"/>
  <c r="H210"/>
  <c r="I210"/>
  <c r="J210"/>
  <c r="K210"/>
  <c r="L210"/>
  <c r="M210"/>
  <c r="N210"/>
  <c r="O210"/>
  <c r="P210"/>
  <c r="Q210"/>
  <c r="R210"/>
  <c r="S210"/>
  <c r="U210"/>
  <c r="V210"/>
  <c r="E211"/>
  <c r="F211"/>
  <c r="G211"/>
  <c r="H211"/>
  <c r="I211"/>
  <c r="J211"/>
  <c r="K211"/>
  <c r="L211"/>
  <c r="M211"/>
  <c r="N211"/>
  <c r="O211"/>
  <c r="P211"/>
  <c r="Q211"/>
  <c r="R211"/>
  <c r="S211"/>
  <c r="U211"/>
  <c r="V211"/>
  <c r="E212"/>
  <c r="F212"/>
  <c r="G212"/>
  <c r="H212"/>
  <c r="I212"/>
  <c r="J212"/>
  <c r="K212"/>
  <c r="L212"/>
  <c r="M212"/>
  <c r="N212"/>
  <c r="O212"/>
  <c r="P212"/>
  <c r="Q212"/>
  <c r="R212"/>
  <c r="S212"/>
  <c r="U212"/>
  <c r="V212"/>
  <c r="E213"/>
  <c r="F213"/>
  <c r="G213"/>
  <c r="H213"/>
  <c r="I213"/>
  <c r="J213"/>
  <c r="K213"/>
  <c r="L213"/>
  <c r="M213"/>
  <c r="N213"/>
  <c r="O213"/>
  <c r="P213"/>
  <c r="Q213"/>
  <c r="R213"/>
  <c r="S213"/>
  <c r="U213"/>
  <c r="V213"/>
  <c r="E214"/>
  <c r="F214"/>
  <c r="G214"/>
  <c r="H214"/>
  <c r="I214"/>
  <c r="J214"/>
  <c r="K214"/>
  <c r="L214"/>
  <c r="M214"/>
  <c r="N214"/>
  <c r="O214"/>
  <c r="P214"/>
  <c r="Q214"/>
  <c r="R214"/>
  <c r="S214"/>
  <c r="U214"/>
  <c r="V214"/>
  <c r="E215"/>
  <c r="F215"/>
  <c r="G215"/>
  <c r="H215"/>
  <c r="I215"/>
  <c r="J215"/>
  <c r="K215"/>
  <c r="L215"/>
  <c r="M215"/>
  <c r="N215"/>
  <c r="O215"/>
  <c r="P215"/>
  <c r="Q215"/>
  <c r="R215"/>
  <c r="S215"/>
  <c r="U215"/>
  <c r="V215"/>
  <c r="F178"/>
  <c r="G178"/>
  <c r="H178"/>
  <c r="I178"/>
  <c r="J178"/>
  <c r="K178"/>
  <c r="L178"/>
  <c r="M178"/>
  <c r="N178"/>
  <c r="O178"/>
  <c r="P178"/>
  <c r="Q178"/>
  <c r="R178"/>
  <c r="S178"/>
  <c r="U178"/>
  <c r="V178"/>
  <c r="D204"/>
  <c r="E178"/>
  <c r="F178" i="64"/>
  <c r="E278" i="76"/>
  <c r="E278" i="77"/>
  <c r="E278" i="80" s="1"/>
  <c r="E280" s="1"/>
  <c r="F278" i="76"/>
  <c r="F278" i="77"/>
  <c r="G278" i="76"/>
  <c r="G278" i="77"/>
  <c r="G278" i="80" s="1"/>
  <c r="G280" s="1"/>
  <c r="H278" i="76"/>
  <c r="H278" i="77"/>
  <c r="I278" i="76"/>
  <c r="I278" i="77"/>
  <c r="I278" i="80" s="1"/>
  <c r="I280" s="1"/>
  <c r="J278" i="76"/>
  <c r="J278" i="77"/>
  <c r="J278" i="80" s="1"/>
  <c r="J280" s="1"/>
  <c r="K278" i="76"/>
  <c r="K278" i="77"/>
  <c r="K278" i="80" s="1"/>
  <c r="K280" s="1"/>
  <c r="L278" i="76"/>
  <c r="L278" i="77"/>
  <c r="M278" i="76"/>
  <c r="M278" i="77"/>
  <c r="M278" i="80" s="1"/>
  <c r="M280" s="1"/>
  <c r="N278" i="76"/>
  <c r="N278" i="77"/>
  <c r="O278" i="76"/>
  <c r="O278" i="77"/>
  <c r="O278" i="80" s="1"/>
  <c r="O280" s="1"/>
  <c r="P278" i="76"/>
  <c r="P278" i="77"/>
  <c r="Q278" i="76"/>
  <c r="Q278" i="77"/>
  <c r="Q278" i="80" s="1"/>
  <c r="Q280" s="1"/>
  <c r="R278" i="76"/>
  <c r="R278" i="77"/>
  <c r="R278" i="80" s="1"/>
  <c r="R280" s="1"/>
  <c r="S278" i="76"/>
  <c r="S278" i="77"/>
  <c r="S278" i="80" s="1"/>
  <c r="S280" s="1"/>
  <c r="U278" i="76"/>
  <c r="T278" i="77"/>
  <c r="V278" i="76"/>
  <c r="U278" i="77"/>
  <c r="U278" i="80" s="1"/>
  <c r="U280" s="1"/>
  <c r="D278" i="76"/>
  <c r="D279" i="81"/>
  <c r="H279" s="1"/>
  <c r="I279" s="1"/>
  <c r="E274" i="76"/>
  <c r="E274" i="80" s="1"/>
  <c r="E274" i="77"/>
  <c r="F274" i="76"/>
  <c r="F274" i="80" s="1"/>
  <c r="F274" i="77"/>
  <c r="G274" i="76"/>
  <c r="G274" i="80" s="1"/>
  <c r="G274" i="77"/>
  <c r="H274" i="76"/>
  <c r="H274" i="80" s="1"/>
  <c r="H274" i="77"/>
  <c r="I274" i="76"/>
  <c r="I274" i="80" s="1"/>
  <c r="I274" i="77"/>
  <c r="J274" i="76"/>
  <c r="J274" i="80" s="1"/>
  <c r="J274" i="77"/>
  <c r="K274" i="76"/>
  <c r="K274" i="80" s="1"/>
  <c r="K274" i="77"/>
  <c r="L274" i="76"/>
  <c r="L274" i="80" s="1"/>
  <c r="L274" i="77"/>
  <c r="M274" i="76"/>
  <c r="M274" i="80" s="1"/>
  <c r="M274" i="77"/>
  <c r="N274" i="76"/>
  <c r="N274" i="80" s="1"/>
  <c r="N274" i="77"/>
  <c r="O274" i="76"/>
  <c r="O274" i="80" s="1"/>
  <c r="O274" i="77"/>
  <c r="P274" i="76"/>
  <c r="P274" i="80" s="1"/>
  <c r="P274" i="77"/>
  <c r="Q274" i="76"/>
  <c r="Q274" i="80" s="1"/>
  <c r="Q274" i="77"/>
  <c r="R274" i="76"/>
  <c r="R274" i="80" s="1"/>
  <c r="R274" i="77"/>
  <c r="S274" i="76"/>
  <c r="S274" i="80" s="1"/>
  <c r="S274" i="77"/>
  <c r="U274" i="76"/>
  <c r="U274" i="80" s="1"/>
  <c r="T274" i="77"/>
  <c r="V274" i="76"/>
  <c r="V274" i="80" s="1"/>
  <c r="U274" i="77"/>
  <c r="E275" i="76"/>
  <c r="E275" i="80" s="1"/>
  <c r="E275" i="77"/>
  <c r="F275" i="76"/>
  <c r="F275" i="80" s="1"/>
  <c r="F275" i="77"/>
  <c r="G275" i="76"/>
  <c r="G275" i="80" s="1"/>
  <c r="G275" i="77"/>
  <c r="H275" i="76"/>
  <c r="H275" i="80" s="1"/>
  <c r="H275" i="77"/>
  <c r="I275" i="76"/>
  <c r="I275" i="80" s="1"/>
  <c r="I275" i="77"/>
  <c r="J275" i="76"/>
  <c r="J275" i="80" s="1"/>
  <c r="J275" i="77"/>
  <c r="K275" i="76"/>
  <c r="K275" i="80" s="1"/>
  <c r="K275" i="77"/>
  <c r="L275" i="76"/>
  <c r="L275" i="80" s="1"/>
  <c r="L275" i="77"/>
  <c r="M275" i="76"/>
  <c r="M275" i="80" s="1"/>
  <c r="M275" i="77"/>
  <c r="N275" i="76"/>
  <c r="N275" i="80" s="1"/>
  <c r="N275" i="77"/>
  <c r="O275" i="76"/>
  <c r="O275" i="80" s="1"/>
  <c r="O275" i="77"/>
  <c r="P275" i="76"/>
  <c r="P275" i="80" s="1"/>
  <c r="P275" i="77"/>
  <c r="Q275" i="76"/>
  <c r="Q275" i="80" s="1"/>
  <c r="Q275" i="77"/>
  <c r="R275" i="76"/>
  <c r="R275" i="80" s="1"/>
  <c r="R275" i="77"/>
  <c r="S275" i="76"/>
  <c r="S275" i="80" s="1"/>
  <c r="S275" i="77"/>
  <c r="U275" i="76"/>
  <c r="U275" i="80" s="1"/>
  <c r="T275" i="77"/>
  <c r="V275" i="76"/>
  <c r="V275" i="80" s="1"/>
  <c r="U275" i="77"/>
  <c r="D275" i="76"/>
  <c r="D274"/>
  <c r="D276" s="1"/>
  <c r="F236"/>
  <c r="G236"/>
  <c r="H236"/>
  <c r="I236"/>
  <c r="J236"/>
  <c r="K236"/>
  <c r="L236"/>
  <c r="M236"/>
  <c r="N236"/>
  <c r="O236"/>
  <c r="P236"/>
  <c r="Q236"/>
  <c r="R236"/>
  <c r="S236"/>
  <c r="U236"/>
  <c r="V236"/>
  <c r="F243"/>
  <c r="G243"/>
  <c r="H243"/>
  <c r="I243"/>
  <c r="J243"/>
  <c r="K243"/>
  <c r="L243"/>
  <c r="M243"/>
  <c r="N243"/>
  <c r="O243"/>
  <c r="P243"/>
  <c r="Q243"/>
  <c r="R243"/>
  <c r="S243"/>
  <c r="U243"/>
  <c r="V243"/>
  <c r="F246"/>
  <c r="G246"/>
  <c r="H246"/>
  <c r="I246"/>
  <c r="J246"/>
  <c r="K246"/>
  <c r="L246"/>
  <c r="M246"/>
  <c r="N246"/>
  <c r="O246"/>
  <c r="P246"/>
  <c r="Q246"/>
  <c r="R246"/>
  <c r="S246"/>
  <c r="U246"/>
  <c r="V246"/>
  <c r="F250"/>
  <c r="G250"/>
  <c r="H250"/>
  <c r="I250"/>
  <c r="J250"/>
  <c r="K250"/>
  <c r="L250"/>
  <c r="M250"/>
  <c r="N250"/>
  <c r="O250"/>
  <c r="P250"/>
  <c r="Q250"/>
  <c r="R250"/>
  <c r="S250"/>
  <c r="U250"/>
  <c r="V250"/>
  <c r="N253"/>
  <c r="N254"/>
  <c r="N255"/>
  <c r="N256"/>
  <c r="N257"/>
  <c r="N258"/>
  <c r="N259"/>
  <c r="N260"/>
  <c r="E229"/>
  <c r="E236"/>
  <c r="E243"/>
  <c r="E246"/>
  <c r="E250"/>
  <c r="E52"/>
  <c r="F52"/>
  <c r="G52"/>
  <c r="H52"/>
  <c r="I52"/>
  <c r="J52"/>
  <c r="K52"/>
  <c r="L52"/>
  <c r="M52"/>
  <c r="N52"/>
  <c r="O52"/>
  <c r="P52"/>
  <c r="Q52"/>
  <c r="R52"/>
  <c r="S52"/>
  <c r="U52"/>
  <c r="V52"/>
  <c r="E53"/>
  <c r="F53"/>
  <c r="G53"/>
  <c r="H53"/>
  <c r="I53"/>
  <c r="J53"/>
  <c r="K53"/>
  <c r="L53"/>
  <c r="M53"/>
  <c r="N53"/>
  <c r="O53"/>
  <c r="P53"/>
  <c r="Q53"/>
  <c r="R53"/>
  <c r="S53"/>
  <c r="U53"/>
  <c r="V53"/>
  <c r="E54"/>
  <c r="F54"/>
  <c r="G54"/>
  <c r="H54"/>
  <c r="I54"/>
  <c r="J54"/>
  <c r="K54"/>
  <c r="L54"/>
  <c r="M54"/>
  <c r="N54"/>
  <c r="O54"/>
  <c r="P54"/>
  <c r="Q54"/>
  <c r="R54"/>
  <c r="S54"/>
  <c r="U54"/>
  <c r="V54"/>
  <c r="E55"/>
  <c r="F55"/>
  <c r="G55"/>
  <c r="H55"/>
  <c r="I55"/>
  <c r="J55"/>
  <c r="K55"/>
  <c r="L55"/>
  <c r="M55"/>
  <c r="N55"/>
  <c r="O55"/>
  <c r="P55"/>
  <c r="Q55"/>
  <c r="R55"/>
  <c r="S55"/>
  <c r="U55"/>
  <c r="V55"/>
  <c r="E56"/>
  <c r="F56"/>
  <c r="G56"/>
  <c r="H56"/>
  <c r="I56"/>
  <c r="J56"/>
  <c r="K56"/>
  <c r="L56"/>
  <c r="M56"/>
  <c r="N56"/>
  <c r="O56"/>
  <c r="P56"/>
  <c r="Q56"/>
  <c r="R56"/>
  <c r="S56"/>
  <c r="U56"/>
  <c r="V56"/>
  <c r="E57"/>
  <c r="F57"/>
  <c r="G57"/>
  <c r="H57"/>
  <c r="I57"/>
  <c r="J57"/>
  <c r="K57"/>
  <c r="L57"/>
  <c r="M57"/>
  <c r="N57"/>
  <c r="O57"/>
  <c r="P57"/>
  <c r="Q57"/>
  <c r="R57"/>
  <c r="S57"/>
  <c r="U57"/>
  <c r="V57"/>
  <c r="E58"/>
  <c r="F58"/>
  <c r="G58"/>
  <c r="H58"/>
  <c r="I58"/>
  <c r="J58"/>
  <c r="K58"/>
  <c r="L58"/>
  <c r="M58"/>
  <c r="N58"/>
  <c r="O58"/>
  <c r="P58"/>
  <c r="Q58"/>
  <c r="R58"/>
  <c r="S58"/>
  <c r="U58"/>
  <c r="V58"/>
  <c r="E59"/>
  <c r="F59"/>
  <c r="G59"/>
  <c r="H59"/>
  <c r="I59"/>
  <c r="J59"/>
  <c r="K59"/>
  <c r="L59"/>
  <c r="M59"/>
  <c r="N59"/>
  <c r="O59"/>
  <c r="P59"/>
  <c r="Q59"/>
  <c r="R59"/>
  <c r="S59"/>
  <c r="U59"/>
  <c r="V59"/>
  <c r="E60"/>
  <c r="F60"/>
  <c r="G60"/>
  <c r="H60"/>
  <c r="I60"/>
  <c r="J60"/>
  <c r="K60"/>
  <c r="L60"/>
  <c r="M60"/>
  <c r="N60"/>
  <c r="O60"/>
  <c r="P60"/>
  <c r="Q60"/>
  <c r="R60"/>
  <c r="S60"/>
  <c r="U60"/>
  <c r="V60"/>
  <c r="E61"/>
  <c r="F61"/>
  <c r="G61"/>
  <c r="H61"/>
  <c r="I61"/>
  <c r="J61"/>
  <c r="K61"/>
  <c r="L61"/>
  <c r="M61"/>
  <c r="N61"/>
  <c r="O61"/>
  <c r="P61"/>
  <c r="Q61"/>
  <c r="R61"/>
  <c r="S61"/>
  <c r="U61"/>
  <c r="V61"/>
  <c r="E62"/>
  <c r="F62"/>
  <c r="G62"/>
  <c r="H62"/>
  <c r="I62"/>
  <c r="J62"/>
  <c r="K62"/>
  <c r="L62"/>
  <c r="M62"/>
  <c r="N62"/>
  <c r="O62"/>
  <c r="P62"/>
  <c r="Q62"/>
  <c r="R62"/>
  <c r="S62"/>
  <c r="U62"/>
  <c r="V62"/>
  <c r="E63"/>
  <c r="F63"/>
  <c r="G63"/>
  <c r="H63"/>
  <c r="I63"/>
  <c r="J63"/>
  <c r="K63"/>
  <c r="L63"/>
  <c r="M63"/>
  <c r="N63"/>
  <c r="O63"/>
  <c r="P63"/>
  <c r="Q63"/>
  <c r="R63"/>
  <c r="S63"/>
  <c r="U63"/>
  <c r="V63"/>
  <c r="E64"/>
  <c r="F64"/>
  <c r="G64"/>
  <c r="H64"/>
  <c r="I64"/>
  <c r="J64"/>
  <c r="K64"/>
  <c r="L64"/>
  <c r="M64"/>
  <c r="N64"/>
  <c r="O64"/>
  <c r="P64"/>
  <c r="Q64"/>
  <c r="R64"/>
  <c r="S64"/>
  <c r="U64"/>
  <c r="V64"/>
  <c r="E65"/>
  <c r="F65"/>
  <c r="G65"/>
  <c r="H65"/>
  <c r="I65"/>
  <c r="J65"/>
  <c r="K65"/>
  <c r="L65"/>
  <c r="M65"/>
  <c r="N65"/>
  <c r="O65"/>
  <c r="P65"/>
  <c r="Q65"/>
  <c r="R65"/>
  <c r="S65"/>
  <c r="U65"/>
  <c r="V65"/>
  <c r="E66"/>
  <c r="F66"/>
  <c r="G66"/>
  <c r="H66"/>
  <c r="I66"/>
  <c r="J66"/>
  <c r="K66"/>
  <c r="L66"/>
  <c r="M66"/>
  <c r="N66"/>
  <c r="O66"/>
  <c r="P66"/>
  <c r="Q66"/>
  <c r="R66"/>
  <c r="S66"/>
  <c r="U66"/>
  <c r="V66"/>
  <c r="E67"/>
  <c r="F67"/>
  <c r="G67"/>
  <c r="H67"/>
  <c r="I67"/>
  <c r="J67"/>
  <c r="K67"/>
  <c r="L67"/>
  <c r="M67"/>
  <c r="N67"/>
  <c r="O67"/>
  <c r="P67"/>
  <c r="Q67"/>
  <c r="R67"/>
  <c r="S67"/>
  <c r="U67"/>
  <c r="V67"/>
  <c r="E68"/>
  <c r="F68"/>
  <c r="G68"/>
  <c r="H68"/>
  <c r="I68"/>
  <c r="J68"/>
  <c r="K68"/>
  <c r="L68"/>
  <c r="M68"/>
  <c r="N68"/>
  <c r="O68"/>
  <c r="P68"/>
  <c r="Q68"/>
  <c r="R68"/>
  <c r="S68"/>
  <c r="U68"/>
  <c r="V68"/>
  <c r="E69"/>
  <c r="F69"/>
  <c r="G69"/>
  <c r="H69"/>
  <c r="I69"/>
  <c r="J69"/>
  <c r="K69"/>
  <c r="L69"/>
  <c r="M69"/>
  <c r="N69"/>
  <c r="O69"/>
  <c r="P69"/>
  <c r="Q69"/>
  <c r="R69"/>
  <c r="S69"/>
  <c r="U69"/>
  <c r="V69"/>
  <c r="E70"/>
  <c r="F70"/>
  <c r="G70"/>
  <c r="H70"/>
  <c r="I70"/>
  <c r="J70"/>
  <c r="K70"/>
  <c r="L70"/>
  <c r="M70"/>
  <c r="N70"/>
  <c r="O70"/>
  <c r="P70"/>
  <c r="Q70"/>
  <c r="R70"/>
  <c r="S70"/>
  <c r="U70"/>
  <c r="V70"/>
  <c r="E71"/>
  <c r="F71"/>
  <c r="G71"/>
  <c r="H71"/>
  <c r="I71"/>
  <c r="J71"/>
  <c r="K71"/>
  <c r="L71"/>
  <c r="M71"/>
  <c r="N71"/>
  <c r="O71"/>
  <c r="P71"/>
  <c r="Q71"/>
  <c r="R71"/>
  <c r="S71"/>
  <c r="U71"/>
  <c r="V71"/>
  <c r="E72"/>
  <c r="F72"/>
  <c r="G72"/>
  <c r="H72"/>
  <c r="I72"/>
  <c r="J72"/>
  <c r="K72"/>
  <c r="L72"/>
  <c r="M72"/>
  <c r="N72"/>
  <c r="O72"/>
  <c r="P72"/>
  <c r="Q72"/>
  <c r="R72"/>
  <c r="S72"/>
  <c r="U72"/>
  <c r="V72"/>
  <c r="E73"/>
  <c r="F73"/>
  <c r="G73"/>
  <c r="H73"/>
  <c r="I73"/>
  <c r="J73"/>
  <c r="K73"/>
  <c r="L73"/>
  <c r="M73"/>
  <c r="N73"/>
  <c r="O73"/>
  <c r="P73"/>
  <c r="Q73"/>
  <c r="R73"/>
  <c r="S73"/>
  <c r="U73"/>
  <c r="V73"/>
  <c r="E74"/>
  <c r="F74"/>
  <c r="G74"/>
  <c r="H74"/>
  <c r="I74"/>
  <c r="J74"/>
  <c r="K74"/>
  <c r="L74"/>
  <c r="M74"/>
  <c r="N74"/>
  <c r="O74"/>
  <c r="P74"/>
  <c r="Q74"/>
  <c r="R74"/>
  <c r="S74"/>
  <c r="U74"/>
  <c r="V74"/>
  <c r="E75"/>
  <c r="F75"/>
  <c r="G75"/>
  <c r="H75"/>
  <c r="I75"/>
  <c r="J75"/>
  <c r="K75"/>
  <c r="L75"/>
  <c r="M75"/>
  <c r="N75"/>
  <c r="O75"/>
  <c r="P75"/>
  <c r="Q75"/>
  <c r="R75"/>
  <c r="S75"/>
  <c r="U75"/>
  <c r="V75"/>
  <c r="E76"/>
  <c r="F76"/>
  <c r="G76"/>
  <c r="H76"/>
  <c r="I76"/>
  <c r="J76"/>
  <c r="K76"/>
  <c r="L76"/>
  <c r="M76"/>
  <c r="N76"/>
  <c r="O76"/>
  <c r="P76"/>
  <c r="Q76"/>
  <c r="R76"/>
  <c r="S76"/>
  <c r="U76"/>
  <c r="V76"/>
  <c r="E77"/>
  <c r="F77"/>
  <c r="G77"/>
  <c r="H77"/>
  <c r="I77"/>
  <c r="J77"/>
  <c r="K77"/>
  <c r="L77"/>
  <c r="M77"/>
  <c r="N77"/>
  <c r="O77"/>
  <c r="P77"/>
  <c r="Q77"/>
  <c r="R77"/>
  <c r="S77"/>
  <c r="U77"/>
  <c r="V77"/>
  <c r="E78"/>
  <c r="F78"/>
  <c r="G78"/>
  <c r="H78"/>
  <c r="I78"/>
  <c r="J78"/>
  <c r="K78"/>
  <c r="L78"/>
  <c r="M78"/>
  <c r="N78"/>
  <c r="O78"/>
  <c r="P78"/>
  <c r="Q78"/>
  <c r="R78"/>
  <c r="S78"/>
  <c r="U78"/>
  <c r="V78"/>
  <c r="E79"/>
  <c r="F79"/>
  <c r="G79"/>
  <c r="H79"/>
  <c r="I79"/>
  <c r="J79"/>
  <c r="K79"/>
  <c r="L79"/>
  <c r="M79"/>
  <c r="N79"/>
  <c r="O79"/>
  <c r="P79"/>
  <c r="Q79"/>
  <c r="R79"/>
  <c r="S79"/>
  <c r="U79"/>
  <c r="V79"/>
  <c r="E80"/>
  <c r="F80"/>
  <c r="G80"/>
  <c r="H80"/>
  <c r="I80"/>
  <c r="J80"/>
  <c r="K80"/>
  <c r="L80"/>
  <c r="M80"/>
  <c r="N80"/>
  <c r="O80"/>
  <c r="P80"/>
  <c r="Q80"/>
  <c r="R80"/>
  <c r="S80"/>
  <c r="U80"/>
  <c r="V80"/>
  <c r="E81"/>
  <c r="F81"/>
  <c r="G81"/>
  <c r="H81"/>
  <c r="I81"/>
  <c r="J81"/>
  <c r="K81"/>
  <c r="L81"/>
  <c r="M81"/>
  <c r="N81"/>
  <c r="O81"/>
  <c r="P81"/>
  <c r="Q81"/>
  <c r="R81"/>
  <c r="S81"/>
  <c r="U81"/>
  <c r="V81"/>
  <c r="E82"/>
  <c r="F82"/>
  <c r="G82"/>
  <c r="H82"/>
  <c r="I82"/>
  <c r="J82"/>
  <c r="K82"/>
  <c r="L82"/>
  <c r="M82"/>
  <c r="N82"/>
  <c r="O82"/>
  <c r="P82"/>
  <c r="Q82"/>
  <c r="R82"/>
  <c r="S82"/>
  <c r="U82"/>
  <c r="V82"/>
  <c r="E83"/>
  <c r="F83"/>
  <c r="G83"/>
  <c r="H83"/>
  <c r="I83"/>
  <c r="J83"/>
  <c r="K83"/>
  <c r="L83"/>
  <c r="M83"/>
  <c r="N83"/>
  <c r="O83"/>
  <c r="P83"/>
  <c r="Q83"/>
  <c r="R83"/>
  <c r="S83"/>
  <c r="U83"/>
  <c r="V83"/>
  <c r="E84"/>
  <c r="F84"/>
  <c r="G84"/>
  <c r="H84"/>
  <c r="I84"/>
  <c r="J84"/>
  <c r="K84"/>
  <c r="L84"/>
  <c r="M84"/>
  <c r="N84"/>
  <c r="O84"/>
  <c r="P84"/>
  <c r="Q84"/>
  <c r="R84"/>
  <c r="S84"/>
  <c r="U84"/>
  <c r="V84"/>
  <c r="E85"/>
  <c r="F85"/>
  <c r="G85"/>
  <c r="H85"/>
  <c r="I85"/>
  <c r="J85"/>
  <c r="K85"/>
  <c r="L85"/>
  <c r="M85"/>
  <c r="N85"/>
  <c r="O85"/>
  <c r="P85"/>
  <c r="Q85"/>
  <c r="R85"/>
  <c r="S85"/>
  <c r="U85"/>
  <c r="V85"/>
  <c r="E86"/>
  <c r="F86"/>
  <c r="G86"/>
  <c r="H86"/>
  <c r="I86"/>
  <c r="J86"/>
  <c r="K86"/>
  <c r="L86"/>
  <c r="M86"/>
  <c r="N86"/>
  <c r="O86"/>
  <c r="P86"/>
  <c r="Q86"/>
  <c r="R86"/>
  <c r="S86"/>
  <c r="U86"/>
  <c r="V86"/>
  <c r="E87"/>
  <c r="F87"/>
  <c r="G87"/>
  <c r="H87"/>
  <c r="I87"/>
  <c r="J87"/>
  <c r="K87"/>
  <c r="L87"/>
  <c r="M87"/>
  <c r="N87"/>
  <c r="O87"/>
  <c r="P87"/>
  <c r="Q87"/>
  <c r="R87"/>
  <c r="S87"/>
  <c r="U87"/>
  <c r="V87"/>
  <c r="E88"/>
  <c r="F88"/>
  <c r="G88"/>
  <c r="H88"/>
  <c r="I88"/>
  <c r="J88"/>
  <c r="K88"/>
  <c r="L88"/>
  <c r="M88"/>
  <c r="N88"/>
  <c r="O88"/>
  <c r="P88"/>
  <c r="Q88"/>
  <c r="R88"/>
  <c r="S88"/>
  <c r="U88"/>
  <c r="V88"/>
  <c r="E89"/>
  <c r="F89"/>
  <c r="G89"/>
  <c r="H89"/>
  <c r="I89"/>
  <c r="J89"/>
  <c r="K89"/>
  <c r="L89"/>
  <c r="M89"/>
  <c r="N89"/>
  <c r="O89"/>
  <c r="P89"/>
  <c r="Q89"/>
  <c r="R89"/>
  <c r="S89"/>
  <c r="U89"/>
  <c r="V89"/>
  <c r="E90"/>
  <c r="F90"/>
  <c r="G90"/>
  <c r="H90"/>
  <c r="I90"/>
  <c r="J90"/>
  <c r="K90"/>
  <c r="L90"/>
  <c r="M90"/>
  <c r="N90"/>
  <c r="O90"/>
  <c r="P90"/>
  <c r="Q90"/>
  <c r="R90"/>
  <c r="S90"/>
  <c r="U90"/>
  <c r="V90"/>
  <c r="E91"/>
  <c r="F91"/>
  <c r="G91"/>
  <c r="H91"/>
  <c r="I91"/>
  <c r="J91"/>
  <c r="K91"/>
  <c r="L91"/>
  <c r="M91"/>
  <c r="N91"/>
  <c r="O91"/>
  <c r="P91"/>
  <c r="Q91"/>
  <c r="R91"/>
  <c r="S91"/>
  <c r="U91"/>
  <c r="V91"/>
  <c r="E92"/>
  <c r="F92"/>
  <c r="G92"/>
  <c r="H92"/>
  <c r="I92"/>
  <c r="J92"/>
  <c r="K92"/>
  <c r="L92"/>
  <c r="M92"/>
  <c r="N92"/>
  <c r="O92"/>
  <c r="P92"/>
  <c r="Q92"/>
  <c r="R92"/>
  <c r="S92"/>
  <c r="U92"/>
  <c r="V92"/>
  <c r="E93"/>
  <c r="F93"/>
  <c r="G93"/>
  <c r="H93"/>
  <c r="I93"/>
  <c r="J93"/>
  <c r="K93"/>
  <c r="L93"/>
  <c r="M93"/>
  <c r="N93"/>
  <c r="O93"/>
  <c r="P93"/>
  <c r="Q93"/>
  <c r="R93"/>
  <c r="S93"/>
  <c r="U93"/>
  <c r="V93"/>
  <c r="E94"/>
  <c r="F94"/>
  <c r="G94"/>
  <c r="H94"/>
  <c r="I94"/>
  <c r="J94"/>
  <c r="K94"/>
  <c r="L94"/>
  <c r="M94"/>
  <c r="N94"/>
  <c r="O94"/>
  <c r="P94"/>
  <c r="Q94"/>
  <c r="R94"/>
  <c r="S94"/>
  <c r="U94"/>
  <c r="V94"/>
  <c r="E95"/>
  <c r="F95"/>
  <c r="G95"/>
  <c r="H95"/>
  <c r="I95"/>
  <c r="J95"/>
  <c r="K95"/>
  <c r="L95"/>
  <c r="M95"/>
  <c r="N95"/>
  <c r="O95"/>
  <c r="P95"/>
  <c r="Q95"/>
  <c r="R95"/>
  <c r="S95"/>
  <c r="U95"/>
  <c r="V95"/>
  <c r="E96"/>
  <c r="F96"/>
  <c r="G96"/>
  <c r="H96"/>
  <c r="I96"/>
  <c r="J96"/>
  <c r="K96"/>
  <c r="L96"/>
  <c r="M96"/>
  <c r="N96"/>
  <c r="O96"/>
  <c r="P96"/>
  <c r="Q96"/>
  <c r="R96"/>
  <c r="S96"/>
  <c r="U96"/>
  <c r="V96"/>
  <c r="E97"/>
  <c r="F97"/>
  <c r="G97"/>
  <c r="H97"/>
  <c r="I97"/>
  <c r="J97"/>
  <c r="K97"/>
  <c r="L97"/>
  <c r="M97"/>
  <c r="N97"/>
  <c r="O97"/>
  <c r="P97"/>
  <c r="Q97"/>
  <c r="R97"/>
  <c r="S97"/>
  <c r="U97"/>
  <c r="V97"/>
  <c r="E98"/>
  <c r="F98"/>
  <c r="G98"/>
  <c r="H98"/>
  <c r="I98"/>
  <c r="J98"/>
  <c r="K98"/>
  <c r="L98"/>
  <c r="M98"/>
  <c r="N98"/>
  <c r="O98"/>
  <c r="P98"/>
  <c r="Q98"/>
  <c r="R98"/>
  <c r="S98"/>
  <c r="U98"/>
  <c r="V98"/>
  <c r="E99"/>
  <c r="F99"/>
  <c r="G99"/>
  <c r="H99"/>
  <c r="I99"/>
  <c r="J99"/>
  <c r="K99"/>
  <c r="L99"/>
  <c r="M99"/>
  <c r="N99"/>
  <c r="O99"/>
  <c r="P99"/>
  <c r="Q99"/>
  <c r="R99"/>
  <c r="S99"/>
  <c r="U99"/>
  <c r="V99"/>
  <c r="E100"/>
  <c r="F100"/>
  <c r="G100"/>
  <c r="H100"/>
  <c r="I100"/>
  <c r="J100"/>
  <c r="K100"/>
  <c r="L100"/>
  <c r="M100"/>
  <c r="N100"/>
  <c r="O100"/>
  <c r="P100"/>
  <c r="Q100"/>
  <c r="R100"/>
  <c r="S100"/>
  <c r="U100"/>
  <c r="V100"/>
  <c r="E101"/>
  <c r="F101"/>
  <c r="G101"/>
  <c r="H101"/>
  <c r="I101"/>
  <c r="J101"/>
  <c r="K101"/>
  <c r="L101"/>
  <c r="M101"/>
  <c r="N101"/>
  <c r="O101"/>
  <c r="P101"/>
  <c r="Q101"/>
  <c r="R101"/>
  <c r="S101"/>
  <c r="U101"/>
  <c r="V101"/>
  <c r="E102"/>
  <c r="F102"/>
  <c r="G102"/>
  <c r="H102"/>
  <c r="I102"/>
  <c r="J102"/>
  <c r="K102"/>
  <c r="L102"/>
  <c r="M102"/>
  <c r="N102"/>
  <c r="O102"/>
  <c r="P102"/>
  <c r="Q102"/>
  <c r="R102"/>
  <c r="S102"/>
  <c r="U102"/>
  <c r="V102"/>
  <c r="E103"/>
  <c r="F103"/>
  <c r="G103"/>
  <c r="H103"/>
  <c r="I103"/>
  <c r="J103"/>
  <c r="K103"/>
  <c r="L103"/>
  <c r="M103"/>
  <c r="N103"/>
  <c r="O103"/>
  <c r="P103"/>
  <c r="Q103"/>
  <c r="R103"/>
  <c r="S103"/>
  <c r="U103"/>
  <c r="V103"/>
  <c r="E104"/>
  <c r="F104"/>
  <c r="G104"/>
  <c r="H104"/>
  <c r="I104"/>
  <c r="J104"/>
  <c r="K104"/>
  <c r="L104"/>
  <c r="M104"/>
  <c r="N104"/>
  <c r="O104"/>
  <c r="P104"/>
  <c r="Q104"/>
  <c r="R104"/>
  <c r="S104"/>
  <c r="U104"/>
  <c r="V104"/>
  <c r="E105"/>
  <c r="F105"/>
  <c r="G105"/>
  <c r="H105"/>
  <c r="I105"/>
  <c r="J105"/>
  <c r="K105"/>
  <c r="L105"/>
  <c r="M105"/>
  <c r="N105"/>
  <c r="O105"/>
  <c r="P105"/>
  <c r="Q105"/>
  <c r="R105"/>
  <c r="S105"/>
  <c r="U105"/>
  <c r="V105"/>
  <c r="E106"/>
  <c r="F106"/>
  <c r="G106"/>
  <c r="H106"/>
  <c r="I106"/>
  <c r="J106"/>
  <c r="K106"/>
  <c r="L106"/>
  <c r="M106"/>
  <c r="N106"/>
  <c r="O106"/>
  <c r="P106"/>
  <c r="Q106"/>
  <c r="R106"/>
  <c r="S106"/>
  <c r="U106"/>
  <c r="V106"/>
  <c r="E107"/>
  <c r="F107"/>
  <c r="G107"/>
  <c r="H107"/>
  <c r="I107"/>
  <c r="J107"/>
  <c r="K107"/>
  <c r="L107"/>
  <c r="M107"/>
  <c r="N107"/>
  <c r="O107"/>
  <c r="P107"/>
  <c r="Q107"/>
  <c r="R107"/>
  <c r="S107"/>
  <c r="U107"/>
  <c r="V107"/>
  <c r="E108"/>
  <c r="F108"/>
  <c r="G108"/>
  <c r="H108"/>
  <c r="I108"/>
  <c r="J108"/>
  <c r="K108"/>
  <c r="L108"/>
  <c r="M108"/>
  <c r="N108"/>
  <c r="O108"/>
  <c r="P108"/>
  <c r="Q108"/>
  <c r="R108"/>
  <c r="S108"/>
  <c r="U108"/>
  <c r="V108"/>
  <c r="E109"/>
  <c r="F109"/>
  <c r="G109"/>
  <c r="H109"/>
  <c r="I109"/>
  <c r="J109"/>
  <c r="K109"/>
  <c r="L109"/>
  <c r="M109"/>
  <c r="N109"/>
  <c r="O109"/>
  <c r="P109"/>
  <c r="Q109"/>
  <c r="R109"/>
  <c r="S109"/>
  <c r="U109"/>
  <c r="V109"/>
  <c r="E110"/>
  <c r="F110"/>
  <c r="G110"/>
  <c r="H110"/>
  <c r="I110"/>
  <c r="J110"/>
  <c r="K110"/>
  <c r="L110"/>
  <c r="M110"/>
  <c r="N110"/>
  <c r="O110"/>
  <c r="P110"/>
  <c r="Q110"/>
  <c r="R110"/>
  <c r="S110"/>
  <c r="U110"/>
  <c r="V110"/>
  <c r="E111"/>
  <c r="F111"/>
  <c r="G111"/>
  <c r="H111"/>
  <c r="I111"/>
  <c r="J111"/>
  <c r="K111"/>
  <c r="L111"/>
  <c r="M111"/>
  <c r="N111"/>
  <c r="O111"/>
  <c r="P111"/>
  <c r="Q111"/>
  <c r="R111"/>
  <c r="S111"/>
  <c r="U111"/>
  <c r="V111"/>
  <c r="E112"/>
  <c r="F112"/>
  <c r="G112"/>
  <c r="H112"/>
  <c r="I112"/>
  <c r="J112"/>
  <c r="K112"/>
  <c r="L112"/>
  <c r="M112"/>
  <c r="N112"/>
  <c r="O112"/>
  <c r="P112"/>
  <c r="Q112"/>
  <c r="R112"/>
  <c r="S112"/>
  <c r="U112"/>
  <c r="V112"/>
  <c r="E113"/>
  <c r="F113"/>
  <c r="G113"/>
  <c r="H113"/>
  <c r="I113"/>
  <c r="J113"/>
  <c r="K113"/>
  <c r="L113"/>
  <c r="M113"/>
  <c r="N113"/>
  <c r="O113"/>
  <c r="P113"/>
  <c r="Q113"/>
  <c r="R113"/>
  <c r="S113"/>
  <c r="U113"/>
  <c r="V113"/>
  <c r="E114"/>
  <c r="F114"/>
  <c r="G114"/>
  <c r="H114"/>
  <c r="I114"/>
  <c r="J114"/>
  <c r="K114"/>
  <c r="L114"/>
  <c r="M114"/>
  <c r="N114"/>
  <c r="O114"/>
  <c r="P114"/>
  <c r="Q114"/>
  <c r="R114"/>
  <c r="S114"/>
  <c r="U114"/>
  <c r="V114"/>
  <c r="E115"/>
  <c r="F115"/>
  <c r="G115"/>
  <c r="H115"/>
  <c r="I115"/>
  <c r="J115"/>
  <c r="K115"/>
  <c r="L115"/>
  <c r="M115"/>
  <c r="N115"/>
  <c r="O115"/>
  <c r="P115"/>
  <c r="Q115"/>
  <c r="R115"/>
  <c r="S115"/>
  <c r="U115"/>
  <c r="V115"/>
  <c r="E116"/>
  <c r="F116"/>
  <c r="G116"/>
  <c r="H116"/>
  <c r="I116"/>
  <c r="J116"/>
  <c r="K116"/>
  <c r="L116"/>
  <c r="M116"/>
  <c r="N116"/>
  <c r="O116"/>
  <c r="P116"/>
  <c r="Q116"/>
  <c r="R116"/>
  <c r="S116"/>
  <c r="U116"/>
  <c r="V116"/>
  <c r="E117"/>
  <c r="F117"/>
  <c r="G117"/>
  <c r="H117"/>
  <c r="I117"/>
  <c r="J117"/>
  <c r="K117"/>
  <c r="L117"/>
  <c r="M117"/>
  <c r="N117"/>
  <c r="O117"/>
  <c r="P117"/>
  <c r="Q117"/>
  <c r="R117"/>
  <c r="S117"/>
  <c r="U117"/>
  <c r="V117"/>
  <c r="E118"/>
  <c r="F118"/>
  <c r="G118"/>
  <c r="H118"/>
  <c r="I118"/>
  <c r="J118"/>
  <c r="K118"/>
  <c r="L118"/>
  <c r="M118"/>
  <c r="N118"/>
  <c r="O118"/>
  <c r="P118"/>
  <c r="Q118"/>
  <c r="R118"/>
  <c r="S118"/>
  <c r="U118"/>
  <c r="V118"/>
  <c r="E119"/>
  <c r="F119"/>
  <c r="G119"/>
  <c r="H119"/>
  <c r="I119"/>
  <c r="J119"/>
  <c r="K119"/>
  <c r="L119"/>
  <c r="M119"/>
  <c r="N119"/>
  <c r="O119"/>
  <c r="P119"/>
  <c r="Q119"/>
  <c r="R119"/>
  <c r="S119"/>
  <c r="U119"/>
  <c r="V119"/>
  <c r="E120"/>
  <c r="F120"/>
  <c r="G120"/>
  <c r="H120"/>
  <c r="I120"/>
  <c r="J120"/>
  <c r="K120"/>
  <c r="L120"/>
  <c r="M120"/>
  <c r="N120"/>
  <c r="O120"/>
  <c r="P120"/>
  <c r="Q120"/>
  <c r="R120"/>
  <c r="S120"/>
  <c r="U120"/>
  <c r="V120"/>
  <c r="E121"/>
  <c r="F121"/>
  <c r="G121"/>
  <c r="H121"/>
  <c r="I121"/>
  <c r="J121"/>
  <c r="K121"/>
  <c r="L121"/>
  <c r="M121"/>
  <c r="N121"/>
  <c r="O121"/>
  <c r="P121"/>
  <c r="Q121"/>
  <c r="R121"/>
  <c r="S121"/>
  <c r="U121"/>
  <c r="V121"/>
  <c r="E122"/>
  <c r="F122"/>
  <c r="G122"/>
  <c r="H122"/>
  <c r="I122"/>
  <c r="J122"/>
  <c r="K122"/>
  <c r="L122"/>
  <c r="M122"/>
  <c r="N122"/>
  <c r="O122"/>
  <c r="P122"/>
  <c r="Q122"/>
  <c r="R122"/>
  <c r="S122"/>
  <c r="U122"/>
  <c r="V122"/>
  <c r="E123"/>
  <c r="F123"/>
  <c r="G123"/>
  <c r="H123"/>
  <c r="I123"/>
  <c r="J123"/>
  <c r="K123"/>
  <c r="L123"/>
  <c r="M123"/>
  <c r="N123"/>
  <c r="O123"/>
  <c r="P123"/>
  <c r="Q123"/>
  <c r="R123"/>
  <c r="S123"/>
  <c r="U123"/>
  <c r="V123"/>
  <c r="E124"/>
  <c r="F124"/>
  <c r="G124"/>
  <c r="H124"/>
  <c r="I124"/>
  <c r="J124"/>
  <c r="K124"/>
  <c r="L124"/>
  <c r="M124"/>
  <c r="N124"/>
  <c r="O124"/>
  <c r="P124"/>
  <c r="Q124"/>
  <c r="R124"/>
  <c r="S124"/>
  <c r="U124"/>
  <c r="V124"/>
  <c r="E125"/>
  <c r="F125"/>
  <c r="G125"/>
  <c r="H125"/>
  <c r="I125"/>
  <c r="J125"/>
  <c r="K125"/>
  <c r="L125"/>
  <c r="M125"/>
  <c r="N125"/>
  <c r="O125"/>
  <c r="P125"/>
  <c r="Q125"/>
  <c r="R125"/>
  <c r="S125"/>
  <c r="U125"/>
  <c r="V125"/>
  <c r="E126"/>
  <c r="F126"/>
  <c r="G126"/>
  <c r="H126"/>
  <c r="I126"/>
  <c r="J126"/>
  <c r="K126"/>
  <c r="L126"/>
  <c r="M126"/>
  <c r="N126"/>
  <c r="O126"/>
  <c r="P126"/>
  <c r="Q126"/>
  <c r="R126"/>
  <c r="S126"/>
  <c r="U126"/>
  <c r="V126"/>
  <c r="E127"/>
  <c r="F127"/>
  <c r="G127"/>
  <c r="H127"/>
  <c r="I127"/>
  <c r="J127"/>
  <c r="K127"/>
  <c r="L127"/>
  <c r="M127"/>
  <c r="N127"/>
  <c r="O127"/>
  <c r="P127"/>
  <c r="Q127"/>
  <c r="R127"/>
  <c r="S127"/>
  <c r="U127"/>
  <c r="V127"/>
  <c r="E128"/>
  <c r="F128"/>
  <c r="G128"/>
  <c r="H128"/>
  <c r="I128"/>
  <c r="J128"/>
  <c r="K128"/>
  <c r="L128"/>
  <c r="M128"/>
  <c r="N128"/>
  <c r="O128"/>
  <c r="P128"/>
  <c r="Q128"/>
  <c r="R128"/>
  <c r="S128"/>
  <c r="U128"/>
  <c r="V128"/>
  <c r="E129"/>
  <c r="F129"/>
  <c r="G129"/>
  <c r="H129"/>
  <c r="I129"/>
  <c r="J129"/>
  <c r="K129"/>
  <c r="L129"/>
  <c r="M129"/>
  <c r="N129"/>
  <c r="O129"/>
  <c r="P129"/>
  <c r="Q129"/>
  <c r="R129"/>
  <c r="S129"/>
  <c r="U129"/>
  <c r="V129"/>
  <c r="E130"/>
  <c r="F130"/>
  <c r="G130"/>
  <c r="H130"/>
  <c r="I130"/>
  <c r="J130"/>
  <c r="K130"/>
  <c r="L130"/>
  <c r="M130"/>
  <c r="N130"/>
  <c r="O130"/>
  <c r="P130"/>
  <c r="Q130"/>
  <c r="R130"/>
  <c r="S130"/>
  <c r="U130"/>
  <c r="V130"/>
  <c r="E131"/>
  <c r="F131"/>
  <c r="G131"/>
  <c r="H131"/>
  <c r="I131"/>
  <c r="J131"/>
  <c r="K131"/>
  <c r="L131"/>
  <c r="M131"/>
  <c r="N131"/>
  <c r="O131"/>
  <c r="P131"/>
  <c r="Q131"/>
  <c r="R131"/>
  <c r="S131"/>
  <c r="U131"/>
  <c r="V131"/>
  <c r="E132"/>
  <c r="F132"/>
  <c r="G132"/>
  <c r="H132"/>
  <c r="I132"/>
  <c r="J132"/>
  <c r="K132"/>
  <c r="L132"/>
  <c r="M132"/>
  <c r="N132"/>
  <c r="O132"/>
  <c r="P132"/>
  <c r="Q132"/>
  <c r="R132"/>
  <c r="S132"/>
  <c r="U132"/>
  <c r="V132"/>
  <c r="E133"/>
  <c r="F133"/>
  <c r="G133"/>
  <c r="H133"/>
  <c r="I133"/>
  <c r="J133"/>
  <c r="K133"/>
  <c r="L133"/>
  <c r="M133"/>
  <c r="N133"/>
  <c r="O133"/>
  <c r="P133"/>
  <c r="Q133"/>
  <c r="R133"/>
  <c r="S133"/>
  <c r="U133"/>
  <c r="V133"/>
  <c r="E134"/>
  <c r="F134"/>
  <c r="G134"/>
  <c r="H134"/>
  <c r="I134"/>
  <c r="J134"/>
  <c r="K134"/>
  <c r="L134"/>
  <c r="M134"/>
  <c r="N134"/>
  <c r="O134"/>
  <c r="P134"/>
  <c r="Q134"/>
  <c r="R134"/>
  <c r="S134"/>
  <c r="U134"/>
  <c r="V134"/>
  <c r="E135"/>
  <c r="F135"/>
  <c r="G135"/>
  <c r="H135"/>
  <c r="I135"/>
  <c r="J135"/>
  <c r="K135"/>
  <c r="L135"/>
  <c r="M135"/>
  <c r="N135"/>
  <c r="O135"/>
  <c r="P135"/>
  <c r="Q135"/>
  <c r="R135"/>
  <c r="S135"/>
  <c r="U135"/>
  <c r="V135"/>
  <c r="E136"/>
  <c r="F136"/>
  <c r="G136"/>
  <c r="H136"/>
  <c r="I136"/>
  <c r="J136"/>
  <c r="K136"/>
  <c r="L136"/>
  <c r="M136"/>
  <c r="N136"/>
  <c r="O136"/>
  <c r="P136"/>
  <c r="Q136"/>
  <c r="R136"/>
  <c r="S136"/>
  <c r="U136"/>
  <c r="V136"/>
  <c r="E137"/>
  <c r="F137"/>
  <c r="G137"/>
  <c r="H137"/>
  <c r="I137"/>
  <c r="J137"/>
  <c r="K137"/>
  <c r="L137"/>
  <c r="M137"/>
  <c r="N137"/>
  <c r="O137"/>
  <c r="P137"/>
  <c r="Q137"/>
  <c r="R137"/>
  <c r="S137"/>
  <c r="U137"/>
  <c r="V137"/>
  <c r="E138"/>
  <c r="F138"/>
  <c r="G138"/>
  <c r="H138"/>
  <c r="I138"/>
  <c r="J138"/>
  <c r="K138"/>
  <c r="L138"/>
  <c r="M138"/>
  <c r="N138"/>
  <c r="O138"/>
  <c r="P138"/>
  <c r="Q138"/>
  <c r="R138"/>
  <c r="S138"/>
  <c r="U138"/>
  <c r="V138"/>
  <c r="E139"/>
  <c r="F139"/>
  <c r="G139"/>
  <c r="H139"/>
  <c r="I139"/>
  <c r="J139"/>
  <c r="K139"/>
  <c r="L139"/>
  <c r="M139"/>
  <c r="N139"/>
  <c r="O139"/>
  <c r="P139"/>
  <c r="Q139"/>
  <c r="R139"/>
  <c r="S139"/>
  <c r="U139"/>
  <c r="V139"/>
  <c r="E140"/>
  <c r="F140"/>
  <c r="G140"/>
  <c r="H140"/>
  <c r="I140"/>
  <c r="J140"/>
  <c r="K140"/>
  <c r="L140"/>
  <c r="M140"/>
  <c r="N140"/>
  <c r="O140"/>
  <c r="P140"/>
  <c r="Q140"/>
  <c r="R140"/>
  <c r="S140"/>
  <c r="U140"/>
  <c r="V140"/>
  <c r="E141"/>
  <c r="F141"/>
  <c r="G141"/>
  <c r="H141"/>
  <c r="I141"/>
  <c r="J141"/>
  <c r="K141"/>
  <c r="L141"/>
  <c r="M141"/>
  <c r="N141"/>
  <c r="O141"/>
  <c r="P141"/>
  <c r="Q141"/>
  <c r="R141"/>
  <c r="S141"/>
  <c r="U141"/>
  <c r="V141"/>
  <c r="E142"/>
  <c r="F142"/>
  <c r="G142"/>
  <c r="H142"/>
  <c r="I142"/>
  <c r="J142"/>
  <c r="K142"/>
  <c r="L142"/>
  <c r="M142"/>
  <c r="N142"/>
  <c r="O142"/>
  <c r="P142"/>
  <c r="Q142"/>
  <c r="R142"/>
  <c r="S142"/>
  <c r="U142"/>
  <c r="V142"/>
  <c r="E143"/>
  <c r="F143"/>
  <c r="G143"/>
  <c r="H143"/>
  <c r="I143"/>
  <c r="J143"/>
  <c r="K143"/>
  <c r="L143"/>
  <c r="M143"/>
  <c r="N143"/>
  <c r="O143"/>
  <c r="P143"/>
  <c r="Q143"/>
  <c r="R143"/>
  <c r="S143"/>
  <c r="U143"/>
  <c r="V143"/>
  <c r="E144"/>
  <c r="F144"/>
  <c r="G144"/>
  <c r="H144"/>
  <c r="I144"/>
  <c r="J144"/>
  <c r="K144"/>
  <c r="L144"/>
  <c r="M144"/>
  <c r="N144"/>
  <c r="O144"/>
  <c r="P144"/>
  <c r="Q144"/>
  <c r="R144"/>
  <c r="S144"/>
  <c r="U144"/>
  <c r="V144"/>
  <c r="E145"/>
  <c r="F145"/>
  <c r="G145"/>
  <c r="H145"/>
  <c r="I145"/>
  <c r="J145"/>
  <c r="K145"/>
  <c r="L145"/>
  <c r="M145"/>
  <c r="N145"/>
  <c r="O145"/>
  <c r="P145"/>
  <c r="Q145"/>
  <c r="R145"/>
  <c r="S145"/>
  <c r="U145"/>
  <c r="V145"/>
  <c r="E146"/>
  <c r="F146"/>
  <c r="G146"/>
  <c r="H146"/>
  <c r="I146"/>
  <c r="J146"/>
  <c r="K146"/>
  <c r="L146"/>
  <c r="M146"/>
  <c r="N146"/>
  <c r="O146"/>
  <c r="P146"/>
  <c r="Q146"/>
  <c r="R146"/>
  <c r="S146"/>
  <c r="U146"/>
  <c r="V146"/>
  <c r="E147"/>
  <c r="F147"/>
  <c r="G147"/>
  <c r="H147"/>
  <c r="I147"/>
  <c r="J147"/>
  <c r="K147"/>
  <c r="L147"/>
  <c r="M147"/>
  <c r="N147"/>
  <c r="O147"/>
  <c r="P147"/>
  <c r="Q147"/>
  <c r="R147"/>
  <c r="S147"/>
  <c r="U147"/>
  <c r="V147"/>
  <c r="E148"/>
  <c r="F148"/>
  <c r="G148"/>
  <c r="H148"/>
  <c r="I148"/>
  <c r="J148"/>
  <c r="K148"/>
  <c r="L148"/>
  <c r="M148"/>
  <c r="N148"/>
  <c r="O148"/>
  <c r="P148"/>
  <c r="Q148"/>
  <c r="R148"/>
  <c r="S148"/>
  <c r="U148"/>
  <c r="V148"/>
  <c r="E149"/>
  <c r="F149"/>
  <c r="G149"/>
  <c r="H149"/>
  <c r="I149"/>
  <c r="J149"/>
  <c r="K149"/>
  <c r="L149"/>
  <c r="M149"/>
  <c r="N149"/>
  <c r="O149"/>
  <c r="P149"/>
  <c r="Q149"/>
  <c r="R149"/>
  <c r="S149"/>
  <c r="U149"/>
  <c r="V149"/>
  <c r="E150"/>
  <c r="F150"/>
  <c r="G150"/>
  <c r="H150"/>
  <c r="I150"/>
  <c r="J150"/>
  <c r="K150"/>
  <c r="L150"/>
  <c r="M150"/>
  <c r="N150"/>
  <c r="O150"/>
  <c r="P150"/>
  <c r="Q150"/>
  <c r="R150"/>
  <c r="S150"/>
  <c r="U150"/>
  <c r="V150"/>
  <c r="E151"/>
  <c r="F151"/>
  <c r="G151"/>
  <c r="H151"/>
  <c r="I151"/>
  <c r="J151"/>
  <c r="K151"/>
  <c r="L151"/>
  <c r="M151"/>
  <c r="N151"/>
  <c r="O151"/>
  <c r="P151"/>
  <c r="Q151"/>
  <c r="R151"/>
  <c r="S151"/>
  <c r="U151"/>
  <c r="V151"/>
  <c r="E152"/>
  <c r="F152"/>
  <c r="G152"/>
  <c r="H152"/>
  <c r="I152"/>
  <c r="J152"/>
  <c r="K152"/>
  <c r="L152"/>
  <c r="M152"/>
  <c r="N152"/>
  <c r="O152"/>
  <c r="P152"/>
  <c r="Q152"/>
  <c r="R152"/>
  <c r="S152"/>
  <c r="U152"/>
  <c r="V152"/>
  <c r="E153"/>
  <c r="F153"/>
  <c r="G153"/>
  <c r="H153"/>
  <c r="I153"/>
  <c r="J153"/>
  <c r="K153"/>
  <c r="L153"/>
  <c r="M153"/>
  <c r="N153"/>
  <c r="O153"/>
  <c r="P153"/>
  <c r="Q153"/>
  <c r="R153"/>
  <c r="S153"/>
  <c r="U153"/>
  <c r="V153"/>
  <c r="E154"/>
  <c r="F154"/>
  <c r="G154"/>
  <c r="H154"/>
  <c r="I154"/>
  <c r="J154"/>
  <c r="K154"/>
  <c r="L154"/>
  <c r="M154"/>
  <c r="N154"/>
  <c r="O154"/>
  <c r="P154"/>
  <c r="Q154"/>
  <c r="R154"/>
  <c r="S154"/>
  <c r="U154"/>
  <c r="V154"/>
  <c r="E155"/>
  <c r="F155"/>
  <c r="G155"/>
  <c r="H155"/>
  <c r="I155"/>
  <c r="J155"/>
  <c r="K155"/>
  <c r="L155"/>
  <c r="M155"/>
  <c r="N155"/>
  <c r="O155"/>
  <c r="P155"/>
  <c r="Q155"/>
  <c r="R155"/>
  <c r="S155"/>
  <c r="U155"/>
  <c r="V155"/>
  <c r="E156"/>
  <c r="F156"/>
  <c r="G156"/>
  <c r="H156"/>
  <c r="I156"/>
  <c r="J156"/>
  <c r="K156"/>
  <c r="L156"/>
  <c r="M156"/>
  <c r="N156"/>
  <c r="O156"/>
  <c r="P156"/>
  <c r="Q156"/>
  <c r="R156"/>
  <c r="S156"/>
  <c r="U156"/>
  <c r="V156"/>
  <c r="E157"/>
  <c r="F157"/>
  <c r="G157"/>
  <c r="H157"/>
  <c r="I157"/>
  <c r="J157"/>
  <c r="K157"/>
  <c r="L157"/>
  <c r="M157"/>
  <c r="N157"/>
  <c r="O157"/>
  <c r="P157"/>
  <c r="Q157"/>
  <c r="R157"/>
  <c r="S157"/>
  <c r="U157"/>
  <c r="V157"/>
  <c r="E158"/>
  <c r="F158"/>
  <c r="G158"/>
  <c r="H158"/>
  <c r="I158"/>
  <c r="J158"/>
  <c r="K158"/>
  <c r="L158"/>
  <c r="M158"/>
  <c r="N158"/>
  <c r="O158"/>
  <c r="P158"/>
  <c r="Q158"/>
  <c r="R158"/>
  <c r="S158"/>
  <c r="U158"/>
  <c r="V158"/>
  <c r="E159"/>
  <c r="F159"/>
  <c r="G159"/>
  <c r="H159"/>
  <c r="I159"/>
  <c r="J159"/>
  <c r="K159"/>
  <c r="L159"/>
  <c r="M159"/>
  <c r="N159"/>
  <c r="O159"/>
  <c r="P159"/>
  <c r="Q159"/>
  <c r="R159"/>
  <c r="S159"/>
  <c r="U159"/>
  <c r="V159"/>
  <c r="E160"/>
  <c r="F160"/>
  <c r="G160"/>
  <c r="H160"/>
  <c r="I160"/>
  <c r="J160"/>
  <c r="K160"/>
  <c r="L160"/>
  <c r="M160"/>
  <c r="N160"/>
  <c r="O160"/>
  <c r="P160"/>
  <c r="Q160"/>
  <c r="R160"/>
  <c r="S160"/>
  <c r="U160"/>
  <c r="V160"/>
  <c r="E161"/>
  <c r="F161"/>
  <c r="G161"/>
  <c r="H161"/>
  <c r="I161"/>
  <c r="J161"/>
  <c r="K161"/>
  <c r="L161"/>
  <c r="M161"/>
  <c r="N161"/>
  <c r="O161"/>
  <c r="P161"/>
  <c r="Q161"/>
  <c r="R161"/>
  <c r="S161"/>
  <c r="U161"/>
  <c r="V161"/>
  <c r="E162"/>
  <c r="F162"/>
  <c r="G162"/>
  <c r="H162"/>
  <c r="I162"/>
  <c r="J162"/>
  <c r="K162"/>
  <c r="L162"/>
  <c r="M162"/>
  <c r="N162"/>
  <c r="O162"/>
  <c r="P162"/>
  <c r="Q162"/>
  <c r="R162"/>
  <c r="S162"/>
  <c r="U162"/>
  <c r="V162"/>
  <c r="E163"/>
  <c r="F163"/>
  <c r="G163"/>
  <c r="H163"/>
  <c r="I163"/>
  <c r="J163"/>
  <c r="K163"/>
  <c r="L163"/>
  <c r="M163"/>
  <c r="N163"/>
  <c r="O163"/>
  <c r="P163"/>
  <c r="Q163"/>
  <c r="R163"/>
  <c r="R176" s="1"/>
  <c r="S163"/>
  <c r="U163"/>
  <c r="V163"/>
  <c r="E164"/>
  <c r="F164"/>
  <c r="G164"/>
  <c r="H164"/>
  <c r="I164"/>
  <c r="J164"/>
  <c r="K164"/>
  <c r="L164"/>
  <c r="M164"/>
  <c r="N164"/>
  <c r="O164"/>
  <c r="P164"/>
  <c r="Q164"/>
  <c r="R164"/>
  <c r="S164"/>
  <c r="U164"/>
  <c r="V164"/>
  <c r="E165"/>
  <c r="F165"/>
  <c r="G165"/>
  <c r="H165"/>
  <c r="I165"/>
  <c r="J165"/>
  <c r="K165"/>
  <c r="L165"/>
  <c r="M165"/>
  <c r="N165"/>
  <c r="O165"/>
  <c r="P165"/>
  <c r="Q165"/>
  <c r="R165"/>
  <c r="S165"/>
  <c r="U165"/>
  <c r="V165"/>
  <c r="E166"/>
  <c r="F166"/>
  <c r="G166"/>
  <c r="H166"/>
  <c r="I166"/>
  <c r="J166"/>
  <c r="K166"/>
  <c r="L166"/>
  <c r="M166"/>
  <c r="N166"/>
  <c r="O166"/>
  <c r="P166"/>
  <c r="Q166"/>
  <c r="R166"/>
  <c r="S166"/>
  <c r="U166"/>
  <c r="V166"/>
  <c r="E167"/>
  <c r="F167"/>
  <c r="G167"/>
  <c r="H167"/>
  <c r="I167"/>
  <c r="J167"/>
  <c r="K167"/>
  <c r="L167"/>
  <c r="M167"/>
  <c r="N167"/>
  <c r="O167"/>
  <c r="P167"/>
  <c r="Q167"/>
  <c r="R167"/>
  <c r="S167"/>
  <c r="U167"/>
  <c r="V167"/>
  <c r="E168"/>
  <c r="F168"/>
  <c r="G168"/>
  <c r="H168"/>
  <c r="I168"/>
  <c r="J168"/>
  <c r="K168"/>
  <c r="L168"/>
  <c r="M168"/>
  <c r="N168"/>
  <c r="O168"/>
  <c r="P168"/>
  <c r="Q168"/>
  <c r="R168"/>
  <c r="S168"/>
  <c r="U168"/>
  <c r="V168"/>
  <c r="E169"/>
  <c r="F169"/>
  <c r="G169"/>
  <c r="H169"/>
  <c r="I169"/>
  <c r="J169"/>
  <c r="K169"/>
  <c r="L169"/>
  <c r="M169"/>
  <c r="N169"/>
  <c r="O169"/>
  <c r="P169"/>
  <c r="Q169"/>
  <c r="R169"/>
  <c r="S169"/>
  <c r="U169"/>
  <c r="V169"/>
  <c r="E170"/>
  <c r="F170"/>
  <c r="G170"/>
  <c r="H170"/>
  <c r="I170"/>
  <c r="J170"/>
  <c r="K170"/>
  <c r="L170"/>
  <c r="M170"/>
  <c r="N170"/>
  <c r="O170"/>
  <c r="P170"/>
  <c r="Q170"/>
  <c r="R170"/>
  <c r="S170"/>
  <c r="U170"/>
  <c r="V170"/>
  <c r="E171"/>
  <c r="F171"/>
  <c r="G171"/>
  <c r="H171"/>
  <c r="I171"/>
  <c r="J171"/>
  <c r="K171"/>
  <c r="L171"/>
  <c r="M171"/>
  <c r="N171"/>
  <c r="O171"/>
  <c r="P171"/>
  <c r="Q171"/>
  <c r="R171"/>
  <c r="S171"/>
  <c r="U171"/>
  <c r="V171"/>
  <c r="E172"/>
  <c r="F172"/>
  <c r="G172"/>
  <c r="H172"/>
  <c r="I172"/>
  <c r="J172"/>
  <c r="K172"/>
  <c r="L172"/>
  <c r="M172"/>
  <c r="N172"/>
  <c r="O172"/>
  <c r="P172"/>
  <c r="Q172"/>
  <c r="R172"/>
  <c r="S172"/>
  <c r="U172"/>
  <c r="V172"/>
  <c r="E173"/>
  <c r="F173"/>
  <c r="G173"/>
  <c r="H173"/>
  <c r="I173"/>
  <c r="J173"/>
  <c r="K173"/>
  <c r="L173"/>
  <c r="M173"/>
  <c r="N173"/>
  <c r="O173"/>
  <c r="P173"/>
  <c r="Q173"/>
  <c r="R173"/>
  <c r="S173"/>
  <c r="U173"/>
  <c r="V173"/>
  <c r="E174"/>
  <c r="F174"/>
  <c r="G174"/>
  <c r="H174"/>
  <c r="I174"/>
  <c r="J174"/>
  <c r="K174"/>
  <c r="L174"/>
  <c r="M174"/>
  <c r="N174"/>
  <c r="O174"/>
  <c r="P174"/>
  <c r="Q174"/>
  <c r="R174"/>
  <c r="S174"/>
  <c r="U174"/>
  <c r="V174"/>
  <c r="E175"/>
  <c r="F175"/>
  <c r="G175"/>
  <c r="H175"/>
  <c r="I175"/>
  <c r="J175"/>
  <c r="K175"/>
  <c r="L175"/>
  <c r="M175"/>
  <c r="N175"/>
  <c r="O175"/>
  <c r="P175"/>
  <c r="Q175"/>
  <c r="R175"/>
  <c r="S175"/>
  <c r="U175"/>
  <c r="V175"/>
  <c r="F51"/>
  <c r="G51"/>
  <c r="H51"/>
  <c r="H176" s="1"/>
  <c r="I51"/>
  <c r="J51"/>
  <c r="J176" s="1"/>
  <c r="K51"/>
  <c r="L51"/>
  <c r="L176" s="1"/>
  <c r="M51"/>
  <c r="N51"/>
  <c r="O51"/>
  <c r="P51"/>
  <c r="Q51"/>
  <c r="R51"/>
  <c r="S51"/>
  <c r="U51"/>
  <c r="U176"/>
  <c r="V51"/>
  <c r="E51"/>
  <c r="F52" i="81" s="1"/>
  <c r="F41" i="76"/>
  <c r="G41"/>
  <c r="H41"/>
  <c r="H49" s="1"/>
  <c r="I41"/>
  <c r="J41"/>
  <c r="K41"/>
  <c r="L41"/>
  <c r="M41"/>
  <c r="N41"/>
  <c r="N49" s="1"/>
  <c r="O41"/>
  <c r="P41"/>
  <c r="P49" s="1"/>
  <c r="Q41"/>
  <c r="R41"/>
  <c r="S41"/>
  <c r="U41"/>
  <c r="V41"/>
  <c r="F42"/>
  <c r="F49" s="1"/>
  <c r="G42"/>
  <c r="H42"/>
  <c r="I42"/>
  <c r="J42"/>
  <c r="K42"/>
  <c r="L42"/>
  <c r="M42"/>
  <c r="N42"/>
  <c r="O42"/>
  <c r="P42"/>
  <c r="Q42"/>
  <c r="R42"/>
  <c r="S42"/>
  <c r="U42"/>
  <c r="V42"/>
  <c r="F43"/>
  <c r="G43"/>
  <c r="H43"/>
  <c r="I43"/>
  <c r="J43"/>
  <c r="K43"/>
  <c r="L43"/>
  <c r="M43"/>
  <c r="N43"/>
  <c r="O43"/>
  <c r="P43"/>
  <c r="Q43"/>
  <c r="R43"/>
  <c r="S43"/>
  <c r="U43"/>
  <c r="V43"/>
  <c r="F44"/>
  <c r="G44"/>
  <c r="H44"/>
  <c r="I44"/>
  <c r="J44"/>
  <c r="K44"/>
  <c r="L44"/>
  <c r="M44"/>
  <c r="N44"/>
  <c r="O44"/>
  <c r="P44"/>
  <c r="Q44"/>
  <c r="R44"/>
  <c r="S44"/>
  <c r="U44"/>
  <c r="V44"/>
  <c r="F45"/>
  <c r="G45"/>
  <c r="H45"/>
  <c r="I45"/>
  <c r="J45"/>
  <c r="K45"/>
  <c r="L45"/>
  <c r="M45"/>
  <c r="N45"/>
  <c r="O45"/>
  <c r="P45"/>
  <c r="Q45"/>
  <c r="R45"/>
  <c r="S45"/>
  <c r="U45"/>
  <c r="V45"/>
  <c r="F46"/>
  <c r="G46"/>
  <c r="H46"/>
  <c r="I46"/>
  <c r="J46"/>
  <c r="K46"/>
  <c r="L46"/>
  <c r="M46"/>
  <c r="N46"/>
  <c r="O46"/>
  <c r="P46"/>
  <c r="Q46"/>
  <c r="R46"/>
  <c r="S46"/>
  <c r="U46"/>
  <c r="V46"/>
  <c r="F47"/>
  <c r="G47"/>
  <c r="H47"/>
  <c r="I47"/>
  <c r="J47"/>
  <c r="K47"/>
  <c r="L47"/>
  <c r="M47"/>
  <c r="N47"/>
  <c r="O47"/>
  <c r="P47"/>
  <c r="Q47"/>
  <c r="R47"/>
  <c r="S47"/>
  <c r="U47"/>
  <c r="V47"/>
  <c r="F48"/>
  <c r="G48"/>
  <c r="H48"/>
  <c r="I48"/>
  <c r="J48"/>
  <c r="K48"/>
  <c r="L48"/>
  <c r="M48"/>
  <c r="N48"/>
  <c r="O48"/>
  <c r="P48"/>
  <c r="Q48"/>
  <c r="R48"/>
  <c r="S48"/>
  <c r="U48"/>
  <c r="V48"/>
  <c r="E42"/>
  <c r="F42" i="81"/>
  <c r="E43" i="76"/>
  <c r="E44"/>
  <c r="F44" i="81" s="1"/>
  <c r="E45" i="76"/>
  <c r="E46"/>
  <c r="F46" i="81" s="1"/>
  <c r="E47" i="76"/>
  <c r="F47" i="81" s="1"/>
  <c r="E48" i="76"/>
  <c r="F48" i="81" s="1"/>
  <c r="E41" i="76"/>
  <c r="F41" i="81" s="1"/>
  <c r="F30" i="76"/>
  <c r="G30"/>
  <c r="H30"/>
  <c r="I30"/>
  <c r="J30"/>
  <c r="K30"/>
  <c r="L30"/>
  <c r="M30"/>
  <c r="F31"/>
  <c r="G31"/>
  <c r="H31"/>
  <c r="I31"/>
  <c r="J31"/>
  <c r="K31"/>
  <c r="L31"/>
  <c r="M31"/>
  <c r="F32"/>
  <c r="G32"/>
  <c r="H32"/>
  <c r="I32"/>
  <c r="J32"/>
  <c r="K32"/>
  <c r="L32"/>
  <c r="M32"/>
  <c r="F33"/>
  <c r="G33"/>
  <c r="H33"/>
  <c r="I33"/>
  <c r="J33"/>
  <c r="K33"/>
  <c r="L33"/>
  <c r="M33"/>
  <c r="F34"/>
  <c r="G34"/>
  <c r="H34"/>
  <c r="I34"/>
  <c r="J34"/>
  <c r="K34"/>
  <c r="L34"/>
  <c r="M34"/>
  <c r="F35"/>
  <c r="G35"/>
  <c r="H35"/>
  <c r="I35"/>
  <c r="J35"/>
  <c r="K35"/>
  <c r="L35"/>
  <c r="M35"/>
  <c r="F36"/>
  <c r="G36"/>
  <c r="H36"/>
  <c r="I36"/>
  <c r="J36"/>
  <c r="K36"/>
  <c r="L36"/>
  <c r="M36"/>
  <c r="F37"/>
  <c r="G37"/>
  <c r="H37"/>
  <c r="I37"/>
  <c r="J37"/>
  <c r="K37"/>
  <c r="L37"/>
  <c r="M37"/>
  <c r="E31"/>
  <c r="F31" i="81" s="1"/>
  <c r="E32" i="76"/>
  <c r="E33"/>
  <c r="F33" i="81" s="1"/>
  <c r="E34" i="76"/>
  <c r="F34" i="81" s="1"/>
  <c r="E35" i="76"/>
  <c r="F35" i="81" s="1"/>
  <c r="E36" i="76"/>
  <c r="F36" i="81" s="1"/>
  <c r="E37" i="76"/>
  <c r="F37" i="81" s="1"/>
  <c r="E30" i="76"/>
  <c r="F30" i="81" s="1"/>
  <c r="N30" i="76"/>
  <c r="O30"/>
  <c r="P30"/>
  <c r="P39" s="1"/>
  <c r="Q30"/>
  <c r="R30"/>
  <c r="S30"/>
  <c r="U30"/>
  <c r="U39" s="1"/>
  <c r="V30"/>
  <c r="N31"/>
  <c r="O31"/>
  <c r="P31"/>
  <c r="Q31"/>
  <c r="R31"/>
  <c r="S31"/>
  <c r="U31"/>
  <c r="V31"/>
  <c r="N32"/>
  <c r="O32"/>
  <c r="P32"/>
  <c r="Q32"/>
  <c r="R32"/>
  <c r="S32"/>
  <c r="U32"/>
  <c r="V32"/>
  <c r="N33"/>
  <c r="O33"/>
  <c r="P33"/>
  <c r="Q33"/>
  <c r="R33"/>
  <c r="S33"/>
  <c r="U33"/>
  <c r="V33"/>
  <c r="N34"/>
  <c r="O34"/>
  <c r="P34"/>
  <c r="Q34"/>
  <c r="R34"/>
  <c r="S34"/>
  <c r="U34"/>
  <c r="V34"/>
  <c r="N35"/>
  <c r="O35"/>
  <c r="P35"/>
  <c r="Q35"/>
  <c r="R35"/>
  <c r="S35"/>
  <c r="U35"/>
  <c r="V35"/>
  <c r="N36"/>
  <c r="O36"/>
  <c r="P36"/>
  <c r="Q36"/>
  <c r="R36"/>
  <c r="S36"/>
  <c r="U36"/>
  <c r="V36"/>
  <c r="N37"/>
  <c r="O37"/>
  <c r="P37"/>
  <c r="Q37"/>
  <c r="R37"/>
  <c r="S37"/>
  <c r="U37"/>
  <c r="V37"/>
  <c r="E24"/>
  <c r="F24" i="81" s="1"/>
  <c r="E25" i="76"/>
  <c r="F25" i="81" s="1"/>
  <c r="F25" i="64"/>
  <c r="E26" i="76"/>
  <c r="F26" i="81" s="1"/>
  <c r="F26" i="64"/>
  <c r="E27" i="76"/>
  <c r="F27" i="81"/>
  <c r="F27" i="64"/>
  <c r="E23" i="76"/>
  <c r="F23" i="81" s="1"/>
  <c r="D11" i="76"/>
  <c r="F11" i="81"/>
  <c r="D12" i="76"/>
  <c r="F12" i="81"/>
  <c r="D13" i="76"/>
  <c r="F13" i="81"/>
  <c r="D14" i="76"/>
  <c r="F14" i="81"/>
  <c r="D15" i="76"/>
  <c r="F15" i="81"/>
  <c r="D16" i="76"/>
  <c r="F16" i="81"/>
  <c r="D17" i="76"/>
  <c r="F17" i="81"/>
  <c r="D18" i="76"/>
  <c r="F18" i="81"/>
  <c r="D19" i="76"/>
  <c r="F19" i="81"/>
  <c r="D20" i="76"/>
  <c r="D20" i="80" s="1"/>
  <c r="F20" i="81"/>
  <c r="H20" s="1"/>
  <c r="I20" s="1"/>
  <c r="D10" i="76"/>
  <c r="F10" i="81"/>
  <c r="F21" s="1"/>
  <c r="V292" i="76"/>
  <c r="U292"/>
  <c r="S292"/>
  <c r="R292"/>
  <c r="Q292"/>
  <c r="P292"/>
  <c r="O292"/>
  <c r="N292"/>
  <c r="M292"/>
  <c r="L292"/>
  <c r="K292"/>
  <c r="J292"/>
  <c r="I292"/>
  <c r="H292"/>
  <c r="G292"/>
  <c r="F292"/>
  <c r="E292"/>
  <c r="D292"/>
  <c r="C282"/>
  <c r="C292" s="1"/>
  <c r="C294" s="1"/>
  <c r="V280"/>
  <c r="U280"/>
  <c r="S280"/>
  <c r="R280"/>
  <c r="Q280"/>
  <c r="P280"/>
  <c r="O280"/>
  <c r="N280"/>
  <c r="M280"/>
  <c r="L280"/>
  <c r="K280"/>
  <c r="J280"/>
  <c r="I280"/>
  <c r="H280"/>
  <c r="G280"/>
  <c r="F280"/>
  <c r="E280"/>
  <c r="D280"/>
  <c r="C280"/>
  <c r="V276"/>
  <c r="U276"/>
  <c r="S276"/>
  <c r="R276"/>
  <c r="Q276"/>
  <c r="P276"/>
  <c r="O276"/>
  <c r="N276"/>
  <c r="M276"/>
  <c r="L276"/>
  <c r="K276"/>
  <c r="J276"/>
  <c r="I276"/>
  <c r="H276"/>
  <c r="G276"/>
  <c r="F276"/>
  <c r="E276"/>
  <c r="C276"/>
  <c r="V272"/>
  <c r="U272"/>
  <c r="S272"/>
  <c r="R272"/>
  <c r="Q272"/>
  <c r="P272"/>
  <c r="O272"/>
  <c r="N272"/>
  <c r="M272"/>
  <c r="L272"/>
  <c r="K272"/>
  <c r="J272"/>
  <c r="I272"/>
  <c r="H272"/>
  <c r="G272"/>
  <c r="F272"/>
  <c r="E272"/>
  <c r="D272"/>
  <c r="W272"/>
  <c r="C272"/>
  <c r="D262"/>
  <c r="C238"/>
  <c r="C231"/>
  <c r="C262"/>
  <c r="C224"/>
  <c r="V221"/>
  <c r="U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C209"/>
  <c r="C208"/>
  <c r="C207"/>
  <c r="C206"/>
  <c r="C210"/>
  <c r="C189"/>
  <c r="C187"/>
  <c r="C185"/>
  <c r="C184"/>
  <c r="C182"/>
  <c r="C181"/>
  <c r="C180"/>
  <c r="C178"/>
  <c r="C204"/>
  <c r="N176"/>
  <c r="F176"/>
  <c r="D176"/>
  <c r="C163"/>
  <c r="C158"/>
  <c r="C156"/>
  <c r="C154"/>
  <c r="C137"/>
  <c r="C135"/>
  <c r="C134"/>
  <c r="C133"/>
  <c r="C131"/>
  <c r="C95"/>
  <c r="C94"/>
  <c r="C93"/>
  <c r="C92"/>
  <c r="C91"/>
  <c r="C90"/>
  <c r="C81"/>
  <c r="C80"/>
  <c r="C79"/>
  <c r="C67"/>
  <c r="C66"/>
  <c r="C64"/>
  <c r="C63"/>
  <c r="C61"/>
  <c r="C58"/>
  <c r="C55"/>
  <c r="C52"/>
  <c r="C51"/>
  <c r="C176"/>
  <c r="U49"/>
  <c r="L49"/>
  <c r="D49"/>
  <c r="C47"/>
  <c r="C46"/>
  <c r="C43"/>
  <c r="C49"/>
  <c r="R39"/>
  <c r="N39"/>
  <c r="K39"/>
  <c r="I39"/>
  <c r="D39"/>
  <c r="C36"/>
  <c r="C34"/>
  <c r="C33"/>
  <c r="C30"/>
  <c r="C39"/>
  <c r="V28"/>
  <c r="U28"/>
  <c r="S28"/>
  <c r="R28"/>
  <c r="Q28"/>
  <c r="P28"/>
  <c r="O28"/>
  <c r="N28"/>
  <c r="M28"/>
  <c r="L28"/>
  <c r="K28"/>
  <c r="J28"/>
  <c r="I28"/>
  <c r="H28"/>
  <c r="G28"/>
  <c r="F28"/>
  <c r="D28"/>
  <c r="C28"/>
  <c r="C27"/>
  <c r="V21"/>
  <c r="U21"/>
  <c r="S21"/>
  <c r="R21"/>
  <c r="Q21"/>
  <c r="P21"/>
  <c r="O21"/>
  <c r="N21"/>
  <c r="M21"/>
  <c r="L21"/>
  <c r="K21"/>
  <c r="J21"/>
  <c r="I21"/>
  <c r="H21"/>
  <c r="G21"/>
  <c r="F21"/>
  <c r="E21"/>
  <c r="C21"/>
  <c r="C19"/>
  <c r="F38" i="75"/>
  <c r="E209"/>
  <c r="E38"/>
  <c r="E28"/>
  <c r="C277"/>
  <c r="C287" s="1"/>
  <c r="C289" s="1"/>
  <c r="C275"/>
  <c r="C271"/>
  <c r="C267"/>
  <c r="C236"/>
  <c r="C230"/>
  <c r="C257"/>
  <c r="C223"/>
  <c r="C220"/>
  <c r="C208"/>
  <c r="C207"/>
  <c r="C206"/>
  <c r="C205"/>
  <c r="C209"/>
  <c r="C188"/>
  <c r="C186"/>
  <c r="C184"/>
  <c r="C183"/>
  <c r="C181"/>
  <c r="C180"/>
  <c r="C179"/>
  <c r="C177"/>
  <c r="C203"/>
  <c r="C162"/>
  <c r="C157"/>
  <c r="C155"/>
  <c r="C153"/>
  <c r="C136"/>
  <c r="C134"/>
  <c r="C133"/>
  <c r="C132"/>
  <c r="C130"/>
  <c r="C94"/>
  <c r="C93"/>
  <c r="C92"/>
  <c r="C91"/>
  <c r="C90"/>
  <c r="C89"/>
  <c r="C80"/>
  <c r="C79"/>
  <c r="C78"/>
  <c r="C66"/>
  <c r="C65"/>
  <c r="C63"/>
  <c r="C62"/>
  <c r="C60"/>
  <c r="C57"/>
  <c r="C54"/>
  <c r="C51"/>
  <c r="C50"/>
  <c r="C175"/>
  <c r="C46"/>
  <c r="C45"/>
  <c r="C42"/>
  <c r="C48"/>
  <c r="C36"/>
  <c r="C34"/>
  <c r="C33"/>
  <c r="C30"/>
  <c r="C38"/>
  <c r="C28"/>
  <c r="C27"/>
  <c r="C21"/>
  <c r="C19"/>
  <c r="H236"/>
  <c r="H237"/>
  <c r="H238"/>
  <c r="H239"/>
  <c r="V287"/>
  <c r="U287"/>
  <c r="S287"/>
  <c r="R287"/>
  <c r="Q287"/>
  <c r="P287"/>
  <c r="O287"/>
  <c r="N287"/>
  <c r="M287"/>
  <c r="L287"/>
  <c r="K287"/>
  <c r="J287"/>
  <c r="I287"/>
  <c r="H287"/>
  <c r="G287"/>
  <c r="F287"/>
  <c r="E287"/>
  <c r="D287"/>
  <c r="V275"/>
  <c r="U275"/>
  <c r="S275"/>
  <c r="R275"/>
  <c r="Q275"/>
  <c r="P275"/>
  <c r="O275"/>
  <c r="N275"/>
  <c r="M275"/>
  <c r="L275"/>
  <c r="K275"/>
  <c r="J275"/>
  <c r="I275"/>
  <c r="H275"/>
  <c r="G275"/>
  <c r="F275"/>
  <c r="E275"/>
  <c r="D275"/>
  <c r="W275"/>
  <c r="V271"/>
  <c r="U271"/>
  <c r="S271"/>
  <c r="R271"/>
  <c r="Q271"/>
  <c r="P271"/>
  <c r="O271"/>
  <c r="N271"/>
  <c r="M271"/>
  <c r="L271"/>
  <c r="K271"/>
  <c r="J271"/>
  <c r="I271"/>
  <c r="H271"/>
  <c r="G271"/>
  <c r="F271"/>
  <c r="E271"/>
  <c r="D271"/>
  <c r="W271"/>
  <c r="V267"/>
  <c r="U267"/>
  <c r="S267"/>
  <c r="R267"/>
  <c r="Q267"/>
  <c r="P267"/>
  <c r="O267"/>
  <c r="N267"/>
  <c r="M267"/>
  <c r="L267"/>
  <c r="K267"/>
  <c r="J267"/>
  <c r="I267"/>
  <c r="H267"/>
  <c r="G267"/>
  <c r="F267"/>
  <c r="E267"/>
  <c r="D267"/>
  <c r="W267"/>
  <c r="D257"/>
  <c r="V256"/>
  <c r="U256"/>
  <c r="S256"/>
  <c r="R256"/>
  <c r="Q256"/>
  <c r="P256"/>
  <c r="O256"/>
  <c r="N256"/>
  <c r="M256"/>
  <c r="L256"/>
  <c r="K256"/>
  <c r="J256"/>
  <c r="I256"/>
  <c r="H256"/>
  <c r="G256"/>
  <c r="F256"/>
  <c r="E256"/>
  <c r="V255"/>
  <c r="U255"/>
  <c r="S255"/>
  <c r="R255"/>
  <c r="Q255"/>
  <c r="P255"/>
  <c r="O255"/>
  <c r="M255"/>
  <c r="L255"/>
  <c r="K255"/>
  <c r="J255"/>
  <c r="I255"/>
  <c r="H255"/>
  <c r="G255"/>
  <c r="F255"/>
  <c r="E255"/>
  <c r="V254"/>
  <c r="U254"/>
  <c r="S254"/>
  <c r="R254"/>
  <c r="Q254"/>
  <c r="P254"/>
  <c r="O254"/>
  <c r="M254"/>
  <c r="L254"/>
  <c r="K254"/>
  <c r="J254"/>
  <c r="I254"/>
  <c r="H254"/>
  <c r="G254"/>
  <c r="F254"/>
  <c r="E254"/>
  <c r="V253"/>
  <c r="U253"/>
  <c r="S253"/>
  <c r="R253"/>
  <c r="Q253"/>
  <c r="P253"/>
  <c r="O253"/>
  <c r="M253"/>
  <c r="L253"/>
  <c r="K253"/>
  <c r="J253"/>
  <c r="I253"/>
  <c r="H253"/>
  <c r="G253"/>
  <c r="F253"/>
  <c r="E253"/>
  <c r="V252"/>
  <c r="U252"/>
  <c r="S252"/>
  <c r="R252"/>
  <c r="Q252"/>
  <c r="P252"/>
  <c r="O252"/>
  <c r="M252"/>
  <c r="L252"/>
  <c r="K252"/>
  <c r="J252"/>
  <c r="I252"/>
  <c r="H252"/>
  <c r="G252"/>
  <c r="F252"/>
  <c r="E252"/>
  <c r="V251"/>
  <c r="U251"/>
  <c r="S251"/>
  <c r="R251"/>
  <c r="Q251"/>
  <c r="P251"/>
  <c r="O251"/>
  <c r="M251"/>
  <c r="L251"/>
  <c r="K251"/>
  <c r="J251"/>
  <c r="I251"/>
  <c r="H251"/>
  <c r="G251"/>
  <c r="F251"/>
  <c r="E251"/>
  <c r="V250"/>
  <c r="U250"/>
  <c r="S250"/>
  <c r="R250"/>
  <c r="Q250"/>
  <c r="P250"/>
  <c r="O250"/>
  <c r="M250"/>
  <c r="L250"/>
  <c r="K250"/>
  <c r="J250"/>
  <c r="I250"/>
  <c r="H250"/>
  <c r="G250"/>
  <c r="F250"/>
  <c r="E250"/>
  <c r="V249"/>
  <c r="U249"/>
  <c r="S249"/>
  <c r="R249"/>
  <c r="Q249"/>
  <c r="P249"/>
  <c r="O249"/>
  <c r="M249"/>
  <c r="L249"/>
  <c r="K249"/>
  <c r="J249"/>
  <c r="I249"/>
  <c r="H249"/>
  <c r="G249"/>
  <c r="F249"/>
  <c r="E249"/>
  <c r="V248"/>
  <c r="U248"/>
  <c r="S248"/>
  <c r="R248"/>
  <c r="Q248"/>
  <c r="P248"/>
  <c r="O248"/>
  <c r="M248"/>
  <c r="L248"/>
  <c r="K248"/>
  <c r="J248"/>
  <c r="I248"/>
  <c r="H248"/>
  <c r="G248"/>
  <c r="F248"/>
  <c r="E248"/>
  <c r="V247"/>
  <c r="U247"/>
  <c r="S247"/>
  <c r="R247"/>
  <c r="Q247"/>
  <c r="P247"/>
  <c r="O247"/>
  <c r="N247"/>
  <c r="M247"/>
  <c r="L247"/>
  <c r="K247"/>
  <c r="J247"/>
  <c r="I247"/>
  <c r="H247"/>
  <c r="G247"/>
  <c r="F247"/>
  <c r="E247"/>
  <c r="V246"/>
  <c r="U246"/>
  <c r="S246"/>
  <c r="R246"/>
  <c r="Q246"/>
  <c r="P246"/>
  <c r="O246"/>
  <c r="N246"/>
  <c r="M246"/>
  <c r="L246"/>
  <c r="K246"/>
  <c r="J246"/>
  <c r="I246"/>
  <c r="H246"/>
  <c r="G246"/>
  <c r="F246"/>
  <c r="E246"/>
  <c r="V244"/>
  <c r="U244"/>
  <c r="S244"/>
  <c r="R244"/>
  <c r="Q244"/>
  <c r="P244"/>
  <c r="O244"/>
  <c r="N244"/>
  <c r="M244"/>
  <c r="L244"/>
  <c r="K244"/>
  <c r="J244"/>
  <c r="I244"/>
  <c r="H244"/>
  <c r="G244"/>
  <c r="F244"/>
  <c r="E244"/>
  <c r="V243"/>
  <c r="U243"/>
  <c r="S243"/>
  <c r="R243"/>
  <c r="Q243"/>
  <c r="P243"/>
  <c r="O243"/>
  <c r="N243"/>
  <c r="M243"/>
  <c r="L243"/>
  <c r="K243"/>
  <c r="J243"/>
  <c r="I243"/>
  <c r="H243"/>
  <c r="G243"/>
  <c r="F243"/>
  <c r="E243"/>
  <c r="V241"/>
  <c r="U241"/>
  <c r="S241"/>
  <c r="R241"/>
  <c r="Q241"/>
  <c r="P241"/>
  <c r="O241"/>
  <c r="N241"/>
  <c r="M241"/>
  <c r="L241"/>
  <c r="K241"/>
  <c r="J241"/>
  <c r="I241"/>
  <c r="H241"/>
  <c r="G241"/>
  <c r="F241"/>
  <c r="E241"/>
  <c r="V239"/>
  <c r="U239"/>
  <c r="S239"/>
  <c r="R239"/>
  <c r="Q239"/>
  <c r="P239"/>
  <c r="O239"/>
  <c r="N239"/>
  <c r="M239"/>
  <c r="L239"/>
  <c r="K239"/>
  <c r="J239"/>
  <c r="I239"/>
  <c r="G239"/>
  <c r="F239"/>
  <c r="E239"/>
  <c r="V238"/>
  <c r="U238"/>
  <c r="S238"/>
  <c r="R238"/>
  <c r="Q238"/>
  <c r="P238"/>
  <c r="O238"/>
  <c r="N238"/>
  <c r="M238"/>
  <c r="L238"/>
  <c r="K238"/>
  <c r="J238"/>
  <c r="I238"/>
  <c r="G238"/>
  <c r="F238"/>
  <c r="E238"/>
  <c r="V237"/>
  <c r="U237"/>
  <c r="S237"/>
  <c r="R237"/>
  <c r="Q237"/>
  <c r="P237"/>
  <c r="O237"/>
  <c r="N237"/>
  <c r="M237"/>
  <c r="L237"/>
  <c r="K237"/>
  <c r="J237"/>
  <c r="I237"/>
  <c r="G237"/>
  <c r="F237"/>
  <c r="E237"/>
  <c r="V236"/>
  <c r="U236"/>
  <c r="S236"/>
  <c r="R236"/>
  <c r="Q236"/>
  <c r="P236"/>
  <c r="O236"/>
  <c r="N236"/>
  <c r="M236"/>
  <c r="L236"/>
  <c r="K236"/>
  <c r="J236"/>
  <c r="I236"/>
  <c r="G236"/>
  <c r="F236"/>
  <c r="E236"/>
  <c r="V235"/>
  <c r="U235"/>
  <c r="S235"/>
  <c r="R235"/>
  <c r="Q235"/>
  <c r="P235"/>
  <c r="O235"/>
  <c r="N235"/>
  <c r="M235"/>
  <c r="L235"/>
  <c r="K235"/>
  <c r="J235"/>
  <c r="I235"/>
  <c r="H235"/>
  <c r="G235"/>
  <c r="F235"/>
  <c r="E235"/>
  <c r="V233"/>
  <c r="U233"/>
  <c r="S233"/>
  <c r="R233"/>
  <c r="Q233"/>
  <c r="P233"/>
  <c r="O233"/>
  <c r="N233"/>
  <c r="M233"/>
  <c r="L233"/>
  <c r="K233"/>
  <c r="J233"/>
  <c r="I233"/>
  <c r="H233"/>
  <c r="G233"/>
  <c r="F233"/>
  <c r="E233"/>
  <c r="V232"/>
  <c r="U232"/>
  <c r="S232"/>
  <c r="R232"/>
  <c r="Q232"/>
  <c r="P232"/>
  <c r="O232"/>
  <c r="N232"/>
  <c r="M232"/>
  <c r="L232"/>
  <c r="K232"/>
  <c r="J232"/>
  <c r="I232"/>
  <c r="H232"/>
  <c r="G232"/>
  <c r="F232"/>
  <c r="E232"/>
  <c r="V231"/>
  <c r="U231"/>
  <c r="S231"/>
  <c r="R231"/>
  <c r="Q231"/>
  <c r="P231"/>
  <c r="O231"/>
  <c r="N231"/>
  <c r="M231"/>
  <c r="L231"/>
  <c r="K231"/>
  <c r="J231"/>
  <c r="I231"/>
  <c r="H231"/>
  <c r="G231"/>
  <c r="F231"/>
  <c r="E231"/>
  <c r="V230"/>
  <c r="U230"/>
  <c r="S230"/>
  <c r="R230"/>
  <c r="Q230"/>
  <c r="P230"/>
  <c r="O230"/>
  <c r="N230"/>
  <c r="M230"/>
  <c r="L230"/>
  <c r="K230"/>
  <c r="J230"/>
  <c r="I230"/>
  <c r="H230"/>
  <c r="G230"/>
  <c r="F230"/>
  <c r="E230"/>
  <c r="V229"/>
  <c r="U229"/>
  <c r="S229"/>
  <c r="R229"/>
  <c r="Q229"/>
  <c r="P229"/>
  <c r="O229"/>
  <c r="N229"/>
  <c r="M229"/>
  <c r="L229"/>
  <c r="K229"/>
  <c r="J229"/>
  <c r="I229"/>
  <c r="H229"/>
  <c r="G229"/>
  <c r="F229"/>
  <c r="E229"/>
  <c r="V228"/>
  <c r="U228"/>
  <c r="S228"/>
  <c r="R228"/>
  <c r="Q228"/>
  <c r="P228"/>
  <c r="O228"/>
  <c r="N228"/>
  <c r="M228"/>
  <c r="L228"/>
  <c r="K228"/>
  <c r="J228"/>
  <c r="I228"/>
  <c r="H228"/>
  <c r="G228"/>
  <c r="F228"/>
  <c r="V227"/>
  <c r="U227"/>
  <c r="S227"/>
  <c r="R227"/>
  <c r="Q227"/>
  <c r="P227"/>
  <c r="O227"/>
  <c r="N227"/>
  <c r="M227"/>
  <c r="L227"/>
  <c r="K227"/>
  <c r="J227"/>
  <c r="I227"/>
  <c r="H227"/>
  <c r="G227"/>
  <c r="F227"/>
  <c r="E227"/>
  <c r="V226"/>
  <c r="V257" s="1"/>
  <c r="U226"/>
  <c r="S226"/>
  <c r="R226"/>
  <c r="Q226"/>
  <c r="Q257"/>
  <c r="P226"/>
  <c r="O226"/>
  <c r="O257" s="1"/>
  <c r="N226"/>
  <c r="M226"/>
  <c r="M257" s="1"/>
  <c r="L226"/>
  <c r="K226"/>
  <c r="J226"/>
  <c r="I226"/>
  <c r="I257"/>
  <c r="H226"/>
  <c r="G226"/>
  <c r="G257" s="1"/>
  <c r="F226"/>
  <c r="E226"/>
  <c r="E257" s="1"/>
  <c r="V220"/>
  <c r="U220"/>
  <c r="S220"/>
  <c r="R220"/>
  <c r="Q220"/>
  <c r="P220"/>
  <c r="O220"/>
  <c r="N220"/>
  <c r="M220"/>
  <c r="L220"/>
  <c r="K220"/>
  <c r="J220"/>
  <c r="I220"/>
  <c r="H220"/>
  <c r="G220"/>
  <c r="F220"/>
  <c r="E220"/>
  <c r="D220"/>
  <c r="H209"/>
  <c r="W209"/>
  <c r="V203"/>
  <c r="U203"/>
  <c r="S203"/>
  <c r="R203"/>
  <c r="Q203"/>
  <c r="P203"/>
  <c r="O203"/>
  <c r="N203"/>
  <c r="M203"/>
  <c r="L203"/>
  <c r="K203"/>
  <c r="J203"/>
  <c r="I203"/>
  <c r="I204" i="76"/>
  <c r="H203" i="75"/>
  <c r="G203"/>
  <c r="F203"/>
  <c r="E203"/>
  <c r="D203"/>
  <c r="V175"/>
  <c r="U175"/>
  <c r="S175"/>
  <c r="R175"/>
  <c r="Q175"/>
  <c r="P175"/>
  <c r="O175"/>
  <c r="N175"/>
  <c r="M175"/>
  <c r="L175"/>
  <c r="K175"/>
  <c r="J175"/>
  <c r="I175"/>
  <c r="G175"/>
  <c r="F175"/>
  <c r="E175"/>
  <c r="D175"/>
  <c r="V48"/>
  <c r="U48"/>
  <c r="S48"/>
  <c r="R48"/>
  <c r="Q48"/>
  <c r="P48"/>
  <c r="O48"/>
  <c r="N48"/>
  <c r="M48"/>
  <c r="L48"/>
  <c r="K48"/>
  <c r="J48"/>
  <c r="I48"/>
  <c r="H48"/>
  <c r="G48"/>
  <c r="F48"/>
  <c r="E48"/>
  <c r="D48"/>
  <c r="V38"/>
  <c r="U38"/>
  <c r="S38"/>
  <c r="R38"/>
  <c r="Q38"/>
  <c r="P38"/>
  <c r="O38"/>
  <c r="N38"/>
  <c r="M38"/>
  <c r="L38"/>
  <c r="K38"/>
  <c r="J38"/>
  <c r="I38"/>
  <c r="H38"/>
  <c r="G38"/>
  <c r="D38"/>
  <c r="V28"/>
  <c r="U28"/>
  <c r="S28"/>
  <c r="R28"/>
  <c r="Q28"/>
  <c r="P28"/>
  <c r="O28"/>
  <c r="N28"/>
  <c r="M28"/>
  <c r="L28"/>
  <c r="K28"/>
  <c r="J28"/>
  <c r="I28"/>
  <c r="H28"/>
  <c r="G28"/>
  <c r="F28"/>
  <c r="D28"/>
  <c r="V21"/>
  <c r="U21"/>
  <c r="S21"/>
  <c r="R21"/>
  <c r="Q21"/>
  <c r="P21"/>
  <c r="O21"/>
  <c r="N21"/>
  <c r="M21"/>
  <c r="L21"/>
  <c r="K21"/>
  <c r="J21"/>
  <c r="I21"/>
  <c r="H21"/>
  <c r="G21"/>
  <c r="F21"/>
  <c r="E21"/>
  <c r="D21"/>
  <c r="W21"/>
  <c r="D21" i="74"/>
  <c r="E203"/>
  <c r="M38"/>
  <c r="H38"/>
  <c r="F38"/>
  <c r="E38"/>
  <c r="E28"/>
  <c r="C30"/>
  <c r="C21"/>
  <c r="V287"/>
  <c r="U287"/>
  <c r="S287"/>
  <c r="R287"/>
  <c r="Q287"/>
  <c r="P287"/>
  <c r="O287"/>
  <c r="N287"/>
  <c r="M287"/>
  <c r="L287"/>
  <c r="K287"/>
  <c r="J287"/>
  <c r="I287"/>
  <c r="H287"/>
  <c r="G287"/>
  <c r="F287"/>
  <c r="E287"/>
  <c r="D287"/>
  <c r="C277"/>
  <c r="C287" s="1"/>
  <c r="C289" s="1"/>
  <c r="V275"/>
  <c r="U275"/>
  <c r="S275"/>
  <c r="R275"/>
  <c r="Q275"/>
  <c r="P275"/>
  <c r="O275"/>
  <c r="N275"/>
  <c r="M275"/>
  <c r="L275"/>
  <c r="K275"/>
  <c r="J275"/>
  <c r="I275"/>
  <c r="H275"/>
  <c r="G275"/>
  <c r="F275"/>
  <c r="E275"/>
  <c r="D275"/>
  <c r="W275"/>
  <c r="C275"/>
  <c r="V271"/>
  <c r="U271"/>
  <c r="S271"/>
  <c r="R271"/>
  <c r="Q271"/>
  <c r="P271"/>
  <c r="O271"/>
  <c r="N271"/>
  <c r="M271"/>
  <c r="L271"/>
  <c r="K271"/>
  <c r="J271"/>
  <c r="I271"/>
  <c r="H271"/>
  <c r="G271"/>
  <c r="F271"/>
  <c r="E271"/>
  <c r="D271"/>
  <c r="W271"/>
  <c r="C271"/>
  <c r="V267"/>
  <c r="U267"/>
  <c r="S267"/>
  <c r="R267"/>
  <c r="Q267"/>
  <c r="P267"/>
  <c r="O267"/>
  <c r="N267"/>
  <c r="M267"/>
  <c r="L267"/>
  <c r="K267"/>
  <c r="J267"/>
  <c r="I267"/>
  <c r="H267"/>
  <c r="G267"/>
  <c r="F267"/>
  <c r="E267"/>
  <c r="D267"/>
  <c r="W267"/>
  <c r="C267"/>
  <c r="D257"/>
  <c r="V256"/>
  <c r="U256"/>
  <c r="S256"/>
  <c r="R256"/>
  <c r="Q256"/>
  <c r="P256"/>
  <c r="O256"/>
  <c r="N256"/>
  <c r="M256"/>
  <c r="L256"/>
  <c r="K256"/>
  <c r="J256"/>
  <c r="I256"/>
  <c r="H256"/>
  <c r="G256"/>
  <c r="F256"/>
  <c r="E256"/>
  <c r="V255"/>
  <c r="U255"/>
  <c r="S255"/>
  <c r="R255"/>
  <c r="Q255"/>
  <c r="P255"/>
  <c r="O255"/>
  <c r="M255"/>
  <c r="L255"/>
  <c r="K255"/>
  <c r="J255"/>
  <c r="I255"/>
  <c r="H255"/>
  <c r="G255"/>
  <c r="F255"/>
  <c r="E255"/>
  <c r="V254"/>
  <c r="U254"/>
  <c r="S254"/>
  <c r="R254"/>
  <c r="Q254"/>
  <c r="P254"/>
  <c r="O254"/>
  <c r="M254"/>
  <c r="L254"/>
  <c r="K254"/>
  <c r="J254"/>
  <c r="I254"/>
  <c r="H254"/>
  <c r="G254"/>
  <c r="F254"/>
  <c r="E254"/>
  <c r="V253"/>
  <c r="U253"/>
  <c r="S253"/>
  <c r="R253"/>
  <c r="Q253"/>
  <c r="P253"/>
  <c r="O253"/>
  <c r="M253"/>
  <c r="L253"/>
  <c r="K253"/>
  <c r="J253"/>
  <c r="I253"/>
  <c r="H253"/>
  <c r="G253"/>
  <c r="F253"/>
  <c r="E253"/>
  <c r="V252"/>
  <c r="U252"/>
  <c r="S252"/>
  <c r="R252"/>
  <c r="Q252"/>
  <c r="P252"/>
  <c r="O252"/>
  <c r="M252"/>
  <c r="L252"/>
  <c r="K252"/>
  <c r="J252"/>
  <c r="I252"/>
  <c r="H252"/>
  <c r="G252"/>
  <c r="F252"/>
  <c r="E252"/>
  <c r="V251"/>
  <c r="U251"/>
  <c r="S251"/>
  <c r="R251"/>
  <c r="Q251"/>
  <c r="P251"/>
  <c r="O251"/>
  <c r="M251"/>
  <c r="L251"/>
  <c r="K251"/>
  <c r="J251"/>
  <c r="I251"/>
  <c r="H251"/>
  <c r="G251"/>
  <c r="F251"/>
  <c r="E251"/>
  <c r="V250"/>
  <c r="U250"/>
  <c r="S250"/>
  <c r="R250"/>
  <c r="Q250"/>
  <c r="P250"/>
  <c r="O250"/>
  <c r="M250"/>
  <c r="L250"/>
  <c r="K250"/>
  <c r="J250"/>
  <c r="I250"/>
  <c r="H250"/>
  <c r="G250"/>
  <c r="F250"/>
  <c r="E250"/>
  <c r="V249"/>
  <c r="U249"/>
  <c r="S249"/>
  <c r="R249"/>
  <c r="Q249"/>
  <c r="P249"/>
  <c r="O249"/>
  <c r="M249"/>
  <c r="L249"/>
  <c r="K249"/>
  <c r="J249"/>
  <c r="I249"/>
  <c r="H249"/>
  <c r="G249"/>
  <c r="F249"/>
  <c r="E249"/>
  <c r="V248"/>
  <c r="U248"/>
  <c r="S248"/>
  <c r="R248"/>
  <c r="Q248"/>
  <c r="P248"/>
  <c r="O248"/>
  <c r="M248"/>
  <c r="L248"/>
  <c r="K248"/>
  <c r="J248"/>
  <c r="I248"/>
  <c r="H248"/>
  <c r="G248"/>
  <c r="F248"/>
  <c r="E248"/>
  <c r="V247"/>
  <c r="U247"/>
  <c r="S247"/>
  <c r="R247"/>
  <c r="Q247"/>
  <c r="P247"/>
  <c r="O247"/>
  <c r="N247"/>
  <c r="M247"/>
  <c r="L247"/>
  <c r="K247"/>
  <c r="J247"/>
  <c r="I247"/>
  <c r="H247"/>
  <c r="G247"/>
  <c r="F247"/>
  <c r="E247"/>
  <c r="V246"/>
  <c r="U246"/>
  <c r="S246"/>
  <c r="R246"/>
  <c r="Q246"/>
  <c r="P246"/>
  <c r="O246"/>
  <c r="N246"/>
  <c r="M246"/>
  <c r="L246"/>
  <c r="K246"/>
  <c r="J246"/>
  <c r="I246"/>
  <c r="H246"/>
  <c r="G246"/>
  <c r="F246"/>
  <c r="E246"/>
  <c r="V244"/>
  <c r="U244"/>
  <c r="S244"/>
  <c r="R244"/>
  <c r="Q244"/>
  <c r="P244"/>
  <c r="O244"/>
  <c r="N244"/>
  <c r="M244"/>
  <c r="L244"/>
  <c r="K244"/>
  <c r="J244"/>
  <c r="I244"/>
  <c r="H244"/>
  <c r="G244"/>
  <c r="F244"/>
  <c r="E244"/>
  <c r="V243"/>
  <c r="U243"/>
  <c r="S243"/>
  <c r="R243"/>
  <c r="Q243"/>
  <c r="P243"/>
  <c r="O243"/>
  <c r="N243"/>
  <c r="M243"/>
  <c r="L243"/>
  <c r="K243"/>
  <c r="J243"/>
  <c r="I243"/>
  <c r="H243"/>
  <c r="G243"/>
  <c r="F243"/>
  <c r="E243"/>
  <c r="V241"/>
  <c r="U241"/>
  <c r="S241"/>
  <c r="R241"/>
  <c r="Q241"/>
  <c r="P241"/>
  <c r="O241"/>
  <c r="N241"/>
  <c r="M241"/>
  <c r="L241"/>
  <c r="K241"/>
  <c r="J241"/>
  <c r="I241"/>
  <c r="H241"/>
  <c r="G241"/>
  <c r="F241"/>
  <c r="E241"/>
  <c r="V239"/>
  <c r="U239"/>
  <c r="S239"/>
  <c r="R239"/>
  <c r="Q239"/>
  <c r="P239"/>
  <c r="O239"/>
  <c r="N239"/>
  <c r="M239"/>
  <c r="L239"/>
  <c r="K239"/>
  <c r="J239"/>
  <c r="I239"/>
  <c r="G239"/>
  <c r="F239"/>
  <c r="E239"/>
  <c r="V238"/>
  <c r="U238"/>
  <c r="S238"/>
  <c r="R238"/>
  <c r="Q238"/>
  <c r="P238"/>
  <c r="O238"/>
  <c r="N238"/>
  <c r="M238"/>
  <c r="L238"/>
  <c r="K238"/>
  <c r="J238"/>
  <c r="I238"/>
  <c r="G238"/>
  <c r="F238"/>
  <c r="E238"/>
  <c r="V237"/>
  <c r="U237"/>
  <c r="S237"/>
  <c r="R237"/>
  <c r="Q237"/>
  <c r="P237"/>
  <c r="O237"/>
  <c r="N237"/>
  <c r="M237"/>
  <c r="L237"/>
  <c r="K237"/>
  <c r="J237"/>
  <c r="I237"/>
  <c r="H237"/>
  <c r="G237"/>
  <c r="F237"/>
  <c r="E237"/>
  <c r="V236"/>
  <c r="U236"/>
  <c r="S236"/>
  <c r="R236"/>
  <c r="Q236"/>
  <c r="P236"/>
  <c r="O236"/>
  <c r="N236"/>
  <c r="M236"/>
  <c r="L236"/>
  <c r="K236"/>
  <c r="J236"/>
  <c r="I236"/>
  <c r="G236"/>
  <c r="F236"/>
  <c r="E236"/>
  <c r="C236"/>
  <c r="V235"/>
  <c r="U235"/>
  <c r="S235"/>
  <c r="R235"/>
  <c r="Q235"/>
  <c r="P235"/>
  <c r="O235"/>
  <c r="N235"/>
  <c r="M235"/>
  <c r="L235"/>
  <c r="K235"/>
  <c r="J235"/>
  <c r="I235"/>
  <c r="H235"/>
  <c r="G235"/>
  <c r="F235"/>
  <c r="E235"/>
  <c r="V233"/>
  <c r="U233"/>
  <c r="S233"/>
  <c r="R233"/>
  <c r="Q233"/>
  <c r="P233"/>
  <c r="O233"/>
  <c r="N233"/>
  <c r="M233"/>
  <c r="L233"/>
  <c r="K233"/>
  <c r="J233"/>
  <c r="I233"/>
  <c r="H233"/>
  <c r="G233"/>
  <c r="F233"/>
  <c r="E233"/>
  <c r="V232"/>
  <c r="U232"/>
  <c r="S232"/>
  <c r="R232"/>
  <c r="Q232"/>
  <c r="P232"/>
  <c r="O232"/>
  <c r="N232"/>
  <c r="M232"/>
  <c r="L232"/>
  <c r="K232"/>
  <c r="J232"/>
  <c r="I232"/>
  <c r="H232"/>
  <c r="G232"/>
  <c r="F232"/>
  <c r="E232"/>
  <c r="V231"/>
  <c r="U231"/>
  <c r="S231"/>
  <c r="R231"/>
  <c r="Q231"/>
  <c r="P231"/>
  <c r="O231"/>
  <c r="N231"/>
  <c r="M231"/>
  <c r="L231"/>
  <c r="K231"/>
  <c r="J231"/>
  <c r="I231"/>
  <c r="H231"/>
  <c r="G231"/>
  <c r="F231"/>
  <c r="E231"/>
  <c r="V230"/>
  <c r="U230"/>
  <c r="S230"/>
  <c r="R230"/>
  <c r="Q230"/>
  <c r="P230"/>
  <c r="O230"/>
  <c r="N230"/>
  <c r="M230"/>
  <c r="L230"/>
  <c r="K230"/>
  <c r="J230"/>
  <c r="I230"/>
  <c r="H230"/>
  <c r="G230"/>
  <c r="F230"/>
  <c r="E230"/>
  <c r="C230"/>
  <c r="C257"/>
  <c r="V229"/>
  <c r="U229"/>
  <c r="S229"/>
  <c r="R229"/>
  <c r="Q229"/>
  <c r="P229"/>
  <c r="O229"/>
  <c r="N229"/>
  <c r="M229"/>
  <c r="L229"/>
  <c r="K229"/>
  <c r="J229"/>
  <c r="I229"/>
  <c r="H229"/>
  <c r="G229"/>
  <c r="F229"/>
  <c r="E229"/>
  <c r="V228"/>
  <c r="U228"/>
  <c r="S228"/>
  <c r="R228"/>
  <c r="Q228"/>
  <c r="P228"/>
  <c r="O228"/>
  <c r="N228"/>
  <c r="M228"/>
  <c r="L228"/>
  <c r="K228"/>
  <c r="J228"/>
  <c r="I228"/>
  <c r="H228"/>
  <c r="G228"/>
  <c r="F228"/>
  <c r="V227"/>
  <c r="U227"/>
  <c r="S227"/>
  <c r="R227"/>
  <c r="Q227"/>
  <c r="P227"/>
  <c r="O227"/>
  <c r="N227"/>
  <c r="M227"/>
  <c r="L227"/>
  <c r="K227"/>
  <c r="J227"/>
  <c r="I227"/>
  <c r="H227"/>
  <c r="G227"/>
  <c r="F227"/>
  <c r="E227"/>
  <c r="V226"/>
  <c r="U226"/>
  <c r="S226"/>
  <c r="R226"/>
  <c r="Q226"/>
  <c r="P226"/>
  <c r="O226"/>
  <c r="N226"/>
  <c r="M226"/>
  <c r="L226"/>
  <c r="K226"/>
  <c r="J226"/>
  <c r="I226"/>
  <c r="H226"/>
  <c r="G226"/>
  <c r="F226"/>
  <c r="E226"/>
  <c r="C223"/>
  <c r="V220"/>
  <c r="U220"/>
  <c r="S220"/>
  <c r="R220"/>
  <c r="Q220"/>
  <c r="P220"/>
  <c r="O220"/>
  <c r="N220"/>
  <c r="M220"/>
  <c r="L220"/>
  <c r="K220"/>
  <c r="J220"/>
  <c r="I220"/>
  <c r="H220"/>
  <c r="G220"/>
  <c r="F220"/>
  <c r="E220"/>
  <c r="D220"/>
  <c r="C220"/>
  <c r="H209"/>
  <c r="E209"/>
  <c r="C208"/>
  <c r="C206"/>
  <c r="C205"/>
  <c r="C209"/>
  <c r="V203"/>
  <c r="U203"/>
  <c r="S203"/>
  <c r="R203"/>
  <c r="Q203"/>
  <c r="P203"/>
  <c r="O203"/>
  <c r="N203"/>
  <c r="M203"/>
  <c r="L203"/>
  <c r="K203"/>
  <c r="J203"/>
  <c r="I203"/>
  <c r="H203"/>
  <c r="G203"/>
  <c r="F203"/>
  <c r="D203"/>
  <c r="C188"/>
  <c r="C186"/>
  <c r="C184"/>
  <c r="C183"/>
  <c r="C181"/>
  <c r="C180"/>
  <c r="C179"/>
  <c r="C177"/>
  <c r="C203"/>
  <c r="V175"/>
  <c r="U175"/>
  <c r="S175"/>
  <c r="R175"/>
  <c r="Q175"/>
  <c r="P175"/>
  <c r="O175"/>
  <c r="N175"/>
  <c r="M175"/>
  <c r="L175"/>
  <c r="K175"/>
  <c r="J175"/>
  <c r="I175"/>
  <c r="H175"/>
  <c r="G175"/>
  <c r="F175"/>
  <c r="E175"/>
  <c r="D175"/>
  <c r="C162"/>
  <c r="C157"/>
  <c r="C155"/>
  <c r="C153"/>
  <c r="C136"/>
  <c r="C134"/>
  <c r="C130"/>
  <c r="C94"/>
  <c r="C93"/>
  <c r="C92"/>
  <c r="C91"/>
  <c r="C90"/>
  <c r="C89"/>
  <c r="C80"/>
  <c r="C79"/>
  <c r="C78"/>
  <c r="C66"/>
  <c r="C65"/>
  <c r="C63"/>
  <c r="C62"/>
  <c r="C57"/>
  <c r="C54"/>
  <c r="C51"/>
  <c r="C50"/>
  <c r="C175"/>
  <c r="V48"/>
  <c r="U48"/>
  <c r="S48"/>
  <c r="R48"/>
  <c r="Q48"/>
  <c r="P48"/>
  <c r="O48"/>
  <c r="N48"/>
  <c r="M48"/>
  <c r="L48"/>
  <c r="K48"/>
  <c r="J48"/>
  <c r="I48"/>
  <c r="H48"/>
  <c r="G48"/>
  <c r="F48"/>
  <c r="E48"/>
  <c r="D48"/>
  <c r="C46"/>
  <c r="C45"/>
  <c r="C48"/>
  <c r="V38"/>
  <c r="U38"/>
  <c r="S38"/>
  <c r="R38"/>
  <c r="Q38"/>
  <c r="P38"/>
  <c r="O38"/>
  <c r="N38"/>
  <c r="L38"/>
  <c r="K38"/>
  <c r="J38"/>
  <c r="I38"/>
  <c r="G38"/>
  <c r="D38"/>
  <c r="C36"/>
  <c r="C34"/>
  <c r="C33"/>
  <c r="C38"/>
  <c r="V28"/>
  <c r="U28"/>
  <c r="S28"/>
  <c r="R28"/>
  <c r="Q28"/>
  <c r="P28"/>
  <c r="O28"/>
  <c r="N28"/>
  <c r="M28"/>
  <c r="L28"/>
  <c r="K28"/>
  <c r="J28"/>
  <c r="I28"/>
  <c r="H28"/>
  <c r="G28"/>
  <c r="F28"/>
  <c r="D28"/>
  <c r="C27"/>
  <c r="C28"/>
  <c r="V21"/>
  <c r="U21"/>
  <c r="S21"/>
  <c r="R21"/>
  <c r="Q21"/>
  <c r="P21"/>
  <c r="O21"/>
  <c r="N21"/>
  <c r="M21"/>
  <c r="L21"/>
  <c r="K21"/>
  <c r="J21"/>
  <c r="I21"/>
  <c r="H21"/>
  <c r="G21"/>
  <c r="F21"/>
  <c r="E21"/>
  <c r="W21"/>
  <c r="F272" i="73"/>
  <c r="C272"/>
  <c r="G288"/>
  <c r="F205"/>
  <c r="F206"/>
  <c r="F207"/>
  <c r="F204"/>
  <c r="F208" s="1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76"/>
  <c r="F202" s="1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49"/>
  <c r="F40"/>
  <c r="F41"/>
  <c r="F42"/>
  <c r="F43"/>
  <c r="F44"/>
  <c r="F45"/>
  <c r="F46"/>
  <c r="F39"/>
  <c r="F47"/>
  <c r="F30"/>
  <c r="F31"/>
  <c r="F32"/>
  <c r="F33"/>
  <c r="F34"/>
  <c r="F35"/>
  <c r="F36"/>
  <c r="F29"/>
  <c r="F37" s="1"/>
  <c r="F23"/>
  <c r="F24"/>
  <c r="F25"/>
  <c r="F26"/>
  <c r="F22"/>
  <c r="F11"/>
  <c r="F12"/>
  <c r="F13"/>
  <c r="F14"/>
  <c r="F15"/>
  <c r="F16"/>
  <c r="F17"/>
  <c r="F18"/>
  <c r="F19"/>
  <c r="F10"/>
  <c r="F20"/>
  <c r="I286"/>
  <c r="H286"/>
  <c r="G286"/>
  <c r="F286"/>
  <c r="C276"/>
  <c r="C286"/>
  <c r="I274"/>
  <c r="H274"/>
  <c r="G274"/>
  <c r="F274"/>
  <c r="E274"/>
  <c r="D274"/>
  <c r="C274"/>
  <c r="G270"/>
  <c r="F270"/>
  <c r="D270"/>
  <c r="C270"/>
  <c r="I266"/>
  <c r="H266"/>
  <c r="G266"/>
  <c r="F266"/>
  <c r="E266"/>
  <c r="D266"/>
  <c r="C266"/>
  <c r="G256"/>
  <c r="D256"/>
  <c r="C235"/>
  <c r="C229"/>
  <c r="C256"/>
  <c r="I222"/>
  <c r="H222"/>
  <c r="G222"/>
  <c r="F222"/>
  <c r="E222"/>
  <c r="D222"/>
  <c r="C222"/>
  <c r="F219"/>
  <c r="C219"/>
  <c r="I218"/>
  <c r="H218"/>
  <c r="I217"/>
  <c r="H217"/>
  <c r="I216"/>
  <c r="H216"/>
  <c r="I215"/>
  <c r="H215"/>
  <c r="I214"/>
  <c r="H214"/>
  <c r="G208"/>
  <c r="C207"/>
  <c r="C205"/>
  <c r="C208"/>
  <c r="C204"/>
  <c r="G202"/>
  <c r="H201"/>
  <c r="I201"/>
  <c r="H200"/>
  <c r="I200"/>
  <c r="H199"/>
  <c r="I199"/>
  <c r="H198"/>
  <c r="I198"/>
  <c r="H197"/>
  <c r="I197"/>
  <c r="C187"/>
  <c r="C185"/>
  <c r="C183"/>
  <c r="C180"/>
  <c r="C179"/>
  <c r="C178"/>
  <c r="C176"/>
  <c r="C202"/>
  <c r="G174"/>
  <c r="C161"/>
  <c r="C156"/>
  <c r="C154"/>
  <c r="C152"/>
  <c r="C135"/>
  <c r="C133"/>
  <c r="C129"/>
  <c r="C93"/>
  <c r="C92"/>
  <c r="C91"/>
  <c r="C90"/>
  <c r="C89"/>
  <c r="C88"/>
  <c r="C79"/>
  <c r="C78"/>
  <c r="C77"/>
  <c r="C65"/>
  <c r="C64"/>
  <c r="C62"/>
  <c r="C56"/>
  <c r="C53"/>
  <c r="C50"/>
  <c r="C49"/>
  <c r="C174"/>
  <c r="G47"/>
  <c r="C45"/>
  <c r="C44"/>
  <c r="C47"/>
  <c r="G37"/>
  <c r="C35"/>
  <c r="C33"/>
  <c r="C32"/>
  <c r="C29"/>
  <c r="C37"/>
  <c r="I28"/>
  <c r="G27"/>
  <c r="C26"/>
  <c r="I21"/>
  <c r="G20"/>
  <c r="C20"/>
  <c r="W175" i="72"/>
  <c r="F175"/>
  <c r="W203"/>
  <c r="P175"/>
  <c r="M175"/>
  <c r="I175"/>
  <c r="H175"/>
  <c r="E175"/>
  <c r="H209"/>
  <c r="H210" i="65"/>
  <c r="E210"/>
  <c r="H38" i="72"/>
  <c r="F38"/>
  <c r="E209"/>
  <c r="E38"/>
  <c r="E28"/>
  <c r="C277"/>
  <c r="C287" s="1"/>
  <c r="C289" s="1"/>
  <c r="C275"/>
  <c r="C271"/>
  <c r="C267"/>
  <c r="C236"/>
  <c r="C230"/>
  <c r="C257"/>
  <c r="C223"/>
  <c r="C220"/>
  <c r="C208"/>
  <c r="C206"/>
  <c r="C205"/>
  <c r="C209"/>
  <c r="C188"/>
  <c r="C186"/>
  <c r="C184"/>
  <c r="C183"/>
  <c r="C181"/>
  <c r="C180"/>
  <c r="C179"/>
  <c r="C177"/>
  <c r="C203"/>
  <c r="C162"/>
  <c r="C157"/>
  <c r="C155"/>
  <c r="C153"/>
  <c r="C136"/>
  <c r="C134"/>
  <c r="C130"/>
  <c r="C94"/>
  <c r="C93"/>
  <c r="C92"/>
  <c r="C91"/>
  <c r="C90"/>
  <c r="C89"/>
  <c r="C80"/>
  <c r="C79"/>
  <c r="C78"/>
  <c r="C66"/>
  <c r="C65"/>
  <c r="C63"/>
  <c r="C62"/>
  <c r="C57"/>
  <c r="C54"/>
  <c r="C51"/>
  <c r="C50"/>
  <c r="C175"/>
  <c r="C46"/>
  <c r="C45"/>
  <c r="C48"/>
  <c r="C36"/>
  <c r="C34"/>
  <c r="C33"/>
  <c r="C30"/>
  <c r="C38"/>
  <c r="C27"/>
  <c r="C28"/>
  <c r="C21"/>
  <c r="V287"/>
  <c r="U287"/>
  <c r="S287"/>
  <c r="R287"/>
  <c r="Q287"/>
  <c r="P287"/>
  <c r="O287"/>
  <c r="N287"/>
  <c r="M287"/>
  <c r="L287"/>
  <c r="K287"/>
  <c r="J287"/>
  <c r="I287"/>
  <c r="H287"/>
  <c r="G287"/>
  <c r="F287"/>
  <c r="E287"/>
  <c r="D287"/>
  <c r="V275"/>
  <c r="U275"/>
  <c r="S275"/>
  <c r="R275"/>
  <c r="Q275"/>
  <c r="P275"/>
  <c r="O275"/>
  <c r="N275"/>
  <c r="M275"/>
  <c r="L275"/>
  <c r="K275"/>
  <c r="J275"/>
  <c r="I275"/>
  <c r="H275"/>
  <c r="G275"/>
  <c r="F275"/>
  <c r="E275"/>
  <c r="D275"/>
  <c r="W275"/>
  <c r="V271"/>
  <c r="U271"/>
  <c r="S271"/>
  <c r="R271"/>
  <c r="Q271"/>
  <c r="P271"/>
  <c r="O271"/>
  <c r="N271"/>
  <c r="M271"/>
  <c r="L271"/>
  <c r="K271"/>
  <c r="J271"/>
  <c r="I271"/>
  <c r="H271"/>
  <c r="G271"/>
  <c r="F271"/>
  <c r="E271"/>
  <c r="D271"/>
  <c r="W271"/>
  <c r="V267"/>
  <c r="U267"/>
  <c r="S267"/>
  <c r="R267"/>
  <c r="Q267"/>
  <c r="P267"/>
  <c r="O267"/>
  <c r="N267"/>
  <c r="M267"/>
  <c r="L267"/>
  <c r="K267"/>
  <c r="J267"/>
  <c r="I267"/>
  <c r="H267"/>
  <c r="G267"/>
  <c r="F267"/>
  <c r="E267"/>
  <c r="D267"/>
  <c r="W267"/>
  <c r="D257"/>
  <c r="V256"/>
  <c r="U256"/>
  <c r="S256"/>
  <c r="R256"/>
  <c r="Q256"/>
  <c r="P256"/>
  <c r="O256"/>
  <c r="N256"/>
  <c r="M256"/>
  <c r="L256"/>
  <c r="K256"/>
  <c r="J256"/>
  <c r="I256"/>
  <c r="H256"/>
  <c r="G256"/>
  <c r="F256"/>
  <c r="E256"/>
  <c r="V255"/>
  <c r="U255"/>
  <c r="S255"/>
  <c r="R255"/>
  <c r="Q255"/>
  <c r="P255"/>
  <c r="O255"/>
  <c r="M255"/>
  <c r="L255"/>
  <c r="K255"/>
  <c r="J255"/>
  <c r="I255"/>
  <c r="H255"/>
  <c r="G255"/>
  <c r="F255"/>
  <c r="E255"/>
  <c r="V254"/>
  <c r="U254"/>
  <c r="S254"/>
  <c r="R254"/>
  <c r="Q254"/>
  <c r="P254"/>
  <c r="O254"/>
  <c r="M254"/>
  <c r="L254"/>
  <c r="K254"/>
  <c r="J254"/>
  <c r="I254"/>
  <c r="H254"/>
  <c r="G254"/>
  <c r="F254"/>
  <c r="E254"/>
  <c r="V253"/>
  <c r="U253"/>
  <c r="S253"/>
  <c r="R253"/>
  <c r="Q253"/>
  <c r="P253"/>
  <c r="O253"/>
  <c r="M253"/>
  <c r="L253"/>
  <c r="K253"/>
  <c r="J253"/>
  <c r="I253"/>
  <c r="H253"/>
  <c r="G253"/>
  <c r="F253"/>
  <c r="E253"/>
  <c r="V252"/>
  <c r="U252"/>
  <c r="S252"/>
  <c r="R252"/>
  <c r="Q252"/>
  <c r="P252"/>
  <c r="O252"/>
  <c r="M252"/>
  <c r="L252"/>
  <c r="K252"/>
  <c r="J252"/>
  <c r="I252"/>
  <c r="H252"/>
  <c r="G252"/>
  <c r="F252"/>
  <c r="E252"/>
  <c r="V251"/>
  <c r="U251"/>
  <c r="S251"/>
  <c r="R251"/>
  <c r="Q251"/>
  <c r="P251"/>
  <c r="O251"/>
  <c r="M251"/>
  <c r="L251"/>
  <c r="K251"/>
  <c r="J251"/>
  <c r="I251"/>
  <c r="H251"/>
  <c r="G251"/>
  <c r="F251"/>
  <c r="E251"/>
  <c r="V250"/>
  <c r="U250"/>
  <c r="S250"/>
  <c r="R250"/>
  <c r="Q250"/>
  <c r="P250"/>
  <c r="O250"/>
  <c r="M250"/>
  <c r="L250"/>
  <c r="K250"/>
  <c r="J250"/>
  <c r="I250"/>
  <c r="H250"/>
  <c r="G250"/>
  <c r="F250"/>
  <c r="E250"/>
  <c r="V249"/>
  <c r="U249"/>
  <c r="S249"/>
  <c r="R249"/>
  <c r="Q249"/>
  <c r="P249"/>
  <c r="O249"/>
  <c r="M249"/>
  <c r="L249"/>
  <c r="K249"/>
  <c r="J249"/>
  <c r="I249"/>
  <c r="H249"/>
  <c r="G249"/>
  <c r="F249"/>
  <c r="E249"/>
  <c r="V248"/>
  <c r="U248"/>
  <c r="S248"/>
  <c r="R248"/>
  <c r="Q248"/>
  <c r="P248"/>
  <c r="O248"/>
  <c r="M248"/>
  <c r="L248"/>
  <c r="K248"/>
  <c r="J248"/>
  <c r="I248"/>
  <c r="H248"/>
  <c r="G248"/>
  <c r="F248"/>
  <c r="E248"/>
  <c r="V247"/>
  <c r="U247"/>
  <c r="S247"/>
  <c r="R247"/>
  <c r="Q247"/>
  <c r="P247"/>
  <c r="O247"/>
  <c r="N247"/>
  <c r="M247"/>
  <c r="L247"/>
  <c r="K247"/>
  <c r="J247"/>
  <c r="I247"/>
  <c r="H247"/>
  <c r="G247"/>
  <c r="F247"/>
  <c r="E247"/>
  <c r="V246"/>
  <c r="U246"/>
  <c r="S246"/>
  <c r="R246"/>
  <c r="Q246"/>
  <c r="P246"/>
  <c r="O246"/>
  <c r="N246"/>
  <c r="M246"/>
  <c r="L246"/>
  <c r="K246"/>
  <c r="J246"/>
  <c r="I246"/>
  <c r="H246"/>
  <c r="G246"/>
  <c r="F246"/>
  <c r="E246"/>
  <c r="F245" i="73" s="1"/>
  <c r="V244" i="72"/>
  <c r="U244"/>
  <c r="S244"/>
  <c r="R244"/>
  <c r="Q244"/>
  <c r="P244"/>
  <c r="O244"/>
  <c r="N244"/>
  <c r="M244"/>
  <c r="L244"/>
  <c r="K244"/>
  <c r="J244"/>
  <c r="I244"/>
  <c r="H244"/>
  <c r="G244"/>
  <c r="F244"/>
  <c r="E244"/>
  <c r="V243"/>
  <c r="U243"/>
  <c r="S243"/>
  <c r="R243"/>
  <c r="Q243"/>
  <c r="P243"/>
  <c r="O243"/>
  <c r="N243"/>
  <c r="M243"/>
  <c r="L243"/>
  <c r="K243"/>
  <c r="J243"/>
  <c r="I243"/>
  <c r="H243"/>
  <c r="G243"/>
  <c r="F243"/>
  <c r="E243"/>
  <c r="V241"/>
  <c r="U241"/>
  <c r="S241"/>
  <c r="R241"/>
  <c r="Q241"/>
  <c r="P241"/>
  <c r="O241"/>
  <c r="N241"/>
  <c r="M241"/>
  <c r="L241"/>
  <c r="K241"/>
  <c r="J241"/>
  <c r="I241"/>
  <c r="H241"/>
  <c r="G241"/>
  <c r="F241"/>
  <c r="E241"/>
  <c r="V239"/>
  <c r="U239"/>
  <c r="S239"/>
  <c r="R239"/>
  <c r="Q239"/>
  <c r="P239"/>
  <c r="O239"/>
  <c r="N239"/>
  <c r="M239"/>
  <c r="L239"/>
  <c r="K239"/>
  <c r="J239"/>
  <c r="I239"/>
  <c r="H239"/>
  <c r="H241" i="76" s="1"/>
  <c r="G239" i="72"/>
  <c r="F239"/>
  <c r="E239"/>
  <c r="V238"/>
  <c r="U238"/>
  <c r="S238"/>
  <c r="R238"/>
  <c r="Q238"/>
  <c r="P238"/>
  <c r="O238"/>
  <c r="N238"/>
  <c r="M238"/>
  <c r="L238"/>
  <c r="K238"/>
  <c r="J238"/>
  <c r="I238"/>
  <c r="H238"/>
  <c r="H240" i="76" s="1"/>
  <c r="G238" i="72"/>
  <c r="F238"/>
  <c r="E238"/>
  <c r="V237"/>
  <c r="U237"/>
  <c r="S237"/>
  <c r="R237"/>
  <c r="Q237"/>
  <c r="P237"/>
  <c r="O237"/>
  <c r="N237"/>
  <c r="M237"/>
  <c r="L237"/>
  <c r="K237"/>
  <c r="J237"/>
  <c r="I237"/>
  <c r="H237"/>
  <c r="H239" i="76" s="1"/>
  <c r="G237" i="72"/>
  <c r="F237"/>
  <c r="E237"/>
  <c r="V236"/>
  <c r="U236"/>
  <c r="S236"/>
  <c r="R236"/>
  <c r="Q236"/>
  <c r="P236"/>
  <c r="O236"/>
  <c r="N236"/>
  <c r="M236"/>
  <c r="L236"/>
  <c r="K236"/>
  <c r="J236"/>
  <c r="I236"/>
  <c r="H236"/>
  <c r="H238" i="76" s="1"/>
  <c r="G236" i="72"/>
  <c r="F236"/>
  <c r="E236"/>
  <c r="V235"/>
  <c r="U235"/>
  <c r="S235"/>
  <c r="R235"/>
  <c r="Q235"/>
  <c r="P235"/>
  <c r="O235"/>
  <c r="N235"/>
  <c r="M235"/>
  <c r="L235"/>
  <c r="K235"/>
  <c r="J235"/>
  <c r="I235"/>
  <c r="H235"/>
  <c r="G235"/>
  <c r="F235"/>
  <c r="E235"/>
  <c r="V233"/>
  <c r="U233"/>
  <c r="S233"/>
  <c r="R233"/>
  <c r="Q233"/>
  <c r="P233"/>
  <c r="O233"/>
  <c r="N233"/>
  <c r="M233"/>
  <c r="L233"/>
  <c r="K233"/>
  <c r="J233"/>
  <c r="I233"/>
  <c r="H233"/>
  <c r="G233"/>
  <c r="F233"/>
  <c r="E233"/>
  <c r="V232"/>
  <c r="U232"/>
  <c r="S232"/>
  <c r="R232"/>
  <c r="Q232"/>
  <c r="P232"/>
  <c r="O232"/>
  <c r="N232"/>
  <c r="M232"/>
  <c r="L232"/>
  <c r="K232"/>
  <c r="J232"/>
  <c r="I232"/>
  <c r="H232"/>
  <c r="G232"/>
  <c r="F232"/>
  <c r="E232"/>
  <c r="V231"/>
  <c r="U231"/>
  <c r="S231"/>
  <c r="R231"/>
  <c r="Q231"/>
  <c r="P231"/>
  <c r="O231"/>
  <c r="N231"/>
  <c r="M231"/>
  <c r="L231"/>
  <c r="K231"/>
  <c r="J231"/>
  <c r="I231"/>
  <c r="H231"/>
  <c r="G231"/>
  <c r="F231"/>
  <c r="E231"/>
  <c r="V230"/>
  <c r="U230"/>
  <c r="S230"/>
  <c r="R230"/>
  <c r="Q230"/>
  <c r="P230"/>
  <c r="O230"/>
  <c r="N230"/>
  <c r="M230"/>
  <c r="L230"/>
  <c r="K230"/>
  <c r="J230"/>
  <c r="I230"/>
  <c r="H230"/>
  <c r="G230"/>
  <c r="F230"/>
  <c r="E230"/>
  <c r="V229"/>
  <c r="U229"/>
  <c r="S229"/>
  <c r="R229"/>
  <c r="Q229"/>
  <c r="P229"/>
  <c r="O229"/>
  <c r="N229"/>
  <c r="M229"/>
  <c r="L229"/>
  <c r="K229"/>
  <c r="J229"/>
  <c r="I229"/>
  <c r="H229"/>
  <c r="G229"/>
  <c r="F229"/>
  <c r="E229"/>
  <c r="V228"/>
  <c r="U228"/>
  <c r="S228"/>
  <c r="R228"/>
  <c r="Q228"/>
  <c r="P228"/>
  <c r="O228"/>
  <c r="N228"/>
  <c r="M228"/>
  <c r="L228"/>
  <c r="K228"/>
  <c r="J228"/>
  <c r="I228"/>
  <c r="H228"/>
  <c r="G228"/>
  <c r="F228"/>
  <c r="V227"/>
  <c r="U227"/>
  <c r="S227"/>
  <c r="R227"/>
  <c r="Q227"/>
  <c r="P227"/>
  <c r="O227"/>
  <c r="N227"/>
  <c r="M227"/>
  <c r="L227"/>
  <c r="K227"/>
  <c r="J227"/>
  <c r="I227"/>
  <c r="H227"/>
  <c r="G227"/>
  <c r="F227"/>
  <c r="E227"/>
  <c r="V226"/>
  <c r="U226"/>
  <c r="S226"/>
  <c r="R226"/>
  <c r="R257" s="1"/>
  <c r="Q226"/>
  <c r="P226"/>
  <c r="O226"/>
  <c r="N226"/>
  <c r="N257"/>
  <c r="M226"/>
  <c r="M257"/>
  <c r="L226"/>
  <c r="L257"/>
  <c r="K226"/>
  <c r="K257"/>
  <c r="J226"/>
  <c r="J257"/>
  <c r="I226"/>
  <c r="I257"/>
  <c r="H226"/>
  <c r="H257"/>
  <c r="G226"/>
  <c r="G257"/>
  <c r="F226"/>
  <c r="F257"/>
  <c r="E226"/>
  <c r="E257"/>
  <c r="V220"/>
  <c r="U220"/>
  <c r="S220"/>
  <c r="R220"/>
  <c r="Q220"/>
  <c r="P220"/>
  <c r="O220"/>
  <c r="N220"/>
  <c r="M220"/>
  <c r="L220"/>
  <c r="K220"/>
  <c r="J220"/>
  <c r="I220"/>
  <c r="H220"/>
  <c r="G220"/>
  <c r="F220"/>
  <c r="E220"/>
  <c r="D220"/>
  <c r="W220"/>
  <c r="V203"/>
  <c r="U203"/>
  <c r="S203"/>
  <c r="R203"/>
  <c r="Q203"/>
  <c r="P203"/>
  <c r="O203"/>
  <c r="N203"/>
  <c r="M203"/>
  <c r="L203"/>
  <c r="K203"/>
  <c r="J203"/>
  <c r="I203"/>
  <c r="H203"/>
  <c r="G203"/>
  <c r="F203"/>
  <c r="E203"/>
  <c r="D203"/>
  <c r="V175"/>
  <c r="U175"/>
  <c r="S175"/>
  <c r="R175"/>
  <c r="Q175"/>
  <c r="O175"/>
  <c r="N175"/>
  <c r="L175"/>
  <c r="K175"/>
  <c r="J175"/>
  <c r="G175"/>
  <c r="D175"/>
  <c r="V48"/>
  <c r="U48"/>
  <c r="S48"/>
  <c r="R48"/>
  <c r="Q48"/>
  <c r="P48"/>
  <c r="O48"/>
  <c r="N48"/>
  <c r="M48"/>
  <c r="L48"/>
  <c r="K48"/>
  <c r="J48"/>
  <c r="I48"/>
  <c r="H48"/>
  <c r="G48"/>
  <c r="F48"/>
  <c r="E48"/>
  <c r="D48"/>
  <c r="V38"/>
  <c r="U38"/>
  <c r="S38"/>
  <c r="R38"/>
  <c r="Q38"/>
  <c r="P38"/>
  <c r="O38"/>
  <c r="N38"/>
  <c r="M38"/>
  <c r="L38"/>
  <c r="K38"/>
  <c r="J38"/>
  <c r="I38"/>
  <c r="G38"/>
  <c r="D38"/>
  <c r="V28"/>
  <c r="U28"/>
  <c r="S28"/>
  <c r="R28"/>
  <c r="Q28"/>
  <c r="P28"/>
  <c r="O28"/>
  <c r="N28"/>
  <c r="M28"/>
  <c r="L28"/>
  <c r="K28"/>
  <c r="J28"/>
  <c r="I28"/>
  <c r="H28"/>
  <c r="G28"/>
  <c r="F28"/>
  <c r="D28"/>
  <c r="V21"/>
  <c r="U21"/>
  <c r="S21"/>
  <c r="R21"/>
  <c r="Q21"/>
  <c r="P21"/>
  <c r="O21"/>
  <c r="N21"/>
  <c r="M21"/>
  <c r="L21"/>
  <c r="K21"/>
  <c r="J21"/>
  <c r="I21"/>
  <c r="H21"/>
  <c r="G21"/>
  <c r="F21"/>
  <c r="E21"/>
  <c r="D21"/>
  <c r="W21"/>
  <c r="H63" i="71"/>
  <c r="P175" i="70"/>
  <c r="D275" i="71"/>
  <c r="D275" i="80" s="1"/>
  <c r="D274" i="71"/>
  <c r="D274" i="80" s="1"/>
  <c r="D294" i="70"/>
  <c r="D290" i="71"/>
  <c r="D290" i="80" s="1"/>
  <c r="E290"/>
  <c r="F290"/>
  <c r="G290"/>
  <c r="H290"/>
  <c r="I290"/>
  <c r="J290"/>
  <c r="K290"/>
  <c r="L290"/>
  <c r="M290"/>
  <c r="N290"/>
  <c r="O290"/>
  <c r="P290"/>
  <c r="Q290"/>
  <c r="R290"/>
  <c r="S290"/>
  <c r="U290"/>
  <c r="V290"/>
  <c r="E282" i="71"/>
  <c r="F282"/>
  <c r="G282"/>
  <c r="H282"/>
  <c r="I282"/>
  <c r="J282"/>
  <c r="K282"/>
  <c r="L282"/>
  <c r="M282"/>
  <c r="N282"/>
  <c r="O282"/>
  <c r="P282"/>
  <c r="Q282"/>
  <c r="R282"/>
  <c r="S282"/>
  <c r="U282"/>
  <c r="V282"/>
  <c r="E283"/>
  <c r="F283"/>
  <c r="G283"/>
  <c r="H283"/>
  <c r="I283"/>
  <c r="J283"/>
  <c r="K283"/>
  <c r="L283"/>
  <c r="M283"/>
  <c r="N283"/>
  <c r="O283"/>
  <c r="P283"/>
  <c r="Q283"/>
  <c r="R283"/>
  <c r="S283"/>
  <c r="U283"/>
  <c r="V283"/>
  <c r="E284"/>
  <c r="F284"/>
  <c r="G284"/>
  <c r="H284"/>
  <c r="I284"/>
  <c r="J284"/>
  <c r="K284"/>
  <c r="L284"/>
  <c r="M284"/>
  <c r="N284"/>
  <c r="O284"/>
  <c r="P284"/>
  <c r="Q284"/>
  <c r="R284"/>
  <c r="S284"/>
  <c r="U284"/>
  <c r="V284"/>
  <c r="E285"/>
  <c r="F285"/>
  <c r="G285"/>
  <c r="H285"/>
  <c r="I285"/>
  <c r="J285"/>
  <c r="K285"/>
  <c r="L285"/>
  <c r="M285"/>
  <c r="N285"/>
  <c r="O285"/>
  <c r="P285"/>
  <c r="Q285"/>
  <c r="R285"/>
  <c r="S285"/>
  <c r="U285"/>
  <c r="V285"/>
  <c r="E286"/>
  <c r="F286"/>
  <c r="G286"/>
  <c r="H286"/>
  <c r="I286"/>
  <c r="J286"/>
  <c r="K286"/>
  <c r="L286"/>
  <c r="M286"/>
  <c r="N286"/>
  <c r="O286"/>
  <c r="P286"/>
  <c r="Q286"/>
  <c r="R286"/>
  <c r="S286"/>
  <c r="U286"/>
  <c r="V286"/>
  <c r="E287"/>
  <c r="F287"/>
  <c r="G287"/>
  <c r="H287"/>
  <c r="I287"/>
  <c r="J287"/>
  <c r="K287"/>
  <c r="L287"/>
  <c r="M287"/>
  <c r="N287"/>
  <c r="O287"/>
  <c r="P287"/>
  <c r="Q287"/>
  <c r="R287"/>
  <c r="S287"/>
  <c r="U287"/>
  <c r="V287"/>
  <c r="E288"/>
  <c r="F288"/>
  <c r="G288"/>
  <c r="H288"/>
  <c r="I288"/>
  <c r="J288"/>
  <c r="K288"/>
  <c r="L288"/>
  <c r="M288"/>
  <c r="N288"/>
  <c r="O288"/>
  <c r="P288"/>
  <c r="Q288"/>
  <c r="R288"/>
  <c r="S288"/>
  <c r="U288"/>
  <c r="V288"/>
  <c r="E289"/>
  <c r="F289"/>
  <c r="G289"/>
  <c r="H289"/>
  <c r="I289"/>
  <c r="J289"/>
  <c r="K289"/>
  <c r="L289"/>
  <c r="M289"/>
  <c r="N289"/>
  <c r="O289"/>
  <c r="P289"/>
  <c r="Q289"/>
  <c r="R289"/>
  <c r="S289"/>
  <c r="U289"/>
  <c r="V289"/>
  <c r="D283"/>
  <c r="D284"/>
  <c r="D285"/>
  <c r="D286"/>
  <c r="D287"/>
  <c r="D288"/>
  <c r="D289"/>
  <c r="D282"/>
  <c r="F212"/>
  <c r="G212"/>
  <c r="H212"/>
  <c r="I212"/>
  <c r="E212" i="78" s="1"/>
  <c r="E210" i="73"/>
  <c r="J212" i="71"/>
  <c r="K212"/>
  <c r="L212"/>
  <c r="M212"/>
  <c r="N212"/>
  <c r="O212"/>
  <c r="P212"/>
  <c r="Q212"/>
  <c r="R212"/>
  <c r="S212"/>
  <c r="U212"/>
  <c r="V212"/>
  <c r="F213"/>
  <c r="G213"/>
  <c r="H213"/>
  <c r="I213"/>
  <c r="J213"/>
  <c r="K213"/>
  <c r="L213"/>
  <c r="M213"/>
  <c r="N213"/>
  <c r="O213"/>
  <c r="P213"/>
  <c r="Q213"/>
  <c r="R213"/>
  <c r="S213"/>
  <c r="U213"/>
  <c r="V213"/>
  <c r="F214"/>
  <c r="G214"/>
  <c r="H214"/>
  <c r="I214"/>
  <c r="J214"/>
  <c r="K214"/>
  <c r="L214"/>
  <c r="M214"/>
  <c r="N214"/>
  <c r="O214"/>
  <c r="P214"/>
  <c r="Q214"/>
  <c r="R214"/>
  <c r="S214"/>
  <c r="U214"/>
  <c r="V214"/>
  <c r="F215"/>
  <c r="G215"/>
  <c r="H215"/>
  <c r="I215"/>
  <c r="J215"/>
  <c r="K215"/>
  <c r="L215"/>
  <c r="M215"/>
  <c r="N215"/>
  <c r="O215"/>
  <c r="P215"/>
  <c r="Q215"/>
  <c r="R215"/>
  <c r="S215"/>
  <c r="U215"/>
  <c r="V215"/>
  <c r="E213"/>
  <c r="E214"/>
  <c r="E215"/>
  <c r="E212"/>
  <c r="F206"/>
  <c r="G206"/>
  <c r="H206"/>
  <c r="I206"/>
  <c r="J206"/>
  <c r="K206"/>
  <c r="L206"/>
  <c r="M206"/>
  <c r="N206"/>
  <c r="O206"/>
  <c r="P206"/>
  <c r="Q206"/>
  <c r="R206"/>
  <c r="S206"/>
  <c r="U206"/>
  <c r="V206"/>
  <c r="F207"/>
  <c r="G207"/>
  <c r="H207"/>
  <c r="I207"/>
  <c r="J207"/>
  <c r="K207"/>
  <c r="L207"/>
  <c r="M207"/>
  <c r="N207"/>
  <c r="O207"/>
  <c r="P207"/>
  <c r="Q207"/>
  <c r="R207"/>
  <c r="S207"/>
  <c r="U207"/>
  <c r="V207"/>
  <c r="F208"/>
  <c r="G208"/>
  <c r="H208"/>
  <c r="I208"/>
  <c r="J208"/>
  <c r="K208"/>
  <c r="L208"/>
  <c r="M208"/>
  <c r="N208"/>
  <c r="O208"/>
  <c r="P208"/>
  <c r="Q208"/>
  <c r="R208"/>
  <c r="S208"/>
  <c r="U208"/>
  <c r="V208"/>
  <c r="F209"/>
  <c r="G209"/>
  <c r="H209"/>
  <c r="I209"/>
  <c r="J209"/>
  <c r="K209"/>
  <c r="L209"/>
  <c r="M209"/>
  <c r="N209"/>
  <c r="O209"/>
  <c r="P209"/>
  <c r="Q209"/>
  <c r="R209"/>
  <c r="S209"/>
  <c r="U209"/>
  <c r="V209"/>
  <c r="E207"/>
  <c r="E208"/>
  <c r="E209"/>
  <c r="E206"/>
  <c r="F178"/>
  <c r="G178"/>
  <c r="H178"/>
  <c r="I178"/>
  <c r="J178"/>
  <c r="K178"/>
  <c r="L178"/>
  <c r="M178"/>
  <c r="N178"/>
  <c r="O178"/>
  <c r="P178"/>
  <c r="Q178"/>
  <c r="R178"/>
  <c r="S178"/>
  <c r="U178"/>
  <c r="V178"/>
  <c r="F179"/>
  <c r="G179"/>
  <c r="H179"/>
  <c r="I179"/>
  <c r="J179"/>
  <c r="K179"/>
  <c r="L179"/>
  <c r="M179"/>
  <c r="N179"/>
  <c r="O179"/>
  <c r="P179"/>
  <c r="Q179"/>
  <c r="R179"/>
  <c r="S179"/>
  <c r="U179"/>
  <c r="V179"/>
  <c r="F180"/>
  <c r="G180"/>
  <c r="H180"/>
  <c r="I180"/>
  <c r="J180"/>
  <c r="K180"/>
  <c r="L180"/>
  <c r="M180"/>
  <c r="N180"/>
  <c r="O180"/>
  <c r="P180"/>
  <c r="Q180"/>
  <c r="R180"/>
  <c r="S180"/>
  <c r="U180"/>
  <c r="V180"/>
  <c r="F181"/>
  <c r="G181"/>
  <c r="H181"/>
  <c r="I181"/>
  <c r="J181"/>
  <c r="K181"/>
  <c r="L181"/>
  <c r="M181"/>
  <c r="N181"/>
  <c r="O181"/>
  <c r="P181"/>
  <c r="Q181"/>
  <c r="R181"/>
  <c r="S181"/>
  <c r="U181"/>
  <c r="V181"/>
  <c r="F182"/>
  <c r="G182"/>
  <c r="H182"/>
  <c r="I182"/>
  <c r="J182"/>
  <c r="K182"/>
  <c r="L182"/>
  <c r="M182"/>
  <c r="N182"/>
  <c r="O182"/>
  <c r="P182"/>
  <c r="Q182"/>
  <c r="R182"/>
  <c r="S182"/>
  <c r="U182"/>
  <c r="V182"/>
  <c r="F183"/>
  <c r="G183"/>
  <c r="H183"/>
  <c r="I183"/>
  <c r="J183"/>
  <c r="K183"/>
  <c r="L183"/>
  <c r="M183"/>
  <c r="N183"/>
  <c r="O183"/>
  <c r="P183"/>
  <c r="Q183"/>
  <c r="R183"/>
  <c r="S183"/>
  <c r="U183"/>
  <c r="V183"/>
  <c r="F184"/>
  <c r="G184"/>
  <c r="H184"/>
  <c r="I184"/>
  <c r="J184"/>
  <c r="K184"/>
  <c r="L184"/>
  <c r="M184"/>
  <c r="N184"/>
  <c r="O184"/>
  <c r="P184"/>
  <c r="Q184"/>
  <c r="R184"/>
  <c r="S184"/>
  <c r="U184"/>
  <c r="V184"/>
  <c r="F185"/>
  <c r="G185"/>
  <c r="H185"/>
  <c r="I185"/>
  <c r="J185"/>
  <c r="K185"/>
  <c r="L185"/>
  <c r="M185"/>
  <c r="N185"/>
  <c r="O185"/>
  <c r="P185"/>
  <c r="Q185"/>
  <c r="R185"/>
  <c r="S185"/>
  <c r="U185"/>
  <c r="V185"/>
  <c r="F186"/>
  <c r="G186"/>
  <c r="H186"/>
  <c r="I186"/>
  <c r="J186"/>
  <c r="K186"/>
  <c r="L186"/>
  <c r="M186"/>
  <c r="N186"/>
  <c r="O186"/>
  <c r="P186"/>
  <c r="Q186"/>
  <c r="R186"/>
  <c r="S186"/>
  <c r="U186"/>
  <c r="V186"/>
  <c r="F187"/>
  <c r="G187"/>
  <c r="H187"/>
  <c r="I187"/>
  <c r="J187"/>
  <c r="K187"/>
  <c r="L187"/>
  <c r="M187"/>
  <c r="N187"/>
  <c r="O187"/>
  <c r="P187"/>
  <c r="Q187"/>
  <c r="R187"/>
  <c r="S187"/>
  <c r="U187"/>
  <c r="V187"/>
  <c r="F188"/>
  <c r="G188"/>
  <c r="H188"/>
  <c r="I188"/>
  <c r="J188"/>
  <c r="K188"/>
  <c r="L188"/>
  <c r="M188"/>
  <c r="N188"/>
  <c r="O188"/>
  <c r="P188"/>
  <c r="Q188"/>
  <c r="R188"/>
  <c r="S188"/>
  <c r="U188"/>
  <c r="V188"/>
  <c r="F189"/>
  <c r="G189"/>
  <c r="H189"/>
  <c r="I189"/>
  <c r="J189"/>
  <c r="K189"/>
  <c r="L189"/>
  <c r="M189"/>
  <c r="N189"/>
  <c r="O189"/>
  <c r="P189"/>
  <c r="Q189"/>
  <c r="R189"/>
  <c r="S189"/>
  <c r="U189"/>
  <c r="V189"/>
  <c r="F190"/>
  <c r="G190"/>
  <c r="H190"/>
  <c r="I190"/>
  <c r="J190"/>
  <c r="K190"/>
  <c r="L190"/>
  <c r="M190"/>
  <c r="N190"/>
  <c r="O190"/>
  <c r="P190"/>
  <c r="Q190"/>
  <c r="R190"/>
  <c r="S190"/>
  <c r="U190"/>
  <c r="V190"/>
  <c r="F191"/>
  <c r="G191"/>
  <c r="H191"/>
  <c r="I191"/>
  <c r="J191"/>
  <c r="K191"/>
  <c r="L191"/>
  <c r="M191"/>
  <c r="N191"/>
  <c r="O191"/>
  <c r="P191"/>
  <c r="Q191"/>
  <c r="R191"/>
  <c r="S191"/>
  <c r="U191"/>
  <c r="V191"/>
  <c r="F192"/>
  <c r="G192"/>
  <c r="H192"/>
  <c r="I192"/>
  <c r="J192"/>
  <c r="K192"/>
  <c r="L192"/>
  <c r="M192"/>
  <c r="N192"/>
  <c r="O192"/>
  <c r="P192"/>
  <c r="Q192"/>
  <c r="R192"/>
  <c r="S192"/>
  <c r="U192"/>
  <c r="V192"/>
  <c r="F193"/>
  <c r="G193"/>
  <c r="H193"/>
  <c r="I193"/>
  <c r="J193"/>
  <c r="K193"/>
  <c r="L193"/>
  <c r="M193"/>
  <c r="N193"/>
  <c r="O193"/>
  <c r="P193"/>
  <c r="Q193"/>
  <c r="R193"/>
  <c r="S193"/>
  <c r="U193"/>
  <c r="V193"/>
  <c r="F194"/>
  <c r="G194"/>
  <c r="H194"/>
  <c r="I194"/>
  <c r="J194"/>
  <c r="K194"/>
  <c r="L194"/>
  <c r="M194"/>
  <c r="N194"/>
  <c r="O194"/>
  <c r="P194"/>
  <c r="Q194"/>
  <c r="R194"/>
  <c r="S194"/>
  <c r="U194"/>
  <c r="V194"/>
  <c r="F195"/>
  <c r="G195"/>
  <c r="H195"/>
  <c r="I195"/>
  <c r="J195"/>
  <c r="K195"/>
  <c r="L195"/>
  <c r="M195"/>
  <c r="N195"/>
  <c r="O195"/>
  <c r="P195"/>
  <c r="Q195"/>
  <c r="R195"/>
  <c r="S195"/>
  <c r="U195"/>
  <c r="V195"/>
  <c r="F196"/>
  <c r="G196"/>
  <c r="H196"/>
  <c r="I196"/>
  <c r="J196"/>
  <c r="K196"/>
  <c r="L196"/>
  <c r="M196"/>
  <c r="N196"/>
  <c r="O196"/>
  <c r="P196"/>
  <c r="Q196"/>
  <c r="R196"/>
  <c r="S196"/>
  <c r="U196"/>
  <c r="V196"/>
  <c r="F197"/>
  <c r="G197"/>
  <c r="H197"/>
  <c r="I197"/>
  <c r="J197"/>
  <c r="K197"/>
  <c r="L197"/>
  <c r="M197"/>
  <c r="N197"/>
  <c r="O197"/>
  <c r="P197"/>
  <c r="Q197"/>
  <c r="R197"/>
  <c r="S197"/>
  <c r="U197"/>
  <c r="V197"/>
  <c r="F198"/>
  <c r="G198"/>
  <c r="H198"/>
  <c r="I198"/>
  <c r="J198"/>
  <c r="K198"/>
  <c r="L198"/>
  <c r="M198"/>
  <c r="N198"/>
  <c r="O198"/>
  <c r="P198"/>
  <c r="Q198"/>
  <c r="R198"/>
  <c r="S198"/>
  <c r="U198"/>
  <c r="V19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78"/>
  <c r="F51"/>
  <c r="G51"/>
  <c r="H51"/>
  <c r="I51"/>
  <c r="J51"/>
  <c r="K51"/>
  <c r="L51"/>
  <c r="M51"/>
  <c r="N51"/>
  <c r="O51"/>
  <c r="P51"/>
  <c r="Q51"/>
  <c r="R51"/>
  <c r="S51"/>
  <c r="U51"/>
  <c r="V51"/>
  <c r="F52"/>
  <c r="G52"/>
  <c r="H52"/>
  <c r="I52"/>
  <c r="J52"/>
  <c r="K52"/>
  <c r="L52"/>
  <c r="M52"/>
  <c r="N52"/>
  <c r="O52"/>
  <c r="P52"/>
  <c r="Q52"/>
  <c r="R52"/>
  <c r="S52"/>
  <c r="U52"/>
  <c r="V52"/>
  <c r="F53"/>
  <c r="G53"/>
  <c r="H53"/>
  <c r="I53"/>
  <c r="J53"/>
  <c r="K53"/>
  <c r="L53"/>
  <c r="M53"/>
  <c r="N53"/>
  <c r="O53"/>
  <c r="P53"/>
  <c r="Q53"/>
  <c r="R53"/>
  <c r="S53"/>
  <c r="U53"/>
  <c r="V53"/>
  <c r="F54"/>
  <c r="G54"/>
  <c r="H54"/>
  <c r="I54"/>
  <c r="J54"/>
  <c r="K54"/>
  <c r="L54"/>
  <c r="M54"/>
  <c r="N54"/>
  <c r="O54"/>
  <c r="P54"/>
  <c r="Q54"/>
  <c r="R54"/>
  <c r="S54"/>
  <c r="U54"/>
  <c r="V54"/>
  <c r="F55"/>
  <c r="G55"/>
  <c r="H55"/>
  <c r="I55"/>
  <c r="J55"/>
  <c r="K55"/>
  <c r="L55"/>
  <c r="M55"/>
  <c r="N55"/>
  <c r="O55"/>
  <c r="P55"/>
  <c r="Q55"/>
  <c r="R55"/>
  <c r="S55"/>
  <c r="U55"/>
  <c r="V55"/>
  <c r="F56"/>
  <c r="G56"/>
  <c r="H56"/>
  <c r="I56"/>
  <c r="J56"/>
  <c r="K56"/>
  <c r="L56"/>
  <c r="M56"/>
  <c r="N56"/>
  <c r="O56"/>
  <c r="P56"/>
  <c r="Q56"/>
  <c r="R56"/>
  <c r="S56"/>
  <c r="U56"/>
  <c r="V56"/>
  <c r="F57"/>
  <c r="G57"/>
  <c r="H57"/>
  <c r="I57"/>
  <c r="J57"/>
  <c r="K57"/>
  <c r="L57"/>
  <c r="M57"/>
  <c r="N57"/>
  <c r="O57"/>
  <c r="P57"/>
  <c r="Q57"/>
  <c r="R57"/>
  <c r="S57"/>
  <c r="U57"/>
  <c r="V57"/>
  <c r="F58"/>
  <c r="G58"/>
  <c r="H58"/>
  <c r="I58"/>
  <c r="J58"/>
  <c r="K58"/>
  <c r="L58"/>
  <c r="M58"/>
  <c r="N58"/>
  <c r="O58"/>
  <c r="P58"/>
  <c r="Q58"/>
  <c r="R58"/>
  <c r="S58"/>
  <c r="U58"/>
  <c r="V58"/>
  <c r="F59"/>
  <c r="G59"/>
  <c r="H59"/>
  <c r="I59"/>
  <c r="J59"/>
  <c r="K59"/>
  <c r="L59"/>
  <c r="M59"/>
  <c r="N59"/>
  <c r="O59"/>
  <c r="P59"/>
  <c r="Q59"/>
  <c r="R59"/>
  <c r="S59"/>
  <c r="U59"/>
  <c r="V59"/>
  <c r="F60"/>
  <c r="G60"/>
  <c r="H60"/>
  <c r="I60"/>
  <c r="J60"/>
  <c r="K60"/>
  <c r="L60"/>
  <c r="M60"/>
  <c r="N60"/>
  <c r="O60"/>
  <c r="P60"/>
  <c r="Q60"/>
  <c r="R60"/>
  <c r="S60"/>
  <c r="U60"/>
  <c r="V60"/>
  <c r="F61"/>
  <c r="G61"/>
  <c r="H61"/>
  <c r="I61"/>
  <c r="J61"/>
  <c r="K61"/>
  <c r="L61"/>
  <c r="M61"/>
  <c r="N61"/>
  <c r="O61"/>
  <c r="P61"/>
  <c r="Q61"/>
  <c r="R61"/>
  <c r="S61"/>
  <c r="U61"/>
  <c r="V61"/>
  <c r="F62"/>
  <c r="G62"/>
  <c r="H62"/>
  <c r="I62"/>
  <c r="J62"/>
  <c r="K62"/>
  <c r="L62"/>
  <c r="M62"/>
  <c r="N62"/>
  <c r="O62"/>
  <c r="P62"/>
  <c r="Q62"/>
  <c r="R62"/>
  <c r="S62"/>
  <c r="U62"/>
  <c r="V62"/>
  <c r="F63"/>
  <c r="G63"/>
  <c r="I63"/>
  <c r="J63"/>
  <c r="K63"/>
  <c r="L63"/>
  <c r="M63"/>
  <c r="N63"/>
  <c r="O63"/>
  <c r="P63"/>
  <c r="Q63"/>
  <c r="R63"/>
  <c r="S63"/>
  <c r="U63"/>
  <c r="V63"/>
  <c r="F64"/>
  <c r="G64"/>
  <c r="H64"/>
  <c r="I64"/>
  <c r="J64"/>
  <c r="K64"/>
  <c r="L64"/>
  <c r="M64"/>
  <c r="N64"/>
  <c r="O64"/>
  <c r="P64"/>
  <c r="Q64"/>
  <c r="R64"/>
  <c r="S64"/>
  <c r="U64"/>
  <c r="V64"/>
  <c r="F65"/>
  <c r="G65"/>
  <c r="H65"/>
  <c r="I65"/>
  <c r="J65"/>
  <c r="K65"/>
  <c r="L65"/>
  <c r="M65"/>
  <c r="N65"/>
  <c r="O65"/>
  <c r="P65"/>
  <c r="Q65"/>
  <c r="R65"/>
  <c r="S65"/>
  <c r="U65"/>
  <c r="V65"/>
  <c r="F66"/>
  <c r="G66"/>
  <c r="H66"/>
  <c r="I66"/>
  <c r="J66"/>
  <c r="K66"/>
  <c r="L66"/>
  <c r="M66"/>
  <c r="N66"/>
  <c r="O66"/>
  <c r="P66"/>
  <c r="Q66"/>
  <c r="R66"/>
  <c r="S66"/>
  <c r="U66"/>
  <c r="V66"/>
  <c r="F67"/>
  <c r="G67"/>
  <c r="H67"/>
  <c r="I67"/>
  <c r="J67"/>
  <c r="K67"/>
  <c r="L67"/>
  <c r="M67"/>
  <c r="N67"/>
  <c r="O67"/>
  <c r="P67"/>
  <c r="Q67"/>
  <c r="R67"/>
  <c r="S67"/>
  <c r="U67"/>
  <c r="V67"/>
  <c r="F68"/>
  <c r="G68"/>
  <c r="H68"/>
  <c r="I68"/>
  <c r="J68"/>
  <c r="K68"/>
  <c r="L68"/>
  <c r="M68"/>
  <c r="N68"/>
  <c r="O68"/>
  <c r="P68"/>
  <c r="Q68"/>
  <c r="R68"/>
  <c r="S68"/>
  <c r="U68"/>
  <c r="V68"/>
  <c r="F69"/>
  <c r="G69"/>
  <c r="H69"/>
  <c r="I69"/>
  <c r="J69"/>
  <c r="K69"/>
  <c r="L69"/>
  <c r="M69"/>
  <c r="N69"/>
  <c r="O69"/>
  <c r="P69"/>
  <c r="Q69"/>
  <c r="R69"/>
  <c r="S69"/>
  <c r="U69"/>
  <c r="V69"/>
  <c r="F70"/>
  <c r="G70"/>
  <c r="H70"/>
  <c r="I70"/>
  <c r="J70"/>
  <c r="K70"/>
  <c r="L70"/>
  <c r="M70"/>
  <c r="N70"/>
  <c r="O70"/>
  <c r="P70"/>
  <c r="Q70"/>
  <c r="R70"/>
  <c r="S70"/>
  <c r="U70"/>
  <c r="V70"/>
  <c r="F71"/>
  <c r="G71"/>
  <c r="H71"/>
  <c r="I71"/>
  <c r="J71"/>
  <c r="K71"/>
  <c r="L71"/>
  <c r="M71"/>
  <c r="N71"/>
  <c r="O71"/>
  <c r="P71"/>
  <c r="Q71"/>
  <c r="R71"/>
  <c r="S71"/>
  <c r="U71"/>
  <c r="V71"/>
  <c r="F72"/>
  <c r="G72"/>
  <c r="H72"/>
  <c r="I72"/>
  <c r="J72"/>
  <c r="K72"/>
  <c r="L72"/>
  <c r="M72"/>
  <c r="N72"/>
  <c r="O72"/>
  <c r="P72"/>
  <c r="Q72"/>
  <c r="R72"/>
  <c r="S72"/>
  <c r="U72"/>
  <c r="V72"/>
  <c r="F73"/>
  <c r="G73"/>
  <c r="H73"/>
  <c r="I73"/>
  <c r="J73"/>
  <c r="K73"/>
  <c r="L73"/>
  <c r="M73"/>
  <c r="N73"/>
  <c r="O73"/>
  <c r="P73"/>
  <c r="Q73"/>
  <c r="R73"/>
  <c r="S73"/>
  <c r="U73"/>
  <c r="V73"/>
  <c r="F74"/>
  <c r="G74"/>
  <c r="H74"/>
  <c r="I74"/>
  <c r="J74"/>
  <c r="K74"/>
  <c r="L74"/>
  <c r="M74"/>
  <c r="N74"/>
  <c r="O74"/>
  <c r="P74"/>
  <c r="Q74"/>
  <c r="R74"/>
  <c r="S74"/>
  <c r="U74"/>
  <c r="V74"/>
  <c r="F75"/>
  <c r="G75"/>
  <c r="H75"/>
  <c r="I75"/>
  <c r="J75"/>
  <c r="K75"/>
  <c r="L75"/>
  <c r="M75"/>
  <c r="N75"/>
  <c r="O75"/>
  <c r="P75"/>
  <c r="Q75"/>
  <c r="R75"/>
  <c r="S75"/>
  <c r="U75"/>
  <c r="V75"/>
  <c r="F76"/>
  <c r="G76"/>
  <c r="H76"/>
  <c r="I76"/>
  <c r="J76"/>
  <c r="K76"/>
  <c r="L76"/>
  <c r="M76"/>
  <c r="N76"/>
  <c r="O76"/>
  <c r="P76"/>
  <c r="Q76"/>
  <c r="R76"/>
  <c r="S76"/>
  <c r="U76"/>
  <c r="V76"/>
  <c r="F77"/>
  <c r="G77"/>
  <c r="H77"/>
  <c r="I77"/>
  <c r="J77"/>
  <c r="K77"/>
  <c r="L77"/>
  <c r="M77"/>
  <c r="N77"/>
  <c r="O77"/>
  <c r="P77"/>
  <c r="Q77"/>
  <c r="R77"/>
  <c r="S77"/>
  <c r="U77"/>
  <c r="V77"/>
  <c r="F78"/>
  <c r="G78"/>
  <c r="H78"/>
  <c r="I78"/>
  <c r="J78"/>
  <c r="K78"/>
  <c r="L78"/>
  <c r="M78"/>
  <c r="N78"/>
  <c r="O78"/>
  <c r="P78"/>
  <c r="Q78"/>
  <c r="R78"/>
  <c r="S78"/>
  <c r="U78"/>
  <c r="V78"/>
  <c r="F79"/>
  <c r="G79"/>
  <c r="H79"/>
  <c r="I79"/>
  <c r="J79"/>
  <c r="K79"/>
  <c r="L79"/>
  <c r="M79"/>
  <c r="N79"/>
  <c r="O79"/>
  <c r="P79"/>
  <c r="Q79"/>
  <c r="R79"/>
  <c r="S79"/>
  <c r="U79"/>
  <c r="V79"/>
  <c r="F80"/>
  <c r="G80"/>
  <c r="H80"/>
  <c r="I80"/>
  <c r="J80"/>
  <c r="K80"/>
  <c r="L80"/>
  <c r="M80"/>
  <c r="N80"/>
  <c r="O80"/>
  <c r="P80"/>
  <c r="Q80"/>
  <c r="R80"/>
  <c r="S80"/>
  <c r="U80"/>
  <c r="V80"/>
  <c r="F81"/>
  <c r="G81"/>
  <c r="H81"/>
  <c r="I81"/>
  <c r="J81"/>
  <c r="K81"/>
  <c r="L81"/>
  <c r="M81"/>
  <c r="N81"/>
  <c r="O81"/>
  <c r="P81"/>
  <c r="Q81"/>
  <c r="R81"/>
  <c r="S81"/>
  <c r="U81"/>
  <c r="V81"/>
  <c r="F82"/>
  <c r="G82"/>
  <c r="H82"/>
  <c r="I82"/>
  <c r="J82"/>
  <c r="K82"/>
  <c r="L82"/>
  <c r="M82"/>
  <c r="N82"/>
  <c r="O82"/>
  <c r="P82"/>
  <c r="Q82"/>
  <c r="R82"/>
  <c r="S82"/>
  <c r="U82"/>
  <c r="V82"/>
  <c r="F83"/>
  <c r="G83"/>
  <c r="H83"/>
  <c r="I83"/>
  <c r="J83"/>
  <c r="K83"/>
  <c r="L83"/>
  <c r="M83"/>
  <c r="N83"/>
  <c r="O83"/>
  <c r="P83"/>
  <c r="Q83"/>
  <c r="R83"/>
  <c r="S83"/>
  <c r="U83"/>
  <c r="V83"/>
  <c r="F84"/>
  <c r="G84"/>
  <c r="H84"/>
  <c r="I84"/>
  <c r="J84"/>
  <c r="K84"/>
  <c r="L84"/>
  <c r="M84"/>
  <c r="N84"/>
  <c r="O84"/>
  <c r="P84"/>
  <c r="Q84"/>
  <c r="R84"/>
  <c r="S84"/>
  <c r="U84"/>
  <c r="V84"/>
  <c r="F85"/>
  <c r="G85"/>
  <c r="H85"/>
  <c r="I85"/>
  <c r="J85"/>
  <c r="K85"/>
  <c r="L85"/>
  <c r="M85"/>
  <c r="N85"/>
  <c r="O85"/>
  <c r="P85"/>
  <c r="Q85"/>
  <c r="R85"/>
  <c r="S85"/>
  <c r="U85"/>
  <c r="V85"/>
  <c r="F86"/>
  <c r="G86"/>
  <c r="H86"/>
  <c r="I86"/>
  <c r="J86"/>
  <c r="K86"/>
  <c r="L86"/>
  <c r="M86"/>
  <c r="N86"/>
  <c r="O86"/>
  <c r="P86"/>
  <c r="Q86"/>
  <c r="R86"/>
  <c r="S86"/>
  <c r="U86"/>
  <c r="V86"/>
  <c r="F87"/>
  <c r="G87"/>
  <c r="H87"/>
  <c r="I87"/>
  <c r="J87"/>
  <c r="K87"/>
  <c r="L87"/>
  <c r="M87"/>
  <c r="N87"/>
  <c r="O87"/>
  <c r="P87"/>
  <c r="Q87"/>
  <c r="R87"/>
  <c r="S87"/>
  <c r="U87"/>
  <c r="V87"/>
  <c r="F88"/>
  <c r="G88"/>
  <c r="H88"/>
  <c r="I88"/>
  <c r="J88"/>
  <c r="K88"/>
  <c r="L88"/>
  <c r="M88"/>
  <c r="N88"/>
  <c r="O88"/>
  <c r="P88"/>
  <c r="Q88"/>
  <c r="R88"/>
  <c r="S88"/>
  <c r="U88"/>
  <c r="V88"/>
  <c r="F89"/>
  <c r="G89"/>
  <c r="H89"/>
  <c r="I89"/>
  <c r="J89"/>
  <c r="K89"/>
  <c r="L89"/>
  <c r="M89"/>
  <c r="N89"/>
  <c r="O89"/>
  <c r="P89"/>
  <c r="Q89"/>
  <c r="R89"/>
  <c r="S89"/>
  <c r="U89"/>
  <c r="V89"/>
  <c r="F90"/>
  <c r="G90"/>
  <c r="H90"/>
  <c r="I90"/>
  <c r="J90"/>
  <c r="K90"/>
  <c r="L90"/>
  <c r="M90"/>
  <c r="N90"/>
  <c r="O90"/>
  <c r="P90"/>
  <c r="Q90"/>
  <c r="R90"/>
  <c r="S90"/>
  <c r="U90"/>
  <c r="V90"/>
  <c r="F91"/>
  <c r="G91"/>
  <c r="H91"/>
  <c r="I91"/>
  <c r="J91"/>
  <c r="K91"/>
  <c r="L91"/>
  <c r="M91"/>
  <c r="N91"/>
  <c r="O91"/>
  <c r="P91"/>
  <c r="Q91"/>
  <c r="R91"/>
  <c r="S91"/>
  <c r="U91"/>
  <c r="V91"/>
  <c r="F92"/>
  <c r="G92"/>
  <c r="H92"/>
  <c r="I92"/>
  <c r="J92"/>
  <c r="K92"/>
  <c r="L92"/>
  <c r="M92"/>
  <c r="N92"/>
  <c r="O92"/>
  <c r="P92"/>
  <c r="Q92"/>
  <c r="R92"/>
  <c r="S92"/>
  <c r="U92"/>
  <c r="V92"/>
  <c r="F93"/>
  <c r="G93"/>
  <c r="H93"/>
  <c r="I93"/>
  <c r="J93"/>
  <c r="K93"/>
  <c r="L93"/>
  <c r="M93"/>
  <c r="N93"/>
  <c r="O93"/>
  <c r="P93"/>
  <c r="Q93"/>
  <c r="R93"/>
  <c r="S93"/>
  <c r="U93"/>
  <c r="V93"/>
  <c r="F94"/>
  <c r="G94"/>
  <c r="H94"/>
  <c r="I94"/>
  <c r="J94"/>
  <c r="K94"/>
  <c r="L94"/>
  <c r="M94"/>
  <c r="N94"/>
  <c r="O94"/>
  <c r="P94"/>
  <c r="Q94"/>
  <c r="R94"/>
  <c r="S94"/>
  <c r="U94"/>
  <c r="V94"/>
  <c r="F95"/>
  <c r="G95"/>
  <c r="H95"/>
  <c r="I95"/>
  <c r="J95"/>
  <c r="K95"/>
  <c r="L95"/>
  <c r="M95"/>
  <c r="N95"/>
  <c r="O95"/>
  <c r="P95"/>
  <c r="Q95"/>
  <c r="R95"/>
  <c r="S95"/>
  <c r="U95"/>
  <c r="V95"/>
  <c r="F96"/>
  <c r="G96"/>
  <c r="H96"/>
  <c r="I96"/>
  <c r="J96"/>
  <c r="K96"/>
  <c r="L96"/>
  <c r="M96"/>
  <c r="N96"/>
  <c r="O96"/>
  <c r="P96"/>
  <c r="Q96"/>
  <c r="R96"/>
  <c r="S96"/>
  <c r="U96"/>
  <c r="V96"/>
  <c r="F97"/>
  <c r="G97"/>
  <c r="H97"/>
  <c r="I97"/>
  <c r="J97"/>
  <c r="K97"/>
  <c r="L97"/>
  <c r="M97"/>
  <c r="N97"/>
  <c r="O97"/>
  <c r="P97"/>
  <c r="Q97"/>
  <c r="R97"/>
  <c r="S97"/>
  <c r="U97"/>
  <c r="V97"/>
  <c r="F98"/>
  <c r="G98"/>
  <c r="H98"/>
  <c r="I98"/>
  <c r="J98"/>
  <c r="K98"/>
  <c r="L98"/>
  <c r="M98"/>
  <c r="N98"/>
  <c r="O98"/>
  <c r="P98"/>
  <c r="Q98"/>
  <c r="R98"/>
  <c r="S98"/>
  <c r="U98"/>
  <c r="V98"/>
  <c r="F99"/>
  <c r="G99"/>
  <c r="H99"/>
  <c r="I99"/>
  <c r="J99"/>
  <c r="K99"/>
  <c r="L99"/>
  <c r="M99"/>
  <c r="N99"/>
  <c r="O99"/>
  <c r="P99"/>
  <c r="Q99"/>
  <c r="R99"/>
  <c r="S99"/>
  <c r="U99"/>
  <c r="V99"/>
  <c r="F100"/>
  <c r="G100"/>
  <c r="H100"/>
  <c r="I100"/>
  <c r="J100"/>
  <c r="K100"/>
  <c r="L100"/>
  <c r="M100"/>
  <c r="N100"/>
  <c r="O100"/>
  <c r="P100"/>
  <c r="Q100"/>
  <c r="R100"/>
  <c r="S100"/>
  <c r="U100"/>
  <c r="V100"/>
  <c r="F101"/>
  <c r="G101"/>
  <c r="H101"/>
  <c r="I101"/>
  <c r="J101"/>
  <c r="K101"/>
  <c r="L101"/>
  <c r="M101"/>
  <c r="N101"/>
  <c r="O101"/>
  <c r="P101"/>
  <c r="Q101"/>
  <c r="R101"/>
  <c r="S101"/>
  <c r="U101"/>
  <c r="V101"/>
  <c r="F102"/>
  <c r="G102"/>
  <c r="H102"/>
  <c r="I102"/>
  <c r="J102"/>
  <c r="K102"/>
  <c r="L102"/>
  <c r="M102"/>
  <c r="N102"/>
  <c r="O102"/>
  <c r="P102"/>
  <c r="Q102"/>
  <c r="R102"/>
  <c r="S102"/>
  <c r="U102"/>
  <c r="V102"/>
  <c r="F103"/>
  <c r="G103"/>
  <c r="H103"/>
  <c r="I103"/>
  <c r="J103"/>
  <c r="K103"/>
  <c r="L103"/>
  <c r="M103"/>
  <c r="N103"/>
  <c r="O103"/>
  <c r="P103"/>
  <c r="Q103"/>
  <c r="R103"/>
  <c r="S103"/>
  <c r="U103"/>
  <c r="V103"/>
  <c r="F104"/>
  <c r="G104"/>
  <c r="H104"/>
  <c r="I104"/>
  <c r="J104"/>
  <c r="K104"/>
  <c r="L104"/>
  <c r="M104"/>
  <c r="N104"/>
  <c r="O104"/>
  <c r="P104"/>
  <c r="Q104"/>
  <c r="R104"/>
  <c r="S104"/>
  <c r="U104"/>
  <c r="V104"/>
  <c r="F105"/>
  <c r="G105"/>
  <c r="H105"/>
  <c r="I105"/>
  <c r="J105"/>
  <c r="K105"/>
  <c r="L105"/>
  <c r="M105"/>
  <c r="N105"/>
  <c r="O105"/>
  <c r="P105"/>
  <c r="Q105"/>
  <c r="R105"/>
  <c r="S105"/>
  <c r="U105"/>
  <c r="V105"/>
  <c r="F106"/>
  <c r="G106"/>
  <c r="H106"/>
  <c r="I106"/>
  <c r="J106"/>
  <c r="K106"/>
  <c r="L106"/>
  <c r="M106"/>
  <c r="N106"/>
  <c r="O106"/>
  <c r="P106"/>
  <c r="Q106"/>
  <c r="R106"/>
  <c r="S106"/>
  <c r="U106"/>
  <c r="V106"/>
  <c r="F107"/>
  <c r="G107"/>
  <c r="H107"/>
  <c r="I107"/>
  <c r="J107"/>
  <c r="K107"/>
  <c r="L107"/>
  <c r="M107"/>
  <c r="N107"/>
  <c r="O107"/>
  <c r="P107"/>
  <c r="Q107"/>
  <c r="R107"/>
  <c r="S107"/>
  <c r="U107"/>
  <c r="V107"/>
  <c r="F108"/>
  <c r="G108"/>
  <c r="H108"/>
  <c r="I108"/>
  <c r="J108"/>
  <c r="K108"/>
  <c r="L108"/>
  <c r="M108"/>
  <c r="N108"/>
  <c r="O108"/>
  <c r="P108"/>
  <c r="Q108"/>
  <c r="R108"/>
  <c r="S108"/>
  <c r="U108"/>
  <c r="V108"/>
  <c r="F109"/>
  <c r="G109"/>
  <c r="H109"/>
  <c r="I109"/>
  <c r="J109"/>
  <c r="K109"/>
  <c r="L109"/>
  <c r="M109"/>
  <c r="N109"/>
  <c r="O109"/>
  <c r="P109"/>
  <c r="Q109"/>
  <c r="R109"/>
  <c r="S109"/>
  <c r="U109"/>
  <c r="V109"/>
  <c r="F110"/>
  <c r="G110"/>
  <c r="H110"/>
  <c r="I110"/>
  <c r="J110"/>
  <c r="K110"/>
  <c r="L110"/>
  <c r="M110"/>
  <c r="N110"/>
  <c r="O110"/>
  <c r="P110"/>
  <c r="Q110"/>
  <c r="R110"/>
  <c r="S110"/>
  <c r="U110"/>
  <c r="V110"/>
  <c r="F111"/>
  <c r="G111"/>
  <c r="H111"/>
  <c r="I111"/>
  <c r="J111"/>
  <c r="K111"/>
  <c r="L111"/>
  <c r="M111"/>
  <c r="N111"/>
  <c r="O111"/>
  <c r="P111"/>
  <c r="Q111"/>
  <c r="R111"/>
  <c r="S111"/>
  <c r="U111"/>
  <c r="V111"/>
  <c r="F112"/>
  <c r="G112"/>
  <c r="H112"/>
  <c r="I112"/>
  <c r="J112"/>
  <c r="K112"/>
  <c r="L112"/>
  <c r="M112"/>
  <c r="N112"/>
  <c r="O112"/>
  <c r="P112"/>
  <c r="Q112"/>
  <c r="R112"/>
  <c r="S112"/>
  <c r="U112"/>
  <c r="V112"/>
  <c r="F113"/>
  <c r="G113"/>
  <c r="H113"/>
  <c r="I113"/>
  <c r="J113"/>
  <c r="K113"/>
  <c r="L113"/>
  <c r="M113"/>
  <c r="N113"/>
  <c r="O113"/>
  <c r="P113"/>
  <c r="Q113"/>
  <c r="R113"/>
  <c r="S113"/>
  <c r="U113"/>
  <c r="V113"/>
  <c r="F114"/>
  <c r="G114"/>
  <c r="H114"/>
  <c r="I114"/>
  <c r="J114"/>
  <c r="K114"/>
  <c r="L114"/>
  <c r="M114"/>
  <c r="N114"/>
  <c r="O114"/>
  <c r="P114"/>
  <c r="Q114"/>
  <c r="R114"/>
  <c r="S114"/>
  <c r="U114"/>
  <c r="V114"/>
  <c r="F115"/>
  <c r="G115"/>
  <c r="H115"/>
  <c r="I115"/>
  <c r="J115"/>
  <c r="K115"/>
  <c r="L115"/>
  <c r="M115"/>
  <c r="N115"/>
  <c r="O115"/>
  <c r="P115"/>
  <c r="Q115"/>
  <c r="R115"/>
  <c r="S115"/>
  <c r="U115"/>
  <c r="V115"/>
  <c r="F116"/>
  <c r="G116"/>
  <c r="H116"/>
  <c r="I116"/>
  <c r="J116"/>
  <c r="K116"/>
  <c r="L116"/>
  <c r="M116"/>
  <c r="N116"/>
  <c r="O116"/>
  <c r="P116"/>
  <c r="Q116"/>
  <c r="R116"/>
  <c r="S116"/>
  <c r="U116"/>
  <c r="V116"/>
  <c r="F117"/>
  <c r="G117"/>
  <c r="H117"/>
  <c r="I117"/>
  <c r="J117"/>
  <c r="K117"/>
  <c r="L117"/>
  <c r="M117"/>
  <c r="N117"/>
  <c r="O117"/>
  <c r="P117"/>
  <c r="Q117"/>
  <c r="R117"/>
  <c r="S117"/>
  <c r="U117"/>
  <c r="V117"/>
  <c r="F118"/>
  <c r="G118"/>
  <c r="H118"/>
  <c r="I118"/>
  <c r="J118"/>
  <c r="K118"/>
  <c r="L118"/>
  <c r="M118"/>
  <c r="N118"/>
  <c r="O118"/>
  <c r="P118"/>
  <c r="Q118"/>
  <c r="R118"/>
  <c r="S118"/>
  <c r="U118"/>
  <c r="V118"/>
  <c r="F119"/>
  <c r="G119"/>
  <c r="H119"/>
  <c r="I119"/>
  <c r="J119"/>
  <c r="K119"/>
  <c r="L119"/>
  <c r="M119"/>
  <c r="N119"/>
  <c r="O119"/>
  <c r="P119"/>
  <c r="Q119"/>
  <c r="R119"/>
  <c r="S119"/>
  <c r="U119"/>
  <c r="V119"/>
  <c r="F120"/>
  <c r="G120"/>
  <c r="H120"/>
  <c r="I120"/>
  <c r="J120"/>
  <c r="K120"/>
  <c r="L120"/>
  <c r="M120"/>
  <c r="N120"/>
  <c r="O120"/>
  <c r="P120"/>
  <c r="Q120"/>
  <c r="R120"/>
  <c r="S120"/>
  <c r="U120"/>
  <c r="V120"/>
  <c r="F121"/>
  <c r="G121"/>
  <c r="H121"/>
  <c r="I121"/>
  <c r="J121"/>
  <c r="K121"/>
  <c r="L121"/>
  <c r="M121"/>
  <c r="N121"/>
  <c r="O121"/>
  <c r="P121"/>
  <c r="Q121"/>
  <c r="R121"/>
  <c r="S121"/>
  <c r="U121"/>
  <c r="V121"/>
  <c r="F122"/>
  <c r="G122"/>
  <c r="H122"/>
  <c r="I122"/>
  <c r="J122"/>
  <c r="K122"/>
  <c r="L122"/>
  <c r="M122"/>
  <c r="N122"/>
  <c r="O122"/>
  <c r="P122"/>
  <c r="Q122"/>
  <c r="R122"/>
  <c r="S122"/>
  <c r="U122"/>
  <c r="V122"/>
  <c r="F123"/>
  <c r="G123"/>
  <c r="H123"/>
  <c r="I123"/>
  <c r="J123"/>
  <c r="K123"/>
  <c r="L123"/>
  <c r="M123"/>
  <c r="N123"/>
  <c r="O123"/>
  <c r="P123"/>
  <c r="Q123"/>
  <c r="R123"/>
  <c r="S123"/>
  <c r="U123"/>
  <c r="V123"/>
  <c r="F124"/>
  <c r="G124"/>
  <c r="H124"/>
  <c r="I124"/>
  <c r="J124"/>
  <c r="K124"/>
  <c r="L124"/>
  <c r="M124"/>
  <c r="N124"/>
  <c r="O124"/>
  <c r="P124"/>
  <c r="Q124"/>
  <c r="R124"/>
  <c r="S124"/>
  <c r="U124"/>
  <c r="V124"/>
  <c r="F125"/>
  <c r="G125"/>
  <c r="H125"/>
  <c r="I125"/>
  <c r="J125"/>
  <c r="K125"/>
  <c r="L125"/>
  <c r="M125"/>
  <c r="N125"/>
  <c r="O125"/>
  <c r="P125"/>
  <c r="Q125"/>
  <c r="R125"/>
  <c r="S125"/>
  <c r="U125"/>
  <c r="V125"/>
  <c r="F126"/>
  <c r="G126"/>
  <c r="H126"/>
  <c r="I126"/>
  <c r="J126"/>
  <c r="K126"/>
  <c r="L126"/>
  <c r="M126"/>
  <c r="N126"/>
  <c r="O126"/>
  <c r="P126"/>
  <c r="Q126"/>
  <c r="R126"/>
  <c r="S126"/>
  <c r="U126"/>
  <c r="V126"/>
  <c r="F127"/>
  <c r="G127"/>
  <c r="H127"/>
  <c r="I127"/>
  <c r="J127"/>
  <c r="K127"/>
  <c r="L127"/>
  <c r="M127"/>
  <c r="N127"/>
  <c r="O127"/>
  <c r="P127"/>
  <c r="Q127"/>
  <c r="R127"/>
  <c r="S127"/>
  <c r="U127"/>
  <c r="V127"/>
  <c r="F128"/>
  <c r="G128"/>
  <c r="H128"/>
  <c r="I128"/>
  <c r="J128"/>
  <c r="K128"/>
  <c r="L128"/>
  <c r="M128"/>
  <c r="N128"/>
  <c r="O128"/>
  <c r="P128"/>
  <c r="Q128"/>
  <c r="R128"/>
  <c r="S128"/>
  <c r="U128"/>
  <c r="V128"/>
  <c r="F129"/>
  <c r="G129"/>
  <c r="H129"/>
  <c r="I129"/>
  <c r="J129"/>
  <c r="K129"/>
  <c r="L129"/>
  <c r="M129"/>
  <c r="N129"/>
  <c r="O129"/>
  <c r="P129"/>
  <c r="Q129"/>
  <c r="R129"/>
  <c r="S129"/>
  <c r="U129"/>
  <c r="V129"/>
  <c r="F130"/>
  <c r="G130"/>
  <c r="H130"/>
  <c r="I130"/>
  <c r="J130"/>
  <c r="K130"/>
  <c r="L130"/>
  <c r="M130"/>
  <c r="N130"/>
  <c r="O130"/>
  <c r="P130"/>
  <c r="Q130"/>
  <c r="R130"/>
  <c r="S130"/>
  <c r="U130"/>
  <c r="V130"/>
  <c r="F131"/>
  <c r="G131"/>
  <c r="H131"/>
  <c r="I131"/>
  <c r="J131"/>
  <c r="K131"/>
  <c r="L131"/>
  <c r="M131"/>
  <c r="N131"/>
  <c r="O131"/>
  <c r="P131"/>
  <c r="Q131"/>
  <c r="R131"/>
  <c r="S131"/>
  <c r="U131"/>
  <c r="V131"/>
  <c r="F132"/>
  <c r="G132"/>
  <c r="H132"/>
  <c r="I132"/>
  <c r="J132"/>
  <c r="K132"/>
  <c r="L132"/>
  <c r="M132"/>
  <c r="N132"/>
  <c r="O132"/>
  <c r="P132"/>
  <c r="Q132"/>
  <c r="R132"/>
  <c r="S132"/>
  <c r="U132"/>
  <c r="V132"/>
  <c r="F133"/>
  <c r="G133"/>
  <c r="H133"/>
  <c r="I133"/>
  <c r="J133"/>
  <c r="K133"/>
  <c r="L133"/>
  <c r="M133"/>
  <c r="N133"/>
  <c r="O133"/>
  <c r="P133"/>
  <c r="Q133"/>
  <c r="R133"/>
  <c r="S133"/>
  <c r="U133"/>
  <c r="V133"/>
  <c r="F134"/>
  <c r="G134"/>
  <c r="H134"/>
  <c r="I134"/>
  <c r="J134"/>
  <c r="K134"/>
  <c r="L134"/>
  <c r="M134"/>
  <c r="N134"/>
  <c r="O134"/>
  <c r="P134"/>
  <c r="Q134"/>
  <c r="R134"/>
  <c r="S134"/>
  <c r="U134"/>
  <c r="V134"/>
  <c r="F135"/>
  <c r="G135"/>
  <c r="H135"/>
  <c r="I135"/>
  <c r="J135"/>
  <c r="K135"/>
  <c r="L135"/>
  <c r="M135"/>
  <c r="N135"/>
  <c r="O135"/>
  <c r="P135"/>
  <c r="Q135"/>
  <c r="R135"/>
  <c r="S135"/>
  <c r="U135"/>
  <c r="V135"/>
  <c r="F136"/>
  <c r="G136"/>
  <c r="H136"/>
  <c r="I136"/>
  <c r="J136"/>
  <c r="K136"/>
  <c r="L136"/>
  <c r="M136"/>
  <c r="N136"/>
  <c r="O136"/>
  <c r="P136"/>
  <c r="Q136"/>
  <c r="R136"/>
  <c r="S136"/>
  <c r="U136"/>
  <c r="V136"/>
  <c r="F137"/>
  <c r="G137"/>
  <c r="H137"/>
  <c r="I137"/>
  <c r="J137"/>
  <c r="K137"/>
  <c r="L137"/>
  <c r="M137"/>
  <c r="N137"/>
  <c r="O137"/>
  <c r="P137"/>
  <c r="Q137"/>
  <c r="R137"/>
  <c r="S137"/>
  <c r="U137"/>
  <c r="V137"/>
  <c r="F138"/>
  <c r="G138"/>
  <c r="H138"/>
  <c r="I138"/>
  <c r="J138"/>
  <c r="K138"/>
  <c r="L138"/>
  <c r="M138"/>
  <c r="N138"/>
  <c r="O138"/>
  <c r="P138"/>
  <c r="Q138"/>
  <c r="R138"/>
  <c r="S138"/>
  <c r="U138"/>
  <c r="V138"/>
  <c r="F139"/>
  <c r="G139"/>
  <c r="H139"/>
  <c r="I139"/>
  <c r="J139"/>
  <c r="K139"/>
  <c r="L139"/>
  <c r="M139"/>
  <c r="N139"/>
  <c r="O139"/>
  <c r="P139"/>
  <c r="Q139"/>
  <c r="R139"/>
  <c r="S139"/>
  <c r="U139"/>
  <c r="V139"/>
  <c r="F140"/>
  <c r="G140"/>
  <c r="H140"/>
  <c r="I140"/>
  <c r="J140"/>
  <c r="K140"/>
  <c r="L140"/>
  <c r="M140"/>
  <c r="N140"/>
  <c r="O140"/>
  <c r="P140"/>
  <c r="Q140"/>
  <c r="R140"/>
  <c r="S140"/>
  <c r="U140"/>
  <c r="V140"/>
  <c r="F141"/>
  <c r="G141"/>
  <c r="H141"/>
  <c r="I141"/>
  <c r="J141"/>
  <c r="K141"/>
  <c r="L141"/>
  <c r="M141"/>
  <c r="N141"/>
  <c r="O141"/>
  <c r="P141"/>
  <c r="Q141"/>
  <c r="R141"/>
  <c r="S141"/>
  <c r="U141"/>
  <c r="V141"/>
  <c r="F142"/>
  <c r="G142"/>
  <c r="H142"/>
  <c r="I142"/>
  <c r="J142"/>
  <c r="K142"/>
  <c r="L142"/>
  <c r="M142"/>
  <c r="N142"/>
  <c r="O142"/>
  <c r="P142"/>
  <c r="Q142"/>
  <c r="R142"/>
  <c r="S142"/>
  <c r="U142"/>
  <c r="V142"/>
  <c r="F143"/>
  <c r="G143"/>
  <c r="H143"/>
  <c r="I143"/>
  <c r="J143"/>
  <c r="K143"/>
  <c r="L143"/>
  <c r="M143"/>
  <c r="N143"/>
  <c r="O143"/>
  <c r="P143"/>
  <c r="Q143"/>
  <c r="R143"/>
  <c r="S143"/>
  <c r="U143"/>
  <c r="V143"/>
  <c r="F144"/>
  <c r="G144"/>
  <c r="H144"/>
  <c r="I144"/>
  <c r="J144"/>
  <c r="K144"/>
  <c r="L144"/>
  <c r="M144"/>
  <c r="N144"/>
  <c r="O144"/>
  <c r="P144"/>
  <c r="Q144"/>
  <c r="R144"/>
  <c r="S144"/>
  <c r="U144"/>
  <c r="V144"/>
  <c r="F145"/>
  <c r="G145"/>
  <c r="H145"/>
  <c r="I145"/>
  <c r="J145"/>
  <c r="K145"/>
  <c r="L145"/>
  <c r="M145"/>
  <c r="N145"/>
  <c r="O145"/>
  <c r="P145"/>
  <c r="Q145"/>
  <c r="R145"/>
  <c r="S145"/>
  <c r="U145"/>
  <c r="V145"/>
  <c r="F146"/>
  <c r="G146"/>
  <c r="H146"/>
  <c r="I146"/>
  <c r="J146"/>
  <c r="K146"/>
  <c r="L146"/>
  <c r="M146"/>
  <c r="N146"/>
  <c r="O146"/>
  <c r="P146"/>
  <c r="Q146"/>
  <c r="R146"/>
  <c r="S146"/>
  <c r="U146"/>
  <c r="V146"/>
  <c r="F147"/>
  <c r="G147"/>
  <c r="H147"/>
  <c r="I147"/>
  <c r="J147"/>
  <c r="K147"/>
  <c r="L147"/>
  <c r="M147"/>
  <c r="N147"/>
  <c r="O147"/>
  <c r="P147"/>
  <c r="Q147"/>
  <c r="R147"/>
  <c r="S147"/>
  <c r="U147"/>
  <c r="V147"/>
  <c r="F148"/>
  <c r="G148"/>
  <c r="H148"/>
  <c r="I148"/>
  <c r="J148"/>
  <c r="K148"/>
  <c r="L148"/>
  <c r="M148"/>
  <c r="N148"/>
  <c r="O148"/>
  <c r="P148"/>
  <c r="Q148"/>
  <c r="R148"/>
  <c r="S148"/>
  <c r="U148"/>
  <c r="V148"/>
  <c r="F149"/>
  <c r="G149"/>
  <c r="H149"/>
  <c r="I149"/>
  <c r="J149"/>
  <c r="K149"/>
  <c r="L149"/>
  <c r="M149"/>
  <c r="N149"/>
  <c r="O149"/>
  <c r="P149"/>
  <c r="Q149"/>
  <c r="R149"/>
  <c r="S149"/>
  <c r="U149"/>
  <c r="V149"/>
  <c r="F150"/>
  <c r="G150"/>
  <c r="H150"/>
  <c r="I150"/>
  <c r="J150"/>
  <c r="K150"/>
  <c r="L150"/>
  <c r="M150"/>
  <c r="N150"/>
  <c r="O150"/>
  <c r="P150"/>
  <c r="Q150"/>
  <c r="R150"/>
  <c r="S150"/>
  <c r="U150"/>
  <c r="V150"/>
  <c r="F151"/>
  <c r="G151"/>
  <c r="H151"/>
  <c r="I151"/>
  <c r="J151"/>
  <c r="K151"/>
  <c r="L151"/>
  <c r="M151"/>
  <c r="N151"/>
  <c r="O151"/>
  <c r="P151"/>
  <c r="Q151"/>
  <c r="R151"/>
  <c r="S151"/>
  <c r="U151"/>
  <c r="V151"/>
  <c r="F152"/>
  <c r="G152"/>
  <c r="H152"/>
  <c r="I152"/>
  <c r="J152"/>
  <c r="K152"/>
  <c r="L152"/>
  <c r="M152"/>
  <c r="N152"/>
  <c r="O152"/>
  <c r="P152"/>
  <c r="Q152"/>
  <c r="R152"/>
  <c r="S152"/>
  <c r="U152"/>
  <c r="V152"/>
  <c r="F153"/>
  <c r="G153"/>
  <c r="H153"/>
  <c r="I153"/>
  <c r="J153"/>
  <c r="K153"/>
  <c r="L153"/>
  <c r="M153"/>
  <c r="N153"/>
  <c r="O153"/>
  <c r="P153"/>
  <c r="Q153"/>
  <c r="R153"/>
  <c r="S153"/>
  <c r="U153"/>
  <c r="V153"/>
  <c r="F154"/>
  <c r="G154"/>
  <c r="H154"/>
  <c r="I154"/>
  <c r="J154"/>
  <c r="K154"/>
  <c r="L154"/>
  <c r="M154"/>
  <c r="N154"/>
  <c r="O154"/>
  <c r="P154"/>
  <c r="Q154"/>
  <c r="R154"/>
  <c r="S154"/>
  <c r="U154"/>
  <c r="V154"/>
  <c r="F155"/>
  <c r="G155"/>
  <c r="H155"/>
  <c r="I155"/>
  <c r="J155"/>
  <c r="K155"/>
  <c r="L155"/>
  <c r="M155"/>
  <c r="N155"/>
  <c r="O155"/>
  <c r="P155"/>
  <c r="Q155"/>
  <c r="R155"/>
  <c r="S155"/>
  <c r="U155"/>
  <c r="V155"/>
  <c r="F156"/>
  <c r="G156"/>
  <c r="H156"/>
  <c r="I156"/>
  <c r="J156"/>
  <c r="K156"/>
  <c r="L156"/>
  <c r="M156"/>
  <c r="N156"/>
  <c r="O156"/>
  <c r="P156"/>
  <c r="Q156"/>
  <c r="R156"/>
  <c r="S156"/>
  <c r="U156"/>
  <c r="V156"/>
  <c r="F157"/>
  <c r="G157"/>
  <c r="H157"/>
  <c r="I157"/>
  <c r="J157"/>
  <c r="K157"/>
  <c r="L157"/>
  <c r="M157"/>
  <c r="N157"/>
  <c r="O157"/>
  <c r="P157"/>
  <c r="Q157"/>
  <c r="R157"/>
  <c r="S157"/>
  <c r="U157"/>
  <c r="V157"/>
  <c r="F158"/>
  <c r="G158"/>
  <c r="H158"/>
  <c r="I158"/>
  <c r="J158"/>
  <c r="K158"/>
  <c r="L158"/>
  <c r="M158"/>
  <c r="N158"/>
  <c r="O158"/>
  <c r="P158"/>
  <c r="Q158"/>
  <c r="R158"/>
  <c r="S158"/>
  <c r="U158"/>
  <c r="V158"/>
  <c r="F159"/>
  <c r="G159"/>
  <c r="H159"/>
  <c r="I159"/>
  <c r="J159"/>
  <c r="K159"/>
  <c r="L159"/>
  <c r="M159"/>
  <c r="N159"/>
  <c r="O159"/>
  <c r="P159"/>
  <c r="Q159"/>
  <c r="R159"/>
  <c r="S159"/>
  <c r="U159"/>
  <c r="V159"/>
  <c r="F160"/>
  <c r="G160"/>
  <c r="H160"/>
  <c r="I160"/>
  <c r="J160"/>
  <c r="K160"/>
  <c r="L160"/>
  <c r="M160"/>
  <c r="N160"/>
  <c r="O160"/>
  <c r="P160"/>
  <c r="Q160"/>
  <c r="R160"/>
  <c r="S160"/>
  <c r="U160"/>
  <c r="V160"/>
  <c r="F161"/>
  <c r="G161"/>
  <c r="H161"/>
  <c r="I161"/>
  <c r="J161"/>
  <c r="K161"/>
  <c r="L161"/>
  <c r="M161"/>
  <c r="N161"/>
  <c r="O161"/>
  <c r="P161"/>
  <c r="Q161"/>
  <c r="R161"/>
  <c r="S161"/>
  <c r="U161"/>
  <c r="V161"/>
  <c r="F162"/>
  <c r="G162"/>
  <c r="H162"/>
  <c r="I162"/>
  <c r="J162"/>
  <c r="K162"/>
  <c r="L162"/>
  <c r="M162"/>
  <c r="N162"/>
  <c r="O162"/>
  <c r="P162"/>
  <c r="Q162"/>
  <c r="R162"/>
  <c r="S162"/>
  <c r="U162"/>
  <c r="V162"/>
  <c r="F163"/>
  <c r="G163"/>
  <c r="H163"/>
  <c r="I163"/>
  <c r="J163"/>
  <c r="K163"/>
  <c r="L163"/>
  <c r="M163"/>
  <c r="N163"/>
  <c r="O163"/>
  <c r="P163"/>
  <c r="Q163"/>
  <c r="R163"/>
  <c r="S163"/>
  <c r="U163"/>
  <c r="V163"/>
  <c r="F164"/>
  <c r="G164"/>
  <c r="H164"/>
  <c r="I164"/>
  <c r="J164"/>
  <c r="K164"/>
  <c r="L164"/>
  <c r="M164"/>
  <c r="N164"/>
  <c r="O164"/>
  <c r="P164"/>
  <c r="Q164"/>
  <c r="R164"/>
  <c r="S164"/>
  <c r="U164"/>
  <c r="V164"/>
  <c r="F165"/>
  <c r="G165"/>
  <c r="H165"/>
  <c r="I165"/>
  <c r="J165"/>
  <c r="K165"/>
  <c r="L165"/>
  <c r="M165"/>
  <c r="N165"/>
  <c r="O165"/>
  <c r="P165"/>
  <c r="Q165"/>
  <c r="R165"/>
  <c r="S165"/>
  <c r="U165"/>
  <c r="V165"/>
  <c r="F166"/>
  <c r="G166"/>
  <c r="H166"/>
  <c r="I166"/>
  <c r="J166"/>
  <c r="K166"/>
  <c r="L166"/>
  <c r="M166"/>
  <c r="N166"/>
  <c r="O166"/>
  <c r="P166"/>
  <c r="Q166"/>
  <c r="R166"/>
  <c r="S166"/>
  <c r="U166"/>
  <c r="V166"/>
  <c r="F167"/>
  <c r="G167"/>
  <c r="H167"/>
  <c r="I167"/>
  <c r="J167"/>
  <c r="K167"/>
  <c r="L167"/>
  <c r="M167"/>
  <c r="N167"/>
  <c r="O167"/>
  <c r="P167"/>
  <c r="Q167"/>
  <c r="R167"/>
  <c r="S167"/>
  <c r="U167"/>
  <c r="V167"/>
  <c r="F168"/>
  <c r="G168"/>
  <c r="H168"/>
  <c r="I168"/>
  <c r="J168"/>
  <c r="K168"/>
  <c r="L168"/>
  <c r="M168"/>
  <c r="N168"/>
  <c r="O168"/>
  <c r="P168"/>
  <c r="Q168"/>
  <c r="R168"/>
  <c r="S168"/>
  <c r="U168"/>
  <c r="V168"/>
  <c r="F169"/>
  <c r="G169"/>
  <c r="H169"/>
  <c r="I169"/>
  <c r="J169"/>
  <c r="K169"/>
  <c r="L169"/>
  <c r="M169"/>
  <c r="N169"/>
  <c r="O169"/>
  <c r="P169"/>
  <c r="Q169"/>
  <c r="R169"/>
  <c r="S169"/>
  <c r="U169"/>
  <c r="V169"/>
  <c r="F170"/>
  <c r="G170"/>
  <c r="H170"/>
  <c r="I170"/>
  <c r="J170"/>
  <c r="K170"/>
  <c r="L170"/>
  <c r="M170"/>
  <c r="N170"/>
  <c r="O170"/>
  <c r="P170"/>
  <c r="Q170"/>
  <c r="R170"/>
  <c r="S170"/>
  <c r="U170"/>
  <c r="V170"/>
  <c r="F171"/>
  <c r="F171" i="77" s="1"/>
  <c r="G171" i="71"/>
  <c r="G171" i="80" s="1"/>
  <c r="H171" i="71"/>
  <c r="H171" i="77" s="1"/>
  <c r="I171" i="71"/>
  <c r="I171" i="80" s="1"/>
  <c r="J171" i="71"/>
  <c r="J171" i="77" s="1"/>
  <c r="K171" i="71"/>
  <c r="K171" i="80" s="1"/>
  <c r="L171" i="71"/>
  <c r="L171" i="77" s="1"/>
  <c r="M171" i="71"/>
  <c r="M171" i="80" s="1"/>
  <c r="N171" i="71"/>
  <c r="N171" i="77" s="1"/>
  <c r="O171" i="71"/>
  <c r="O171" i="80" s="1"/>
  <c r="P171" i="71"/>
  <c r="P171" i="77" s="1"/>
  <c r="Q171" i="71"/>
  <c r="Q171" i="80" s="1"/>
  <c r="R171" i="71"/>
  <c r="R171" i="77" s="1"/>
  <c r="S171" i="71"/>
  <c r="S171" i="80" s="1"/>
  <c r="U171" i="71"/>
  <c r="U171" i="80" s="1"/>
  <c r="V171" i="71"/>
  <c r="U171" i="77" s="1"/>
  <c r="F172" i="71"/>
  <c r="F172" i="80" s="1"/>
  <c r="G172" i="71"/>
  <c r="G172" i="80" s="1"/>
  <c r="H172" i="71"/>
  <c r="H172" i="80" s="1"/>
  <c r="I172" i="71"/>
  <c r="I172" i="80" s="1"/>
  <c r="J172" i="71"/>
  <c r="J172" i="80" s="1"/>
  <c r="K172" i="71"/>
  <c r="K172" i="80" s="1"/>
  <c r="L172" i="71"/>
  <c r="L172" i="80" s="1"/>
  <c r="M172" i="71"/>
  <c r="M172" i="80" s="1"/>
  <c r="N172" i="71"/>
  <c r="N172" i="80" s="1"/>
  <c r="O172" i="71"/>
  <c r="O172" i="80" s="1"/>
  <c r="P172" i="71"/>
  <c r="P172" i="80" s="1"/>
  <c r="Q172" i="71"/>
  <c r="R172"/>
  <c r="S172"/>
  <c r="S172" i="80" s="1"/>
  <c r="U172" i="71"/>
  <c r="V172"/>
  <c r="V172" i="80" s="1"/>
  <c r="F173" i="71"/>
  <c r="F173" i="80" s="1"/>
  <c r="G173" i="71"/>
  <c r="G173" i="80" s="1"/>
  <c r="H173" i="71"/>
  <c r="H173" i="80" s="1"/>
  <c r="I173" i="71"/>
  <c r="I173" i="80" s="1"/>
  <c r="J173" i="71"/>
  <c r="K173"/>
  <c r="K173" i="80" s="1"/>
  <c r="L173" i="71"/>
  <c r="L173" i="80" s="1"/>
  <c r="M173" i="71"/>
  <c r="M173" i="80" s="1"/>
  <c r="N173" i="71"/>
  <c r="N173" i="80" s="1"/>
  <c r="O173" i="71"/>
  <c r="O173" i="80" s="1"/>
  <c r="P173" i="71"/>
  <c r="P173" i="80" s="1"/>
  <c r="Q173" i="71"/>
  <c r="Q173" i="80" s="1"/>
  <c r="R173" i="71"/>
  <c r="R173" i="80" s="1"/>
  <c r="S173" i="71"/>
  <c r="S173" i="80" s="1"/>
  <c r="U173" i="71"/>
  <c r="U173" i="80" s="1"/>
  <c r="V173" i="71"/>
  <c r="V173" i="80" s="1"/>
  <c r="F174" i="71"/>
  <c r="G174"/>
  <c r="G174" i="80"/>
  <c r="H174" i="71"/>
  <c r="I174"/>
  <c r="I174" i="80" s="1"/>
  <c r="J174" i="71"/>
  <c r="J174" i="80" s="1"/>
  <c r="K174" i="71"/>
  <c r="K174" i="80" s="1"/>
  <c r="L174" i="71"/>
  <c r="M174"/>
  <c r="M174" i="80" s="1"/>
  <c r="N174" i="71"/>
  <c r="N174" i="80" s="1"/>
  <c r="O174" i="71"/>
  <c r="O174" i="80" s="1"/>
  <c r="P174" i="71"/>
  <c r="Q174"/>
  <c r="Q174" i="80" s="1"/>
  <c r="R174" i="71"/>
  <c r="R174" i="80" s="1"/>
  <c r="S174" i="71"/>
  <c r="U174"/>
  <c r="U174" i="80" s="1"/>
  <c r="V174" i="71"/>
  <c r="U174" i="77" s="1"/>
  <c r="F175" i="71"/>
  <c r="F175" i="77" s="1"/>
  <c r="G175" i="71"/>
  <c r="G175" i="80" s="1"/>
  <c r="H175" i="71"/>
  <c r="H175" i="77" s="1"/>
  <c r="I175" i="71"/>
  <c r="I175" i="80" s="1"/>
  <c r="J175" i="71"/>
  <c r="J175" i="77" s="1"/>
  <c r="K175" i="71"/>
  <c r="K175" i="80" s="1"/>
  <c r="L175" i="71"/>
  <c r="L175" i="77" s="1"/>
  <c r="M175" i="71"/>
  <c r="M175" i="80" s="1"/>
  <c r="N175" i="71"/>
  <c r="N175" i="77" s="1"/>
  <c r="O175" i="71"/>
  <c r="O175" i="80" s="1"/>
  <c r="P175" i="71"/>
  <c r="P175" i="77" s="1"/>
  <c r="Q175" i="71"/>
  <c r="R175"/>
  <c r="R175" i="77" s="1"/>
  <c r="S175" i="71"/>
  <c r="S175" i="80" s="1"/>
  <c r="U175" i="71"/>
  <c r="U175" i="80" s="1"/>
  <c r="V175" i="71"/>
  <c r="U175" i="77" s="1"/>
  <c r="E52" i="71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2" i="80"/>
  <c r="E173" i="71"/>
  <c r="E174"/>
  <c r="E174" i="80" s="1"/>
  <c r="E175" i="71"/>
  <c r="E175" i="80" s="1"/>
  <c r="E51" i="71"/>
  <c r="F41"/>
  <c r="G41"/>
  <c r="H41"/>
  <c r="I41"/>
  <c r="J41"/>
  <c r="K41"/>
  <c r="L41"/>
  <c r="M41"/>
  <c r="N41"/>
  <c r="O41"/>
  <c r="P41"/>
  <c r="Q41"/>
  <c r="R41"/>
  <c r="S41"/>
  <c r="U41"/>
  <c r="V41"/>
  <c r="F42"/>
  <c r="G42"/>
  <c r="H42"/>
  <c r="I42"/>
  <c r="J42"/>
  <c r="K42"/>
  <c r="L42"/>
  <c r="M42"/>
  <c r="N42"/>
  <c r="O42"/>
  <c r="P42"/>
  <c r="Q42"/>
  <c r="R42"/>
  <c r="S42"/>
  <c r="U42"/>
  <c r="V42"/>
  <c r="F43"/>
  <c r="G43"/>
  <c r="H43"/>
  <c r="I43"/>
  <c r="J43"/>
  <c r="K43"/>
  <c r="L43"/>
  <c r="M43"/>
  <c r="N43"/>
  <c r="O43"/>
  <c r="P43"/>
  <c r="Q43"/>
  <c r="R43"/>
  <c r="S43"/>
  <c r="U43"/>
  <c r="V43"/>
  <c r="F44"/>
  <c r="G44"/>
  <c r="H44"/>
  <c r="I44"/>
  <c r="J44"/>
  <c r="K44"/>
  <c r="L44"/>
  <c r="M44"/>
  <c r="N44"/>
  <c r="O44"/>
  <c r="P44"/>
  <c r="Q44"/>
  <c r="R44"/>
  <c r="S44"/>
  <c r="U44"/>
  <c r="V44"/>
  <c r="F45"/>
  <c r="G45"/>
  <c r="H45"/>
  <c r="I45"/>
  <c r="J45"/>
  <c r="K45"/>
  <c r="L45"/>
  <c r="M45"/>
  <c r="N45"/>
  <c r="O45"/>
  <c r="P45"/>
  <c r="Q45"/>
  <c r="R45"/>
  <c r="S45"/>
  <c r="U45"/>
  <c r="V45"/>
  <c r="F46"/>
  <c r="G46"/>
  <c r="H46"/>
  <c r="I46"/>
  <c r="J46"/>
  <c r="K46"/>
  <c r="L46"/>
  <c r="M46"/>
  <c r="N46"/>
  <c r="O46"/>
  <c r="P46"/>
  <c r="Q46"/>
  <c r="R46"/>
  <c r="S46"/>
  <c r="U46"/>
  <c r="V46"/>
  <c r="F47"/>
  <c r="G47"/>
  <c r="H47"/>
  <c r="I47"/>
  <c r="J47"/>
  <c r="K47"/>
  <c r="L47"/>
  <c r="M47"/>
  <c r="N47"/>
  <c r="O47"/>
  <c r="P47"/>
  <c r="Q47"/>
  <c r="R47"/>
  <c r="S47"/>
  <c r="U47"/>
  <c r="V47"/>
  <c r="F48"/>
  <c r="G48"/>
  <c r="H48"/>
  <c r="I48"/>
  <c r="J48"/>
  <c r="K48"/>
  <c r="L48"/>
  <c r="M48"/>
  <c r="N48"/>
  <c r="O48"/>
  <c r="P48"/>
  <c r="Q48"/>
  <c r="R48"/>
  <c r="S48"/>
  <c r="U48"/>
  <c r="V48"/>
  <c r="E42"/>
  <c r="E43"/>
  <c r="E44"/>
  <c r="E45"/>
  <c r="E46"/>
  <c r="E47"/>
  <c r="E48"/>
  <c r="E41"/>
  <c r="F30"/>
  <c r="G30"/>
  <c r="H30"/>
  <c r="I30"/>
  <c r="J30"/>
  <c r="K30"/>
  <c r="L30"/>
  <c r="M30"/>
  <c r="F31"/>
  <c r="G31"/>
  <c r="H31"/>
  <c r="I31"/>
  <c r="J31"/>
  <c r="K31"/>
  <c r="L31"/>
  <c r="M31"/>
  <c r="F32"/>
  <c r="G32"/>
  <c r="H32"/>
  <c r="I32"/>
  <c r="J32"/>
  <c r="K32"/>
  <c r="L32"/>
  <c r="M32"/>
  <c r="F33"/>
  <c r="G33"/>
  <c r="H33"/>
  <c r="I33"/>
  <c r="J33"/>
  <c r="K33"/>
  <c r="L33"/>
  <c r="M33"/>
  <c r="F34"/>
  <c r="G34"/>
  <c r="H34"/>
  <c r="I34"/>
  <c r="J34"/>
  <c r="K34"/>
  <c r="L34"/>
  <c r="M34"/>
  <c r="F35"/>
  <c r="G35"/>
  <c r="H35"/>
  <c r="I35"/>
  <c r="J35"/>
  <c r="K35"/>
  <c r="L35"/>
  <c r="M35"/>
  <c r="F36"/>
  <c r="G36"/>
  <c r="H36"/>
  <c r="I36"/>
  <c r="J36"/>
  <c r="K36"/>
  <c r="L36"/>
  <c r="M36"/>
  <c r="F37"/>
  <c r="G37"/>
  <c r="H37"/>
  <c r="I37"/>
  <c r="J37"/>
  <c r="K37"/>
  <c r="L37"/>
  <c r="M37"/>
  <c r="E31"/>
  <c r="E32"/>
  <c r="E33"/>
  <c r="E34"/>
  <c r="E35"/>
  <c r="E36"/>
  <c r="E37"/>
  <c r="E30"/>
  <c r="E24"/>
  <c r="E25"/>
  <c r="E26"/>
  <c r="E27"/>
  <c r="E23"/>
  <c r="D11"/>
  <c r="D12"/>
  <c r="E12" i="78"/>
  <c r="D13" i="71"/>
  <c r="D14"/>
  <c r="D15"/>
  <c r="D16"/>
  <c r="D17"/>
  <c r="D18"/>
  <c r="D19"/>
  <c r="D10"/>
  <c r="C282"/>
  <c r="C292" s="1"/>
  <c r="C294" s="1"/>
  <c r="C280"/>
  <c r="C276"/>
  <c r="C272"/>
  <c r="C238"/>
  <c r="C231"/>
  <c r="C262"/>
  <c r="C224"/>
  <c r="C221"/>
  <c r="C209"/>
  <c r="C207"/>
  <c r="C210"/>
  <c r="C206"/>
  <c r="C189"/>
  <c r="C187"/>
  <c r="C185"/>
  <c r="C184"/>
  <c r="C182"/>
  <c r="C181"/>
  <c r="C180"/>
  <c r="C178"/>
  <c r="C204"/>
  <c r="C163"/>
  <c r="C158"/>
  <c r="C156"/>
  <c r="C154"/>
  <c r="C137"/>
  <c r="C135"/>
  <c r="C131"/>
  <c r="C95"/>
  <c r="C94"/>
  <c r="C93"/>
  <c r="C92"/>
  <c r="C91"/>
  <c r="C90"/>
  <c r="C81"/>
  <c r="C80"/>
  <c r="C79"/>
  <c r="C67"/>
  <c r="C66"/>
  <c r="C64"/>
  <c r="C63"/>
  <c r="C58"/>
  <c r="C55"/>
  <c r="C52"/>
  <c r="C51"/>
  <c r="C176"/>
  <c r="C47"/>
  <c r="C46"/>
  <c r="C49"/>
  <c r="C36"/>
  <c r="C34"/>
  <c r="C33"/>
  <c r="C30"/>
  <c r="C39"/>
  <c r="C28"/>
  <c r="C27"/>
  <c r="C21"/>
  <c r="V292"/>
  <c r="M292"/>
  <c r="E292"/>
  <c r="V280"/>
  <c r="U280"/>
  <c r="S280"/>
  <c r="R280"/>
  <c r="Q280"/>
  <c r="P280"/>
  <c r="O280"/>
  <c r="N280"/>
  <c r="M280"/>
  <c r="L280"/>
  <c r="K280"/>
  <c r="J280"/>
  <c r="I280"/>
  <c r="H280"/>
  <c r="G280"/>
  <c r="F280"/>
  <c r="E280"/>
  <c r="D280"/>
  <c r="W280"/>
  <c r="V276"/>
  <c r="U276"/>
  <c r="S276"/>
  <c r="R276"/>
  <c r="Q276"/>
  <c r="P276"/>
  <c r="O276"/>
  <c r="N276"/>
  <c r="M276"/>
  <c r="L276"/>
  <c r="K276"/>
  <c r="J276"/>
  <c r="I276"/>
  <c r="H276"/>
  <c r="G276"/>
  <c r="F276"/>
  <c r="E276"/>
  <c r="V272"/>
  <c r="U272"/>
  <c r="S272"/>
  <c r="R272"/>
  <c r="Q272"/>
  <c r="P272"/>
  <c r="O272"/>
  <c r="N272"/>
  <c r="M272"/>
  <c r="L272"/>
  <c r="K272"/>
  <c r="J272"/>
  <c r="I272"/>
  <c r="H272"/>
  <c r="G272"/>
  <c r="F272"/>
  <c r="E272"/>
  <c r="D272"/>
  <c r="W272"/>
  <c r="D262"/>
  <c r="V248"/>
  <c r="U248"/>
  <c r="S248"/>
  <c r="R248"/>
  <c r="Q248"/>
  <c r="P248"/>
  <c r="O248"/>
  <c r="N248"/>
  <c r="M248"/>
  <c r="L248"/>
  <c r="K248"/>
  <c r="J248"/>
  <c r="I248"/>
  <c r="H248"/>
  <c r="G248"/>
  <c r="F248"/>
  <c r="E249" i="81" s="1"/>
  <c r="E248" i="78"/>
  <c r="E248" i="71"/>
  <c r="V247"/>
  <c r="U247"/>
  <c r="S247"/>
  <c r="R247"/>
  <c r="Q247"/>
  <c r="P247"/>
  <c r="O247"/>
  <c r="N247"/>
  <c r="M247"/>
  <c r="L247"/>
  <c r="K247"/>
  <c r="J247"/>
  <c r="I247"/>
  <c r="H247"/>
  <c r="G247"/>
  <c r="F247"/>
  <c r="E247"/>
  <c r="V244"/>
  <c r="U244"/>
  <c r="S244"/>
  <c r="R244"/>
  <c r="Q244"/>
  <c r="P244"/>
  <c r="O244"/>
  <c r="N244"/>
  <c r="M244"/>
  <c r="L244"/>
  <c r="K244"/>
  <c r="J244"/>
  <c r="I244"/>
  <c r="H244"/>
  <c r="G244"/>
  <c r="F244"/>
  <c r="E245" i="81" s="1"/>
  <c r="E244" i="71"/>
  <c r="U221"/>
  <c r="R221"/>
  <c r="P221"/>
  <c r="N221"/>
  <c r="L221"/>
  <c r="J221"/>
  <c r="H221"/>
  <c r="F221"/>
  <c r="D221"/>
  <c r="E210"/>
  <c r="U204"/>
  <c r="R204"/>
  <c r="P204"/>
  <c r="N204"/>
  <c r="L204"/>
  <c r="J204"/>
  <c r="E204"/>
  <c r="D204"/>
  <c r="D176"/>
  <c r="D49"/>
  <c r="V39"/>
  <c r="U39"/>
  <c r="S39"/>
  <c r="R39"/>
  <c r="Q39"/>
  <c r="P39"/>
  <c r="O39"/>
  <c r="N39"/>
  <c r="D39"/>
  <c r="V28"/>
  <c r="U28"/>
  <c r="S28"/>
  <c r="R28"/>
  <c r="Q28"/>
  <c r="P28"/>
  <c r="O28"/>
  <c r="N28"/>
  <c r="M28"/>
  <c r="L28"/>
  <c r="K28"/>
  <c r="J28"/>
  <c r="I28"/>
  <c r="H28"/>
  <c r="G28"/>
  <c r="F28"/>
  <c r="D28"/>
  <c r="V21"/>
  <c r="U21"/>
  <c r="S21"/>
  <c r="R21"/>
  <c r="Q21"/>
  <c r="P21"/>
  <c r="O21"/>
  <c r="N21"/>
  <c r="M21"/>
  <c r="L21"/>
  <c r="K21"/>
  <c r="J21"/>
  <c r="I21"/>
  <c r="H21"/>
  <c r="G21"/>
  <c r="F21"/>
  <c r="E21"/>
  <c r="C134" i="70"/>
  <c r="C27"/>
  <c r="I203"/>
  <c r="M38"/>
  <c r="H38"/>
  <c r="F38"/>
  <c r="E38"/>
  <c r="C38"/>
  <c r="C277"/>
  <c r="C292" s="1"/>
  <c r="C294" s="1"/>
  <c r="C275"/>
  <c r="C271"/>
  <c r="C267"/>
  <c r="C236"/>
  <c r="C230"/>
  <c r="C257"/>
  <c r="C223"/>
  <c r="C220"/>
  <c r="C208"/>
  <c r="C206"/>
  <c r="C209"/>
  <c r="C205"/>
  <c r="C188"/>
  <c r="C186"/>
  <c r="C184"/>
  <c r="C183"/>
  <c r="C181"/>
  <c r="C180"/>
  <c r="C179"/>
  <c r="C177"/>
  <c r="C203"/>
  <c r="C157"/>
  <c r="C153"/>
  <c r="C136"/>
  <c r="C130"/>
  <c r="C80"/>
  <c r="C79"/>
  <c r="C78"/>
  <c r="C66"/>
  <c r="C65"/>
  <c r="C63"/>
  <c r="C62"/>
  <c r="C57"/>
  <c r="C51"/>
  <c r="C50"/>
  <c r="C175"/>
  <c r="C46"/>
  <c r="C45"/>
  <c r="C48"/>
  <c r="C36"/>
  <c r="C34"/>
  <c r="C33"/>
  <c r="C30"/>
  <c r="C28"/>
  <c r="C21"/>
  <c r="N292"/>
  <c r="K175"/>
  <c r="E209"/>
  <c r="E28"/>
  <c r="V292"/>
  <c r="U292"/>
  <c r="S292"/>
  <c r="R292"/>
  <c r="Q292"/>
  <c r="P292"/>
  <c r="O292"/>
  <c r="M292"/>
  <c r="L292"/>
  <c r="K292"/>
  <c r="J292"/>
  <c r="I292"/>
  <c r="H292"/>
  <c r="G292"/>
  <c r="F292"/>
  <c r="E292"/>
  <c r="D292"/>
  <c r="V275"/>
  <c r="U275"/>
  <c r="S275"/>
  <c r="R275"/>
  <c r="Q275"/>
  <c r="P275"/>
  <c r="O275"/>
  <c r="N275"/>
  <c r="M275"/>
  <c r="L275"/>
  <c r="K275"/>
  <c r="J275"/>
  <c r="I275"/>
  <c r="H275"/>
  <c r="G275"/>
  <c r="F275"/>
  <c r="E275"/>
  <c r="D275"/>
  <c r="W275"/>
  <c r="V271"/>
  <c r="U271"/>
  <c r="S271"/>
  <c r="R271"/>
  <c r="Q271"/>
  <c r="P271"/>
  <c r="O271"/>
  <c r="N271"/>
  <c r="M271"/>
  <c r="L271"/>
  <c r="K271"/>
  <c r="J271"/>
  <c r="I271"/>
  <c r="H271"/>
  <c r="G271"/>
  <c r="F271"/>
  <c r="E271"/>
  <c r="D271"/>
  <c r="W271"/>
  <c r="V267"/>
  <c r="U267"/>
  <c r="S267"/>
  <c r="R267"/>
  <c r="Q267"/>
  <c r="P267"/>
  <c r="O267"/>
  <c r="N267"/>
  <c r="M267"/>
  <c r="L267"/>
  <c r="K267"/>
  <c r="J267"/>
  <c r="I267"/>
  <c r="H267"/>
  <c r="G267"/>
  <c r="F267"/>
  <c r="E267"/>
  <c r="D267"/>
  <c r="D257"/>
  <c r="V256"/>
  <c r="U256"/>
  <c r="S256"/>
  <c r="R256"/>
  <c r="Q256"/>
  <c r="P256"/>
  <c r="O256"/>
  <c r="N256"/>
  <c r="M256"/>
  <c r="L256"/>
  <c r="K256"/>
  <c r="J256"/>
  <c r="I256"/>
  <c r="H256"/>
  <c r="G256"/>
  <c r="F256"/>
  <c r="E256"/>
  <c r="V255"/>
  <c r="U255"/>
  <c r="S255"/>
  <c r="R255"/>
  <c r="Q255"/>
  <c r="P255"/>
  <c r="O255"/>
  <c r="N255"/>
  <c r="M255"/>
  <c r="L255"/>
  <c r="K255"/>
  <c r="J255"/>
  <c r="I255"/>
  <c r="H255"/>
  <c r="G255"/>
  <c r="F255"/>
  <c r="E255"/>
  <c r="V254"/>
  <c r="U254"/>
  <c r="S254"/>
  <c r="R254"/>
  <c r="Q254"/>
  <c r="P254"/>
  <c r="O254"/>
  <c r="M254"/>
  <c r="L254"/>
  <c r="K254"/>
  <c r="J254"/>
  <c r="I254"/>
  <c r="H254"/>
  <c r="G254"/>
  <c r="F254"/>
  <c r="E254"/>
  <c r="V253"/>
  <c r="U253"/>
  <c r="S253"/>
  <c r="R253"/>
  <c r="Q253"/>
  <c r="P253"/>
  <c r="O253"/>
  <c r="N253"/>
  <c r="M253"/>
  <c r="L253"/>
  <c r="K253"/>
  <c r="J253"/>
  <c r="I253"/>
  <c r="H253"/>
  <c r="G253"/>
  <c r="F253"/>
  <c r="E253"/>
  <c r="V252"/>
  <c r="U252"/>
  <c r="S252"/>
  <c r="R252"/>
  <c r="Q252"/>
  <c r="P252"/>
  <c r="O252"/>
  <c r="N252"/>
  <c r="M252"/>
  <c r="L252"/>
  <c r="K252"/>
  <c r="J252"/>
  <c r="I252"/>
  <c r="H252"/>
  <c r="G252"/>
  <c r="F252"/>
  <c r="E252"/>
  <c r="V251"/>
  <c r="U251"/>
  <c r="S251"/>
  <c r="R251"/>
  <c r="Q251"/>
  <c r="P251"/>
  <c r="O251"/>
  <c r="N251"/>
  <c r="M251"/>
  <c r="L251"/>
  <c r="K251"/>
  <c r="J251"/>
  <c r="I251"/>
  <c r="H251"/>
  <c r="G251"/>
  <c r="F251"/>
  <c r="E251"/>
  <c r="V250"/>
  <c r="U250"/>
  <c r="S250"/>
  <c r="R250"/>
  <c r="Q250"/>
  <c r="P250"/>
  <c r="O250"/>
  <c r="N250"/>
  <c r="M250"/>
  <c r="L250"/>
  <c r="K250"/>
  <c r="J250"/>
  <c r="I250"/>
  <c r="H250"/>
  <c r="G250"/>
  <c r="F250"/>
  <c r="E250"/>
  <c r="V249"/>
  <c r="U249"/>
  <c r="S249"/>
  <c r="R249"/>
  <c r="Q249"/>
  <c r="P249"/>
  <c r="O249"/>
  <c r="N249"/>
  <c r="M249"/>
  <c r="L249"/>
  <c r="K249"/>
  <c r="J249"/>
  <c r="I249"/>
  <c r="H249"/>
  <c r="G249"/>
  <c r="F249"/>
  <c r="E249"/>
  <c r="V248"/>
  <c r="U248"/>
  <c r="S248"/>
  <c r="R248"/>
  <c r="Q248"/>
  <c r="P248"/>
  <c r="O248"/>
  <c r="M248"/>
  <c r="L248"/>
  <c r="K248"/>
  <c r="J248"/>
  <c r="I248"/>
  <c r="H248"/>
  <c r="G248"/>
  <c r="F248"/>
  <c r="E248"/>
  <c r="V247"/>
  <c r="U247"/>
  <c r="S247"/>
  <c r="R247"/>
  <c r="Q247"/>
  <c r="P247"/>
  <c r="O247"/>
  <c r="N247"/>
  <c r="M247"/>
  <c r="L247"/>
  <c r="K247"/>
  <c r="J247"/>
  <c r="I247"/>
  <c r="H247"/>
  <c r="G247"/>
  <c r="F247"/>
  <c r="E247"/>
  <c r="V246"/>
  <c r="U246"/>
  <c r="S246"/>
  <c r="R246"/>
  <c r="Q246"/>
  <c r="P246"/>
  <c r="O246"/>
  <c r="N246"/>
  <c r="M246"/>
  <c r="L246"/>
  <c r="K246"/>
  <c r="J246"/>
  <c r="I246"/>
  <c r="H246"/>
  <c r="G246"/>
  <c r="F246"/>
  <c r="E246"/>
  <c r="V244"/>
  <c r="U244"/>
  <c r="S244"/>
  <c r="R244"/>
  <c r="Q244"/>
  <c r="P244"/>
  <c r="O244"/>
  <c r="N244"/>
  <c r="M244"/>
  <c r="L244"/>
  <c r="K244"/>
  <c r="J244"/>
  <c r="I244"/>
  <c r="H244"/>
  <c r="G244"/>
  <c r="F244"/>
  <c r="E244"/>
  <c r="V243"/>
  <c r="U243"/>
  <c r="S243"/>
  <c r="R243"/>
  <c r="Q243"/>
  <c r="P243"/>
  <c r="O243"/>
  <c r="N243"/>
  <c r="M243"/>
  <c r="L243"/>
  <c r="K243"/>
  <c r="J243"/>
  <c r="I243"/>
  <c r="H243"/>
  <c r="G243"/>
  <c r="F243"/>
  <c r="E243"/>
  <c r="V241"/>
  <c r="U241"/>
  <c r="S241"/>
  <c r="R241"/>
  <c r="Q241"/>
  <c r="P241"/>
  <c r="O241"/>
  <c r="N241"/>
  <c r="M241"/>
  <c r="L241"/>
  <c r="K241"/>
  <c r="J241"/>
  <c r="I241"/>
  <c r="H241"/>
  <c r="G241"/>
  <c r="F241"/>
  <c r="E241"/>
  <c r="V239"/>
  <c r="U239"/>
  <c r="S239"/>
  <c r="R239"/>
  <c r="Q239"/>
  <c r="P239"/>
  <c r="O239"/>
  <c r="N239"/>
  <c r="M239"/>
  <c r="L239"/>
  <c r="K239"/>
  <c r="J239"/>
  <c r="I239"/>
  <c r="H239"/>
  <c r="G239"/>
  <c r="F239"/>
  <c r="E239"/>
  <c r="V238"/>
  <c r="U238"/>
  <c r="S238"/>
  <c r="R238"/>
  <c r="Q238"/>
  <c r="P238"/>
  <c r="O238"/>
  <c r="N238"/>
  <c r="M238"/>
  <c r="L238"/>
  <c r="K238"/>
  <c r="J238"/>
  <c r="I238"/>
  <c r="H238"/>
  <c r="G238"/>
  <c r="F238"/>
  <c r="E238"/>
  <c r="V237"/>
  <c r="U237"/>
  <c r="S237"/>
  <c r="R237"/>
  <c r="Q237"/>
  <c r="P237"/>
  <c r="O237"/>
  <c r="N237"/>
  <c r="M237"/>
  <c r="L237"/>
  <c r="K237"/>
  <c r="J237"/>
  <c r="I237"/>
  <c r="H237"/>
  <c r="G237"/>
  <c r="F237"/>
  <c r="E237"/>
  <c r="V236"/>
  <c r="U236"/>
  <c r="S236"/>
  <c r="R236"/>
  <c r="Q236"/>
  <c r="P236"/>
  <c r="O236"/>
  <c r="N236"/>
  <c r="M236"/>
  <c r="L236"/>
  <c r="K236"/>
  <c r="J236"/>
  <c r="I236"/>
  <c r="H236"/>
  <c r="G236"/>
  <c r="F236"/>
  <c r="E236"/>
  <c r="V235"/>
  <c r="U235"/>
  <c r="S235"/>
  <c r="R235"/>
  <c r="Q235"/>
  <c r="P235"/>
  <c r="O235"/>
  <c r="N235"/>
  <c r="M235"/>
  <c r="L235"/>
  <c r="K235"/>
  <c r="J235"/>
  <c r="I235"/>
  <c r="H235"/>
  <c r="G235"/>
  <c r="F235"/>
  <c r="E235"/>
  <c r="V233"/>
  <c r="U233"/>
  <c r="S233"/>
  <c r="R233"/>
  <c r="Q233"/>
  <c r="P233"/>
  <c r="O233"/>
  <c r="N233"/>
  <c r="M233"/>
  <c r="L233"/>
  <c r="K233"/>
  <c r="J233"/>
  <c r="I233"/>
  <c r="H233"/>
  <c r="G233"/>
  <c r="F233"/>
  <c r="E233"/>
  <c r="V232"/>
  <c r="U232"/>
  <c r="S232"/>
  <c r="R232"/>
  <c r="Q232"/>
  <c r="P232"/>
  <c r="O232"/>
  <c r="N232"/>
  <c r="M232"/>
  <c r="L232"/>
  <c r="K232"/>
  <c r="J232"/>
  <c r="I232"/>
  <c r="H232"/>
  <c r="G232"/>
  <c r="F232"/>
  <c r="E232"/>
  <c r="V231"/>
  <c r="U231"/>
  <c r="S231"/>
  <c r="R231"/>
  <c r="Q231"/>
  <c r="P231"/>
  <c r="O231"/>
  <c r="N231"/>
  <c r="M231"/>
  <c r="L231"/>
  <c r="K231"/>
  <c r="J231"/>
  <c r="I231"/>
  <c r="H231"/>
  <c r="G231"/>
  <c r="F231"/>
  <c r="E231"/>
  <c r="V230"/>
  <c r="U230"/>
  <c r="S230"/>
  <c r="R230"/>
  <c r="Q230"/>
  <c r="P230"/>
  <c r="O230"/>
  <c r="N230"/>
  <c r="M230"/>
  <c r="L230"/>
  <c r="K230"/>
  <c r="J230"/>
  <c r="I230"/>
  <c r="H230"/>
  <c r="G230"/>
  <c r="F230"/>
  <c r="E230"/>
  <c r="V229"/>
  <c r="U229"/>
  <c r="S229"/>
  <c r="R229"/>
  <c r="Q229"/>
  <c r="P229"/>
  <c r="O229"/>
  <c r="N229"/>
  <c r="M229"/>
  <c r="L229"/>
  <c r="K229"/>
  <c r="J229"/>
  <c r="I229"/>
  <c r="H229"/>
  <c r="G229"/>
  <c r="F229"/>
  <c r="E229"/>
  <c r="V228"/>
  <c r="U228"/>
  <c r="S228"/>
  <c r="R228"/>
  <c r="Q228"/>
  <c r="P228"/>
  <c r="O228"/>
  <c r="N228"/>
  <c r="M228"/>
  <c r="L228"/>
  <c r="K228"/>
  <c r="J228"/>
  <c r="I228"/>
  <c r="H228"/>
  <c r="G228"/>
  <c r="F228"/>
  <c r="V227"/>
  <c r="U227"/>
  <c r="S227"/>
  <c r="R227"/>
  <c r="Q227"/>
  <c r="P227"/>
  <c r="O227"/>
  <c r="N227"/>
  <c r="M227"/>
  <c r="L227"/>
  <c r="K227"/>
  <c r="J227"/>
  <c r="I227"/>
  <c r="H227"/>
  <c r="G227"/>
  <c r="F227"/>
  <c r="E227"/>
  <c r="V226"/>
  <c r="U226"/>
  <c r="S226"/>
  <c r="R226"/>
  <c r="Q226"/>
  <c r="P226"/>
  <c r="O226"/>
  <c r="N226"/>
  <c r="M226"/>
  <c r="L226"/>
  <c r="K226"/>
  <c r="J226"/>
  <c r="I226"/>
  <c r="H226"/>
  <c r="G226"/>
  <c r="F226"/>
  <c r="E226"/>
  <c r="V220"/>
  <c r="U220"/>
  <c r="S220"/>
  <c r="R220"/>
  <c r="Q220"/>
  <c r="P220"/>
  <c r="O220"/>
  <c r="N220"/>
  <c r="M220"/>
  <c r="L220"/>
  <c r="K220"/>
  <c r="J220"/>
  <c r="I220"/>
  <c r="H220"/>
  <c r="G220"/>
  <c r="F220"/>
  <c r="E220"/>
  <c r="D220"/>
  <c r="W220"/>
  <c r="H209"/>
  <c r="V203"/>
  <c r="U203"/>
  <c r="S203"/>
  <c r="R203"/>
  <c r="Q203"/>
  <c r="P203"/>
  <c r="O203"/>
  <c r="N203"/>
  <c r="M203"/>
  <c r="L203"/>
  <c r="K203"/>
  <c r="J203"/>
  <c r="H203"/>
  <c r="G203"/>
  <c r="F203"/>
  <c r="E203"/>
  <c r="D203"/>
  <c r="V175"/>
  <c r="U175"/>
  <c r="S175"/>
  <c r="R175"/>
  <c r="Q175"/>
  <c r="O175"/>
  <c r="N175"/>
  <c r="M175"/>
  <c r="L175"/>
  <c r="J175"/>
  <c r="I175"/>
  <c r="H175"/>
  <c r="G175"/>
  <c r="F175"/>
  <c r="E175"/>
  <c r="D175"/>
  <c r="V48"/>
  <c r="U48"/>
  <c r="S48"/>
  <c r="R48"/>
  <c r="Q48"/>
  <c r="P48"/>
  <c r="O48"/>
  <c r="N48"/>
  <c r="M48"/>
  <c r="L48"/>
  <c r="K48"/>
  <c r="J48"/>
  <c r="I48"/>
  <c r="H48"/>
  <c r="G48"/>
  <c r="F48"/>
  <c r="E48"/>
  <c r="D48"/>
  <c r="V38"/>
  <c r="U38"/>
  <c r="S38"/>
  <c r="R38"/>
  <c r="Q38"/>
  <c r="P38"/>
  <c r="O38"/>
  <c r="N38"/>
  <c r="L38"/>
  <c r="K38"/>
  <c r="J38"/>
  <c r="I38"/>
  <c r="G38"/>
  <c r="D38"/>
  <c r="V28"/>
  <c r="U28"/>
  <c r="S28"/>
  <c r="R28"/>
  <c r="Q28"/>
  <c r="P28"/>
  <c r="O28"/>
  <c r="N28"/>
  <c r="M28"/>
  <c r="L28"/>
  <c r="K28"/>
  <c r="J28"/>
  <c r="I28"/>
  <c r="H28"/>
  <c r="G28"/>
  <c r="F28"/>
  <c r="D28"/>
  <c r="W28"/>
  <c r="V21"/>
  <c r="U21"/>
  <c r="S21"/>
  <c r="R21"/>
  <c r="Q21"/>
  <c r="P21"/>
  <c r="O21"/>
  <c r="N21"/>
  <c r="M21"/>
  <c r="L21"/>
  <c r="K21"/>
  <c r="J21"/>
  <c r="I21"/>
  <c r="H21"/>
  <c r="G21"/>
  <c r="F21"/>
  <c r="E21"/>
  <c r="D21"/>
  <c r="W21"/>
  <c r="M38" i="69"/>
  <c r="H38"/>
  <c r="F38"/>
  <c r="E38"/>
  <c r="W287"/>
  <c r="N287"/>
  <c r="C287"/>
  <c r="E28"/>
  <c r="C289"/>
  <c r="E237"/>
  <c r="F237"/>
  <c r="F236"/>
  <c r="F238" i="71"/>
  <c r="V287" i="69"/>
  <c r="U287"/>
  <c r="S287"/>
  <c r="R287"/>
  <c r="Q287"/>
  <c r="P287"/>
  <c r="O287"/>
  <c r="M287"/>
  <c r="L287"/>
  <c r="K287"/>
  <c r="J287"/>
  <c r="I287"/>
  <c r="H287"/>
  <c r="G287"/>
  <c r="F287"/>
  <c r="E287"/>
  <c r="D287"/>
  <c r="C282"/>
  <c r="C277"/>
  <c r="V275"/>
  <c r="U275"/>
  <c r="S275"/>
  <c r="R275"/>
  <c r="Q275"/>
  <c r="P275"/>
  <c r="O275"/>
  <c r="N275"/>
  <c r="M275"/>
  <c r="L275"/>
  <c r="K275"/>
  <c r="J275"/>
  <c r="I275"/>
  <c r="H275"/>
  <c r="G275"/>
  <c r="F275"/>
  <c r="E275"/>
  <c r="D275"/>
  <c r="W275"/>
  <c r="C275"/>
  <c r="V271"/>
  <c r="U271"/>
  <c r="S271"/>
  <c r="R271"/>
  <c r="Q271"/>
  <c r="P271"/>
  <c r="O271"/>
  <c r="N271"/>
  <c r="M271"/>
  <c r="L271"/>
  <c r="K271"/>
  <c r="J271"/>
  <c r="I271"/>
  <c r="H271"/>
  <c r="G271"/>
  <c r="F271"/>
  <c r="E271"/>
  <c r="D271"/>
  <c r="W271"/>
  <c r="C271"/>
  <c r="V267"/>
  <c r="U267"/>
  <c r="S267"/>
  <c r="R267"/>
  <c r="Q267"/>
  <c r="P267"/>
  <c r="O267"/>
  <c r="N267"/>
  <c r="M267"/>
  <c r="L267"/>
  <c r="K267"/>
  <c r="J267"/>
  <c r="I267"/>
  <c r="H267"/>
  <c r="G267"/>
  <c r="F267"/>
  <c r="E267"/>
  <c r="D267"/>
  <c r="C267"/>
  <c r="D257"/>
  <c r="V256"/>
  <c r="U256"/>
  <c r="S256"/>
  <c r="R256"/>
  <c r="Q256"/>
  <c r="P256"/>
  <c r="O256"/>
  <c r="N256"/>
  <c r="M256"/>
  <c r="L256"/>
  <c r="K256"/>
  <c r="J256"/>
  <c r="I256"/>
  <c r="H256"/>
  <c r="G256"/>
  <c r="F256"/>
  <c r="E256"/>
  <c r="V255"/>
  <c r="U255"/>
  <c r="S255"/>
  <c r="R255"/>
  <c r="Q255"/>
  <c r="P255"/>
  <c r="O255"/>
  <c r="N255"/>
  <c r="M255"/>
  <c r="L255"/>
  <c r="K255"/>
  <c r="J255"/>
  <c r="I255"/>
  <c r="H255"/>
  <c r="G255"/>
  <c r="F255"/>
  <c r="E255"/>
  <c r="V254"/>
  <c r="U254"/>
  <c r="S254"/>
  <c r="R254"/>
  <c r="Q254"/>
  <c r="P254"/>
  <c r="O254"/>
  <c r="N254"/>
  <c r="M254"/>
  <c r="L254"/>
  <c r="K254"/>
  <c r="J254"/>
  <c r="I254"/>
  <c r="H254"/>
  <c r="G254"/>
  <c r="F254"/>
  <c r="E254"/>
  <c r="V253"/>
  <c r="U253"/>
  <c r="S253"/>
  <c r="R253"/>
  <c r="Q253"/>
  <c r="P253"/>
  <c r="O253"/>
  <c r="N253"/>
  <c r="M253"/>
  <c r="L253"/>
  <c r="K253"/>
  <c r="J253"/>
  <c r="I253"/>
  <c r="H253"/>
  <c r="G253"/>
  <c r="F253"/>
  <c r="E253"/>
  <c r="V252"/>
  <c r="U252"/>
  <c r="S252"/>
  <c r="R252"/>
  <c r="Q252"/>
  <c r="P252"/>
  <c r="O252"/>
  <c r="N252"/>
  <c r="M252"/>
  <c r="L252"/>
  <c r="K252"/>
  <c r="J252"/>
  <c r="I252"/>
  <c r="H252"/>
  <c r="G252"/>
  <c r="F252"/>
  <c r="E252"/>
  <c r="V251"/>
  <c r="U251"/>
  <c r="S251"/>
  <c r="R251"/>
  <c r="Q251"/>
  <c r="P251"/>
  <c r="O251"/>
  <c r="N251"/>
  <c r="M251"/>
  <c r="L251"/>
  <c r="K251"/>
  <c r="J251"/>
  <c r="I251"/>
  <c r="H251"/>
  <c r="G251"/>
  <c r="F251"/>
  <c r="E251"/>
  <c r="V250"/>
  <c r="U250"/>
  <c r="S250"/>
  <c r="R250"/>
  <c r="Q250"/>
  <c r="P250"/>
  <c r="O250"/>
  <c r="N250"/>
  <c r="M250"/>
  <c r="L250"/>
  <c r="K250"/>
  <c r="J250"/>
  <c r="I250"/>
  <c r="H250"/>
  <c r="G250"/>
  <c r="F250"/>
  <c r="E250"/>
  <c r="V249"/>
  <c r="U249"/>
  <c r="S249"/>
  <c r="R249"/>
  <c r="Q249"/>
  <c r="P249"/>
  <c r="O249"/>
  <c r="N249"/>
  <c r="M249"/>
  <c r="L249"/>
  <c r="K249"/>
  <c r="J249"/>
  <c r="I249"/>
  <c r="H249"/>
  <c r="G249"/>
  <c r="F249"/>
  <c r="E249"/>
  <c r="V248"/>
  <c r="U248"/>
  <c r="S248"/>
  <c r="R248"/>
  <c r="Q248"/>
  <c r="P248"/>
  <c r="O248"/>
  <c r="N248"/>
  <c r="M248"/>
  <c r="L248"/>
  <c r="K248"/>
  <c r="J248"/>
  <c r="I248"/>
  <c r="H248"/>
  <c r="G248"/>
  <c r="F248"/>
  <c r="E248"/>
  <c r="V247"/>
  <c r="U247"/>
  <c r="S247"/>
  <c r="R247"/>
  <c r="Q247"/>
  <c r="P247"/>
  <c r="O247"/>
  <c r="N247"/>
  <c r="M247"/>
  <c r="L247"/>
  <c r="K247"/>
  <c r="J247"/>
  <c r="I247"/>
  <c r="H247"/>
  <c r="G247"/>
  <c r="F247"/>
  <c r="E247"/>
  <c r="V246"/>
  <c r="U246"/>
  <c r="S246"/>
  <c r="R246"/>
  <c r="Q246"/>
  <c r="P246"/>
  <c r="O246"/>
  <c r="N246"/>
  <c r="M246"/>
  <c r="L246"/>
  <c r="K246"/>
  <c r="J246"/>
  <c r="I246"/>
  <c r="H246"/>
  <c r="G246"/>
  <c r="F246"/>
  <c r="E246"/>
  <c r="V244"/>
  <c r="U244"/>
  <c r="S244"/>
  <c r="R244"/>
  <c r="Q244"/>
  <c r="P244"/>
  <c r="O244"/>
  <c r="N244"/>
  <c r="M244"/>
  <c r="L244"/>
  <c r="K244"/>
  <c r="J244"/>
  <c r="I244"/>
  <c r="H244"/>
  <c r="G244"/>
  <c r="F244"/>
  <c r="E244"/>
  <c r="V243"/>
  <c r="U243"/>
  <c r="S243"/>
  <c r="R243"/>
  <c r="Q243"/>
  <c r="P243"/>
  <c r="O243"/>
  <c r="N243"/>
  <c r="M243"/>
  <c r="L243"/>
  <c r="K243"/>
  <c r="J243"/>
  <c r="I243"/>
  <c r="H243"/>
  <c r="G243"/>
  <c r="F243"/>
  <c r="E243"/>
  <c r="V241"/>
  <c r="U241"/>
  <c r="S241"/>
  <c r="R241"/>
  <c r="Q241"/>
  <c r="P241"/>
  <c r="O241"/>
  <c r="N241"/>
  <c r="M241"/>
  <c r="L241"/>
  <c r="K241"/>
  <c r="J241"/>
  <c r="I241"/>
  <c r="H241"/>
  <c r="G241"/>
  <c r="F241"/>
  <c r="E241"/>
  <c r="V239"/>
  <c r="U239"/>
  <c r="S239"/>
  <c r="R239"/>
  <c r="Q239"/>
  <c r="P239"/>
  <c r="O239"/>
  <c r="N239"/>
  <c r="M239"/>
  <c r="L239"/>
  <c r="K239"/>
  <c r="J239"/>
  <c r="I239"/>
  <c r="H239"/>
  <c r="G239"/>
  <c r="F239"/>
  <c r="E239"/>
  <c r="V238"/>
  <c r="U238"/>
  <c r="S238"/>
  <c r="R238"/>
  <c r="Q238"/>
  <c r="P238"/>
  <c r="O238"/>
  <c r="N238"/>
  <c r="M238"/>
  <c r="L238"/>
  <c r="K238"/>
  <c r="J238"/>
  <c r="I238"/>
  <c r="H238"/>
  <c r="G238"/>
  <c r="F238"/>
  <c r="E238"/>
  <c r="V237"/>
  <c r="U237"/>
  <c r="S237"/>
  <c r="R237"/>
  <c r="Q237"/>
  <c r="P237"/>
  <c r="O237"/>
  <c r="N237"/>
  <c r="M237"/>
  <c r="L237"/>
  <c r="K237"/>
  <c r="J237"/>
  <c r="I237"/>
  <c r="H237"/>
  <c r="G237"/>
  <c r="V236"/>
  <c r="U236"/>
  <c r="S236"/>
  <c r="R236"/>
  <c r="Q236"/>
  <c r="P236"/>
  <c r="O236"/>
  <c r="N236"/>
  <c r="M236"/>
  <c r="L236"/>
  <c r="K236"/>
  <c r="J236"/>
  <c r="I236"/>
  <c r="H236"/>
  <c r="G236"/>
  <c r="E236"/>
  <c r="C236"/>
  <c r="V235"/>
  <c r="U235"/>
  <c r="S235"/>
  <c r="R235"/>
  <c r="Q235"/>
  <c r="P235"/>
  <c r="O235"/>
  <c r="N235"/>
  <c r="M235"/>
  <c r="L235"/>
  <c r="K235"/>
  <c r="J235"/>
  <c r="I235"/>
  <c r="H235"/>
  <c r="G235"/>
  <c r="F235"/>
  <c r="E235"/>
  <c r="V233"/>
  <c r="U233"/>
  <c r="S233"/>
  <c r="R233"/>
  <c r="Q233"/>
  <c r="P233"/>
  <c r="O233"/>
  <c r="N233"/>
  <c r="M233"/>
  <c r="L233"/>
  <c r="K233"/>
  <c r="J233"/>
  <c r="I233"/>
  <c r="H233"/>
  <c r="G233"/>
  <c r="F233"/>
  <c r="E233"/>
  <c r="V232"/>
  <c r="U232"/>
  <c r="S232"/>
  <c r="R232"/>
  <c r="Q232"/>
  <c r="P232"/>
  <c r="O232"/>
  <c r="N232"/>
  <c r="M232"/>
  <c r="L232"/>
  <c r="K232"/>
  <c r="J232"/>
  <c r="I232"/>
  <c r="H232"/>
  <c r="G232"/>
  <c r="F232"/>
  <c r="E232"/>
  <c r="V231"/>
  <c r="U231"/>
  <c r="S231"/>
  <c r="R231"/>
  <c r="Q231"/>
  <c r="P231"/>
  <c r="O231"/>
  <c r="N231"/>
  <c r="M231"/>
  <c r="L231"/>
  <c r="K231"/>
  <c r="J231"/>
  <c r="I231"/>
  <c r="H231"/>
  <c r="G231"/>
  <c r="F231"/>
  <c r="E231"/>
  <c r="V230"/>
  <c r="U230"/>
  <c r="S230"/>
  <c r="R230"/>
  <c r="Q230"/>
  <c r="P230"/>
  <c r="O230"/>
  <c r="N230"/>
  <c r="M230"/>
  <c r="L230"/>
  <c r="K230"/>
  <c r="J230"/>
  <c r="I230"/>
  <c r="H230"/>
  <c r="G230"/>
  <c r="F230"/>
  <c r="E230"/>
  <c r="C230"/>
  <c r="C257"/>
  <c r="V229"/>
  <c r="U229"/>
  <c r="S229"/>
  <c r="R229"/>
  <c r="Q229"/>
  <c r="P229"/>
  <c r="O229"/>
  <c r="N229"/>
  <c r="M229"/>
  <c r="L229"/>
  <c r="K229"/>
  <c r="J229"/>
  <c r="I229"/>
  <c r="H229"/>
  <c r="G229"/>
  <c r="F229"/>
  <c r="E229"/>
  <c r="V228"/>
  <c r="U228"/>
  <c r="S228"/>
  <c r="R228"/>
  <c r="Q228"/>
  <c r="P228"/>
  <c r="O228"/>
  <c r="N228"/>
  <c r="M228"/>
  <c r="L228"/>
  <c r="K228"/>
  <c r="J228"/>
  <c r="I228"/>
  <c r="H228"/>
  <c r="G228"/>
  <c r="F228"/>
  <c r="E228"/>
  <c r="V227"/>
  <c r="U227"/>
  <c r="S227"/>
  <c r="R227"/>
  <c r="Q227"/>
  <c r="P227"/>
  <c r="O227"/>
  <c r="N227"/>
  <c r="M227"/>
  <c r="L227"/>
  <c r="K227"/>
  <c r="J227"/>
  <c r="I227"/>
  <c r="H227"/>
  <c r="G227"/>
  <c r="F227"/>
  <c r="E227"/>
  <c r="V226"/>
  <c r="U226"/>
  <c r="S226"/>
  <c r="R226"/>
  <c r="Q226"/>
  <c r="P226"/>
  <c r="O226"/>
  <c r="N226"/>
  <c r="M226"/>
  <c r="L226"/>
  <c r="K226"/>
  <c r="J226"/>
  <c r="I226"/>
  <c r="H226"/>
  <c r="G226"/>
  <c r="F226"/>
  <c r="E226"/>
  <c r="C223"/>
  <c r="V220"/>
  <c r="U220"/>
  <c r="S220"/>
  <c r="R220"/>
  <c r="Q220"/>
  <c r="P220"/>
  <c r="O220"/>
  <c r="N220"/>
  <c r="M220"/>
  <c r="L220"/>
  <c r="K220"/>
  <c r="J220"/>
  <c r="I220"/>
  <c r="H220"/>
  <c r="G220"/>
  <c r="F220"/>
  <c r="E220"/>
  <c r="D220"/>
  <c r="W220"/>
  <c r="C220"/>
  <c r="H209"/>
  <c r="E209"/>
  <c r="C208"/>
  <c r="C206"/>
  <c r="C205"/>
  <c r="C209"/>
  <c r="V203"/>
  <c r="U203"/>
  <c r="S203"/>
  <c r="R203"/>
  <c r="Q203"/>
  <c r="P203"/>
  <c r="O203"/>
  <c r="N203"/>
  <c r="M203"/>
  <c r="L203"/>
  <c r="K203"/>
  <c r="J203"/>
  <c r="I203"/>
  <c r="H203"/>
  <c r="G203"/>
  <c r="F203"/>
  <c r="E203"/>
  <c r="D203"/>
  <c r="C191"/>
  <c r="C188"/>
  <c r="C186"/>
  <c r="C184"/>
  <c r="C183"/>
  <c r="C181"/>
  <c r="C180"/>
  <c r="C179"/>
  <c r="C177"/>
  <c r="C203"/>
  <c r="V175"/>
  <c r="U175"/>
  <c r="S175"/>
  <c r="R175"/>
  <c r="Q175"/>
  <c r="P175"/>
  <c r="O175"/>
  <c r="N175"/>
  <c r="M175"/>
  <c r="L175"/>
  <c r="K175"/>
  <c r="J175"/>
  <c r="I175"/>
  <c r="H175"/>
  <c r="G175"/>
  <c r="F175"/>
  <c r="E175"/>
  <c r="D175"/>
  <c r="C78"/>
  <c r="C62"/>
  <c r="C51"/>
  <c r="C50"/>
  <c r="C175"/>
  <c r="V48"/>
  <c r="U48"/>
  <c r="S48"/>
  <c r="R48"/>
  <c r="Q48"/>
  <c r="P48"/>
  <c r="O48"/>
  <c r="N48"/>
  <c r="M48"/>
  <c r="L48"/>
  <c r="K48"/>
  <c r="J48"/>
  <c r="I48"/>
  <c r="H48"/>
  <c r="G48"/>
  <c r="F48"/>
  <c r="E48"/>
  <c r="D48"/>
  <c r="C46"/>
  <c r="C45"/>
  <c r="C48"/>
  <c r="V38"/>
  <c r="U38"/>
  <c r="S38"/>
  <c r="R38"/>
  <c r="Q38"/>
  <c r="P38"/>
  <c r="O38"/>
  <c r="N38"/>
  <c r="L38"/>
  <c r="K38"/>
  <c r="J38"/>
  <c r="I38"/>
  <c r="G38"/>
  <c r="D38"/>
  <c r="C36"/>
  <c r="C34"/>
  <c r="C33"/>
  <c r="C30"/>
  <c r="C38"/>
  <c r="V28"/>
  <c r="U28"/>
  <c r="S28"/>
  <c r="R28"/>
  <c r="Q28"/>
  <c r="P28"/>
  <c r="O28"/>
  <c r="N28"/>
  <c r="M28"/>
  <c r="L28"/>
  <c r="K28"/>
  <c r="J28"/>
  <c r="I28"/>
  <c r="H28"/>
  <c r="G28"/>
  <c r="F28"/>
  <c r="D28"/>
  <c r="C28"/>
  <c r="V21"/>
  <c r="U21"/>
  <c r="S21"/>
  <c r="R21"/>
  <c r="Q21"/>
  <c r="P21"/>
  <c r="O21"/>
  <c r="N21"/>
  <c r="M21"/>
  <c r="L21"/>
  <c r="K21"/>
  <c r="J21"/>
  <c r="I21"/>
  <c r="H21"/>
  <c r="G21"/>
  <c r="F21"/>
  <c r="E21"/>
  <c r="D21"/>
  <c r="W21"/>
  <c r="C21"/>
  <c r="W276" i="68"/>
  <c r="E210" i="67"/>
  <c r="I221" i="68"/>
  <c r="W288" i="65"/>
  <c r="D272" i="68"/>
  <c r="C272"/>
  <c r="M38"/>
  <c r="H49"/>
  <c r="H38"/>
  <c r="F38"/>
  <c r="E210"/>
  <c r="E38"/>
  <c r="E28"/>
  <c r="D21"/>
  <c r="B293"/>
  <c r="C283"/>
  <c r="V288"/>
  <c r="U288"/>
  <c r="S288"/>
  <c r="R288"/>
  <c r="Q288"/>
  <c r="P288"/>
  <c r="O288"/>
  <c r="N288"/>
  <c r="M288"/>
  <c r="L288"/>
  <c r="K288"/>
  <c r="J288"/>
  <c r="I288"/>
  <c r="H288"/>
  <c r="G288"/>
  <c r="F288"/>
  <c r="E288"/>
  <c r="D288"/>
  <c r="C278"/>
  <c r="C288"/>
  <c r="V276"/>
  <c r="U276"/>
  <c r="S276"/>
  <c r="R276"/>
  <c r="Q276"/>
  <c r="P276"/>
  <c r="O276"/>
  <c r="N276"/>
  <c r="M276"/>
  <c r="L276"/>
  <c r="K276"/>
  <c r="J276"/>
  <c r="I276"/>
  <c r="H276"/>
  <c r="G276"/>
  <c r="F276"/>
  <c r="E276"/>
  <c r="D276"/>
  <c r="C276"/>
  <c r="V272"/>
  <c r="U272"/>
  <c r="S272"/>
  <c r="R272"/>
  <c r="Q272"/>
  <c r="P272"/>
  <c r="O272"/>
  <c r="N272"/>
  <c r="M272"/>
  <c r="L272"/>
  <c r="K272"/>
  <c r="J272"/>
  <c r="I272"/>
  <c r="H272"/>
  <c r="G272"/>
  <c r="F272"/>
  <c r="E272"/>
  <c r="W272"/>
  <c r="V268"/>
  <c r="U268"/>
  <c r="S268"/>
  <c r="R268"/>
  <c r="Q268"/>
  <c r="P268"/>
  <c r="O268"/>
  <c r="N268"/>
  <c r="M268"/>
  <c r="L268"/>
  <c r="K268"/>
  <c r="J268"/>
  <c r="I268"/>
  <c r="H268"/>
  <c r="G268"/>
  <c r="F268"/>
  <c r="E268"/>
  <c r="D268"/>
  <c r="C268"/>
  <c r="D258"/>
  <c r="V257"/>
  <c r="V261" i="71" s="1"/>
  <c r="U257" i="68"/>
  <c r="S257"/>
  <c r="S261" i="71" s="1"/>
  <c r="R257" i="68"/>
  <c r="Q257"/>
  <c r="Q261" i="71" s="1"/>
  <c r="P257" i="68"/>
  <c r="O257"/>
  <c r="O261" i="71" s="1"/>
  <c r="N257" i="68"/>
  <c r="M257"/>
  <c r="M261" i="71" s="1"/>
  <c r="L257" i="68"/>
  <c r="K257"/>
  <c r="K261" i="71" s="1"/>
  <c r="J257" i="68"/>
  <c r="I257"/>
  <c r="I261" i="71" s="1"/>
  <c r="H257" i="68"/>
  <c r="G257"/>
  <c r="G261" i="71" s="1"/>
  <c r="F257" i="68"/>
  <c r="E257"/>
  <c r="E261" i="71" s="1"/>
  <c r="V256" i="68"/>
  <c r="U256"/>
  <c r="U260" i="71" s="1"/>
  <c r="S256" i="68"/>
  <c r="R256"/>
  <c r="R260" i="71" s="1"/>
  <c r="Q256" i="68"/>
  <c r="P256"/>
  <c r="P260" i="71" s="1"/>
  <c r="O256" i="68"/>
  <c r="N256"/>
  <c r="N260" i="71" s="1"/>
  <c r="M256" i="68"/>
  <c r="L256"/>
  <c r="L260" i="71" s="1"/>
  <c r="K256" i="68"/>
  <c r="J256"/>
  <c r="J260" i="71" s="1"/>
  <c r="I256" i="68"/>
  <c r="H256"/>
  <c r="H260" i="71" s="1"/>
  <c r="G256" i="68"/>
  <c r="F256"/>
  <c r="F260" i="71" s="1"/>
  <c r="E256" i="68"/>
  <c r="V255"/>
  <c r="V259" i="71" s="1"/>
  <c r="U255" i="68"/>
  <c r="S255"/>
  <c r="S259" i="71" s="1"/>
  <c r="R255" i="68"/>
  <c r="Q255"/>
  <c r="Q259" i="71" s="1"/>
  <c r="P255" i="68"/>
  <c r="O255"/>
  <c r="O259" i="71" s="1"/>
  <c r="N255" i="68"/>
  <c r="M255"/>
  <c r="M259" i="71" s="1"/>
  <c r="L255" i="68"/>
  <c r="K255"/>
  <c r="K259" i="71" s="1"/>
  <c r="J255" i="68"/>
  <c r="I255"/>
  <c r="H255"/>
  <c r="G255"/>
  <c r="G259" i="71" s="1"/>
  <c r="F255" i="68"/>
  <c r="E255"/>
  <c r="E259" i="71" s="1"/>
  <c r="V254" i="68"/>
  <c r="U254"/>
  <c r="U258" i="71" s="1"/>
  <c r="S254" i="68"/>
  <c r="R254"/>
  <c r="Q254"/>
  <c r="P254"/>
  <c r="P258" i="71" s="1"/>
  <c r="O254" i="68"/>
  <c r="N254"/>
  <c r="N258" i="71" s="1"/>
  <c r="M254" i="68"/>
  <c r="L254"/>
  <c r="L258" i="71" s="1"/>
  <c r="K254" i="68"/>
  <c r="J254"/>
  <c r="I254"/>
  <c r="H254"/>
  <c r="H258" i="71" s="1"/>
  <c r="G254" i="68"/>
  <c r="F254"/>
  <c r="F258" i="71" s="1"/>
  <c r="E254" i="68"/>
  <c r="V253"/>
  <c r="V257" i="71" s="1"/>
  <c r="U253" i="68"/>
  <c r="S253"/>
  <c r="R253"/>
  <c r="Q253"/>
  <c r="Q257" i="71" s="1"/>
  <c r="P253" i="68"/>
  <c r="O253"/>
  <c r="O257" i="71" s="1"/>
  <c r="N253" i="68"/>
  <c r="M253"/>
  <c r="M257" i="71" s="1"/>
  <c r="L253" i="68"/>
  <c r="K253"/>
  <c r="J253"/>
  <c r="I253"/>
  <c r="I257" i="71" s="1"/>
  <c r="H253" i="68"/>
  <c r="G253"/>
  <c r="G257" i="71" s="1"/>
  <c r="F253" i="68"/>
  <c r="E253"/>
  <c r="E257" i="71" s="1"/>
  <c r="V252" i="68"/>
  <c r="U252"/>
  <c r="S252"/>
  <c r="R252"/>
  <c r="R256" i="71" s="1"/>
  <c r="Q252" i="68"/>
  <c r="P252"/>
  <c r="P256" i="71" s="1"/>
  <c r="O252" i="68"/>
  <c r="N252"/>
  <c r="N256" i="71" s="1"/>
  <c r="M252" i="68"/>
  <c r="L252"/>
  <c r="K252"/>
  <c r="J252"/>
  <c r="J256" i="71" s="1"/>
  <c r="I252" i="68"/>
  <c r="H252"/>
  <c r="H256" i="71" s="1"/>
  <c r="G252" i="68"/>
  <c r="F252"/>
  <c r="F256" i="71" s="1"/>
  <c r="E252" i="68"/>
  <c r="V251"/>
  <c r="U251"/>
  <c r="S251"/>
  <c r="S255" i="71" s="1"/>
  <c r="R251" i="68"/>
  <c r="Q251"/>
  <c r="Q255" i="71" s="1"/>
  <c r="P251" i="68"/>
  <c r="O251"/>
  <c r="O255" i="71" s="1"/>
  <c r="N251" i="68"/>
  <c r="M251"/>
  <c r="L251"/>
  <c r="K251"/>
  <c r="K255" i="71" s="1"/>
  <c r="J251" i="68"/>
  <c r="I251"/>
  <c r="I255" i="71" s="1"/>
  <c r="H251" i="68"/>
  <c r="G251"/>
  <c r="G255" i="71" s="1"/>
  <c r="F251" i="68"/>
  <c r="E251"/>
  <c r="V250"/>
  <c r="U250"/>
  <c r="U254" i="71" s="1"/>
  <c r="S250" i="68"/>
  <c r="R250"/>
  <c r="R254" i="71" s="1"/>
  <c r="Q250" i="68"/>
  <c r="P250"/>
  <c r="P254" i="71" s="1"/>
  <c r="O250" i="68"/>
  <c r="N250"/>
  <c r="M250"/>
  <c r="L250"/>
  <c r="L254" i="71" s="1"/>
  <c r="K250" i="68"/>
  <c r="J250"/>
  <c r="J254" i="71" s="1"/>
  <c r="I250" i="68"/>
  <c r="H250"/>
  <c r="H254" i="71" s="1"/>
  <c r="G250" i="68"/>
  <c r="F250"/>
  <c r="E250"/>
  <c r="V249"/>
  <c r="V253" i="71" s="1"/>
  <c r="U249" i="68"/>
  <c r="S249"/>
  <c r="S253" i="71" s="1"/>
  <c r="R249" i="68"/>
  <c r="Q249"/>
  <c r="Q253" i="71" s="1"/>
  <c r="P249" i="68"/>
  <c r="O249"/>
  <c r="N249"/>
  <c r="M249"/>
  <c r="M253" i="71" s="1"/>
  <c r="L249" i="68"/>
  <c r="K249"/>
  <c r="K253" i="71" s="1"/>
  <c r="J249" i="68"/>
  <c r="I249"/>
  <c r="I253" i="71"/>
  <c r="H249" i="68"/>
  <c r="G249"/>
  <c r="G253" i="71" s="1"/>
  <c r="F249" i="68"/>
  <c r="E249"/>
  <c r="E253" i="71" s="1"/>
  <c r="V248" i="68"/>
  <c r="U248"/>
  <c r="U252" i="71" s="1"/>
  <c r="S248" i="68"/>
  <c r="R248"/>
  <c r="R252" i="71"/>
  <c r="Q248" i="68"/>
  <c r="P248"/>
  <c r="P252" i="71" s="1"/>
  <c r="O248" i="68"/>
  <c r="N248"/>
  <c r="N252" i="71" s="1"/>
  <c r="M248" i="68"/>
  <c r="L248"/>
  <c r="L252" i="71" s="1"/>
  <c r="K248" i="68"/>
  <c r="J248"/>
  <c r="J252" i="71"/>
  <c r="I248" i="68"/>
  <c r="H248"/>
  <c r="H252" i="71" s="1"/>
  <c r="G248" i="68"/>
  <c r="F248"/>
  <c r="F252" i="71" s="1"/>
  <c r="E248" i="68"/>
  <c r="V247"/>
  <c r="V251" i="71" s="1"/>
  <c r="U247" i="68"/>
  <c r="S247"/>
  <c r="S251" i="71"/>
  <c r="R247" i="68"/>
  <c r="Q247"/>
  <c r="Q251" i="71" s="1"/>
  <c r="P247" i="68"/>
  <c r="O247"/>
  <c r="O251" i="71" s="1"/>
  <c r="N247" i="68"/>
  <c r="M247"/>
  <c r="M251" i="71" s="1"/>
  <c r="L247" i="68"/>
  <c r="K247"/>
  <c r="K251" i="71" s="1"/>
  <c r="J247" i="68"/>
  <c r="I247"/>
  <c r="I251" i="71" s="1"/>
  <c r="H247" i="68"/>
  <c r="G247"/>
  <c r="G251" i="71" s="1"/>
  <c r="F247" i="68"/>
  <c r="E247"/>
  <c r="E251" i="71" s="1"/>
  <c r="V245" i="68"/>
  <c r="U245"/>
  <c r="S245"/>
  <c r="R245"/>
  <c r="Q245"/>
  <c r="P245"/>
  <c r="O245"/>
  <c r="N245"/>
  <c r="M245"/>
  <c r="L245"/>
  <c r="K245"/>
  <c r="J245"/>
  <c r="I245"/>
  <c r="H245"/>
  <c r="G245"/>
  <c r="F245"/>
  <c r="E245"/>
  <c r="V244"/>
  <c r="U244"/>
  <c r="S244"/>
  <c r="R244"/>
  <c r="Q244"/>
  <c r="P244"/>
  <c r="O244"/>
  <c r="N244"/>
  <c r="M244"/>
  <c r="L244"/>
  <c r="K244"/>
  <c r="J244"/>
  <c r="I244"/>
  <c r="H244"/>
  <c r="G244"/>
  <c r="F244"/>
  <c r="E244"/>
  <c r="V242"/>
  <c r="U242"/>
  <c r="S242"/>
  <c r="R242"/>
  <c r="Q242"/>
  <c r="P242"/>
  <c r="O242"/>
  <c r="N242"/>
  <c r="M242"/>
  <c r="L242"/>
  <c r="K242"/>
  <c r="J242"/>
  <c r="I242"/>
  <c r="H242"/>
  <c r="G242"/>
  <c r="F242"/>
  <c r="E242"/>
  <c r="V240"/>
  <c r="V241" i="71"/>
  <c r="U240" i="68"/>
  <c r="U241" i="71"/>
  <c r="S240" i="68"/>
  <c r="S241" i="71"/>
  <c r="R240" i="68"/>
  <c r="R241" i="71" s="1"/>
  <c r="Q240" i="68"/>
  <c r="Q241" i="71" s="1"/>
  <c r="P240" i="68"/>
  <c r="P241" i="71" s="1"/>
  <c r="O240" i="68"/>
  <c r="O241" i="71" s="1"/>
  <c r="N240" i="68"/>
  <c r="N241" i="71" s="1"/>
  <c r="M240" i="68"/>
  <c r="M241" i="71"/>
  <c r="L240" i="68"/>
  <c r="L241" i="71"/>
  <c r="K240" i="68"/>
  <c r="K241" i="71"/>
  <c r="J240" i="68"/>
  <c r="J241" i="71" s="1"/>
  <c r="I240" i="68"/>
  <c r="I241" i="71" s="1"/>
  <c r="H240" i="68"/>
  <c r="H241" i="71" s="1"/>
  <c r="G240" i="68"/>
  <c r="G241" i="71" s="1"/>
  <c r="F240" i="68"/>
  <c r="F241" i="71" s="1"/>
  <c r="E240" i="68"/>
  <c r="E241" i="71" s="1"/>
  <c r="V239" i="68"/>
  <c r="U239"/>
  <c r="U240" i="71" s="1"/>
  <c r="S239" i="68"/>
  <c r="R239"/>
  <c r="R240" i="71"/>
  <c r="Q239" i="68"/>
  <c r="P239"/>
  <c r="P240" i="71" s="1"/>
  <c r="O239" i="68"/>
  <c r="N239"/>
  <c r="N240" i="71" s="1"/>
  <c r="M239" i="68"/>
  <c r="L239"/>
  <c r="L240" i="71" s="1"/>
  <c r="K239" i="68"/>
  <c r="J239"/>
  <c r="J240" i="71"/>
  <c r="I239" i="68"/>
  <c r="H239"/>
  <c r="H240" i="71" s="1"/>
  <c r="G239" i="68"/>
  <c r="F239"/>
  <c r="F240" i="71" s="1"/>
  <c r="E239" i="68"/>
  <c r="E240" i="71" s="1"/>
  <c r="V238" i="68"/>
  <c r="V239" i="71" s="1"/>
  <c r="U238" i="68"/>
  <c r="U239" i="71" s="1"/>
  <c r="S238" i="68"/>
  <c r="S239" i="71" s="1"/>
  <c r="R238" i="68"/>
  <c r="R239" i="71"/>
  <c r="Q238" i="68"/>
  <c r="Q239" i="71" s="1"/>
  <c r="P238" i="68"/>
  <c r="P239" i="71" s="1"/>
  <c r="O238" i="68"/>
  <c r="O239" i="71" s="1"/>
  <c r="N238" i="68"/>
  <c r="N239" i="71" s="1"/>
  <c r="M238" i="68"/>
  <c r="M239" i="71" s="1"/>
  <c r="L238" i="68"/>
  <c r="L239" i="71" s="1"/>
  <c r="K238" i="68"/>
  <c r="K239" i="71" s="1"/>
  <c r="J238" i="68"/>
  <c r="J239" i="71" s="1"/>
  <c r="I238" i="68"/>
  <c r="I239" i="71" s="1"/>
  <c r="H238" i="68"/>
  <c r="H239" i="71" s="1"/>
  <c r="G238" i="68"/>
  <c r="G239" i="71" s="1"/>
  <c r="E238" i="68"/>
  <c r="E239" i="71" s="1"/>
  <c r="V237" i="68"/>
  <c r="V238" i="71" s="1"/>
  <c r="U237" i="68"/>
  <c r="U238" i="71" s="1"/>
  <c r="S237" i="68"/>
  <c r="R237"/>
  <c r="R238" i="71" s="1"/>
  <c r="Q237" i="68"/>
  <c r="Q238" i="71" s="1"/>
  <c r="P237" i="68"/>
  <c r="P238" i="71"/>
  <c r="O237" i="68"/>
  <c r="N237"/>
  <c r="N238" i="71" s="1"/>
  <c r="M237" i="68"/>
  <c r="M238" i="71" s="1"/>
  <c r="L237" i="68"/>
  <c r="L238" i="71" s="1"/>
  <c r="K237" i="68"/>
  <c r="J237"/>
  <c r="J238" i="71" s="1"/>
  <c r="I237" i="68"/>
  <c r="I238" i="71" s="1"/>
  <c r="H237" i="68"/>
  <c r="H238" i="71"/>
  <c r="G237" i="68"/>
  <c r="E237"/>
  <c r="E238" i="71" s="1"/>
  <c r="C237" i="68"/>
  <c r="V236"/>
  <c r="V237" i="71" s="1"/>
  <c r="U236" i="68"/>
  <c r="U237" i="71" s="1"/>
  <c r="S236" i="68"/>
  <c r="S237" i="71" s="1"/>
  <c r="R236" i="68"/>
  <c r="Q236"/>
  <c r="Q237" i="71" s="1"/>
  <c r="P236" i="68"/>
  <c r="P237" i="71" s="1"/>
  <c r="O236" i="68"/>
  <c r="O237" i="71" s="1"/>
  <c r="N236" i="68"/>
  <c r="M236"/>
  <c r="M237" i="71" s="1"/>
  <c r="L236" i="68"/>
  <c r="L237" i="71" s="1"/>
  <c r="K236" i="68"/>
  <c r="K237" i="71" s="1"/>
  <c r="J236" i="68"/>
  <c r="I236"/>
  <c r="I237" i="71" s="1"/>
  <c r="H236" i="68"/>
  <c r="H237" i="71" s="1"/>
  <c r="G236" i="68"/>
  <c r="G237" i="71"/>
  <c r="F236" i="68"/>
  <c r="F237" i="71" s="1"/>
  <c r="E236" i="68"/>
  <c r="E237" i="71" s="1"/>
  <c r="V234" i="68"/>
  <c r="U234"/>
  <c r="U234" i="71" s="1"/>
  <c r="S234" i="68"/>
  <c r="S234" i="71" s="1"/>
  <c r="R234" i="68"/>
  <c r="R234" i="71"/>
  <c r="Q234" i="68"/>
  <c r="P234"/>
  <c r="P234" i="71" s="1"/>
  <c r="O234" i="68"/>
  <c r="O234" i="71" s="1"/>
  <c r="N234" i="68"/>
  <c r="N234" i="71" s="1"/>
  <c r="M234" i="68"/>
  <c r="L234"/>
  <c r="L234" i="71" s="1"/>
  <c r="K234" i="68"/>
  <c r="K234" i="71" s="1"/>
  <c r="J234" i="68"/>
  <c r="J234" i="71" s="1"/>
  <c r="I234" i="68"/>
  <c r="H234"/>
  <c r="H234" i="71" s="1"/>
  <c r="G234" i="68"/>
  <c r="G234" i="71" s="1"/>
  <c r="F234" i="68"/>
  <c r="F234" i="71" s="1"/>
  <c r="E234" i="68"/>
  <c r="V233"/>
  <c r="V233" i="71" s="1"/>
  <c r="U233" i="68"/>
  <c r="U233" i="71" s="1"/>
  <c r="S233" i="68"/>
  <c r="S233" i="71"/>
  <c r="R233" i="68"/>
  <c r="Q233"/>
  <c r="Q233" i="71" s="1"/>
  <c r="P233" i="68"/>
  <c r="P233" i="71" s="1"/>
  <c r="O233" i="68"/>
  <c r="O233" i="71" s="1"/>
  <c r="N233" i="68"/>
  <c r="M233"/>
  <c r="M233" i="71" s="1"/>
  <c r="L233" i="68"/>
  <c r="L233" i="71" s="1"/>
  <c r="K233" i="68"/>
  <c r="K233" i="71"/>
  <c r="J233" i="68"/>
  <c r="I233"/>
  <c r="I233" i="71" s="1"/>
  <c r="H233" i="68"/>
  <c r="H233" i="71" s="1"/>
  <c r="G233" i="68"/>
  <c r="G233" i="71" s="1"/>
  <c r="F233" i="68"/>
  <c r="E233"/>
  <c r="E233" i="71" s="1"/>
  <c r="V232" i="68"/>
  <c r="V232" i="71" s="1"/>
  <c r="U232" i="68"/>
  <c r="U232" i="71"/>
  <c r="S232" i="68"/>
  <c r="R232"/>
  <c r="R232" i="71" s="1"/>
  <c r="Q232" i="68"/>
  <c r="Q232" i="71" s="1"/>
  <c r="P232" i="68"/>
  <c r="P232" i="71" s="1"/>
  <c r="O232" i="68"/>
  <c r="N232"/>
  <c r="N232" i="71" s="1"/>
  <c r="M232" i="68"/>
  <c r="M232" i="71" s="1"/>
  <c r="L232" i="68"/>
  <c r="L232" i="71"/>
  <c r="K232" i="68"/>
  <c r="J232"/>
  <c r="J232" i="71" s="1"/>
  <c r="I232" i="68"/>
  <c r="I232" i="71" s="1"/>
  <c r="H232" i="68"/>
  <c r="H232" i="71" s="1"/>
  <c r="G232" i="68"/>
  <c r="F232"/>
  <c r="F232" i="71" s="1"/>
  <c r="E232" i="68"/>
  <c r="E232" i="71" s="1"/>
  <c r="V231" i="68"/>
  <c r="V231" i="71" s="1"/>
  <c r="U231" i="68"/>
  <c r="S231"/>
  <c r="S231" i="71" s="1"/>
  <c r="R231" i="68"/>
  <c r="R231" i="71" s="1"/>
  <c r="Q231" i="68"/>
  <c r="Q231" i="71" s="1"/>
  <c r="P231" i="68"/>
  <c r="O231"/>
  <c r="O231" i="71" s="1"/>
  <c r="N231" i="68"/>
  <c r="N231" i="71" s="1"/>
  <c r="M231" i="68"/>
  <c r="M231" i="71"/>
  <c r="L231" i="68"/>
  <c r="K231"/>
  <c r="K231" i="71" s="1"/>
  <c r="J231" i="68"/>
  <c r="J231" i="71" s="1"/>
  <c r="I231" i="68"/>
  <c r="I231" i="71" s="1"/>
  <c r="H231" i="68"/>
  <c r="G231"/>
  <c r="G231" i="71" s="1"/>
  <c r="F231" i="68"/>
  <c r="F231" i="71" s="1"/>
  <c r="E231" i="68"/>
  <c r="E231" i="71" s="1"/>
  <c r="C231" i="68"/>
  <c r="C258"/>
  <c r="V230"/>
  <c r="U230"/>
  <c r="U230" i="71" s="1"/>
  <c r="S230" i="68"/>
  <c r="S230" i="71" s="1"/>
  <c r="R230" i="68"/>
  <c r="R230" i="71" s="1"/>
  <c r="Q230" i="68"/>
  <c r="P230"/>
  <c r="P230" i="71" s="1"/>
  <c r="O230" i="68"/>
  <c r="O230" i="71" s="1"/>
  <c r="N230" i="68"/>
  <c r="N230" i="71"/>
  <c r="M230" i="68"/>
  <c r="L230"/>
  <c r="L230" i="71" s="1"/>
  <c r="K230" i="68"/>
  <c r="K230" i="71" s="1"/>
  <c r="J230" i="68"/>
  <c r="J230" i="71" s="1"/>
  <c r="I230" i="68"/>
  <c r="H230"/>
  <c r="H230" i="71" s="1"/>
  <c r="G230" i="68"/>
  <c r="G230" i="71" s="1"/>
  <c r="F230" i="68"/>
  <c r="F230" i="71" s="1"/>
  <c r="E230" i="68"/>
  <c r="V229"/>
  <c r="V229" i="71" s="1"/>
  <c r="U229" i="68"/>
  <c r="U229" i="71" s="1"/>
  <c r="S229" i="68"/>
  <c r="S229" i="71" s="1"/>
  <c r="R229" i="68"/>
  <c r="Q229"/>
  <c r="Q229" i="71" s="1"/>
  <c r="P229" i="68"/>
  <c r="P229" i="71" s="1"/>
  <c r="O229" i="68"/>
  <c r="O229" i="71"/>
  <c r="N229" i="68"/>
  <c r="M229"/>
  <c r="M229" i="71" s="1"/>
  <c r="L229" i="68"/>
  <c r="L229" i="71" s="1"/>
  <c r="K229" i="68"/>
  <c r="K229" i="71" s="1"/>
  <c r="J229" i="68"/>
  <c r="I229"/>
  <c r="I229" i="71" s="1"/>
  <c r="H229" i="68"/>
  <c r="H229" i="71" s="1"/>
  <c r="G229" i="68"/>
  <c r="G229" i="71" s="1"/>
  <c r="F229" i="68"/>
  <c r="E229"/>
  <c r="E229" i="71" s="1"/>
  <c r="V228" i="68"/>
  <c r="V228" i="71" s="1"/>
  <c r="U228" i="68"/>
  <c r="S228"/>
  <c r="R228"/>
  <c r="Q228"/>
  <c r="Q228" i="71" s="1"/>
  <c r="P228" i="68"/>
  <c r="O228"/>
  <c r="N228"/>
  <c r="N228" i="71" s="1"/>
  <c r="M228" i="68"/>
  <c r="M228" i="71" s="1"/>
  <c r="L228" i="68"/>
  <c r="L228" i="71" s="1"/>
  <c r="K228" i="68"/>
  <c r="J228"/>
  <c r="I228"/>
  <c r="I228" i="71" s="1"/>
  <c r="H228" i="68"/>
  <c r="H228" i="71" s="1"/>
  <c r="G228" i="68"/>
  <c r="F228"/>
  <c r="F228" i="71"/>
  <c r="E228" i="68"/>
  <c r="E228" i="71" s="1"/>
  <c r="V227" i="68"/>
  <c r="V227" i="71" s="1"/>
  <c r="U227" i="68"/>
  <c r="S227"/>
  <c r="R227"/>
  <c r="Q227"/>
  <c r="Q227" i="71" s="1"/>
  <c r="P227" i="68"/>
  <c r="O227"/>
  <c r="O227" i="71" s="1"/>
  <c r="N227" i="68"/>
  <c r="M227"/>
  <c r="L227"/>
  <c r="K227"/>
  <c r="J227"/>
  <c r="J227" i="71" s="1"/>
  <c r="I227" i="68"/>
  <c r="H227"/>
  <c r="G227"/>
  <c r="F227"/>
  <c r="F227" i="71" s="1"/>
  <c r="E227" i="68"/>
  <c r="C224"/>
  <c r="D221"/>
  <c r="C221"/>
  <c r="V221"/>
  <c r="U221"/>
  <c r="S221"/>
  <c r="R221"/>
  <c r="Q221"/>
  <c r="P221"/>
  <c r="O221"/>
  <c r="N221"/>
  <c r="M221"/>
  <c r="L221"/>
  <c r="K221"/>
  <c r="J221"/>
  <c r="H221"/>
  <c r="G221"/>
  <c r="F221"/>
  <c r="E221"/>
  <c r="C209"/>
  <c r="C207"/>
  <c r="H210"/>
  <c r="W210"/>
  <c r="C206"/>
  <c r="C210"/>
  <c r="D204"/>
  <c r="C192"/>
  <c r="C189"/>
  <c r="C187"/>
  <c r="C185"/>
  <c r="C184"/>
  <c r="C182"/>
  <c r="C181"/>
  <c r="C180"/>
  <c r="V204"/>
  <c r="U204"/>
  <c r="S204"/>
  <c r="R204"/>
  <c r="Q204"/>
  <c r="P204"/>
  <c r="O204"/>
  <c r="N204"/>
  <c r="M204"/>
  <c r="L204"/>
  <c r="K204"/>
  <c r="J204"/>
  <c r="I204"/>
  <c r="H204"/>
  <c r="G204"/>
  <c r="F204"/>
  <c r="E204"/>
  <c r="C178"/>
  <c r="C204"/>
  <c r="D176"/>
  <c r="C79"/>
  <c r="C63"/>
  <c r="C52"/>
  <c r="V176"/>
  <c r="U176"/>
  <c r="S176"/>
  <c r="R176"/>
  <c r="Q176"/>
  <c r="P176"/>
  <c r="O176"/>
  <c r="N176"/>
  <c r="M176"/>
  <c r="L176"/>
  <c r="K176"/>
  <c r="J176"/>
  <c r="I176"/>
  <c r="H176"/>
  <c r="G176"/>
  <c r="F176"/>
  <c r="E176"/>
  <c r="C51"/>
  <c r="C176"/>
  <c r="D49"/>
  <c r="C46"/>
  <c r="C45"/>
  <c r="C49"/>
  <c r="V49"/>
  <c r="U49"/>
  <c r="S49"/>
  <c r="R49"/>
  <c r="Q49"/>
  <c r="P49"/>
  <c r="O49"/>
  <c r="N49"/>
  <c r="M49"/>
  <c r="L49"/>
  <c r="K49"/>
  <c r="J49"/>
  <c r="I49"/>
  <c r="G49"/>
  <c r="F49"/>
  <c r="E49"/>
  <c r="D38"/>
  <c r="C36"/>
  <c r="C34"/>
  <c r="C33"/>
  <c r="V38"/>
  <c r="U38"/>
  <c r="S38"/>
  <c r="R38"/>
  <c r="Q38"/>
  <c r="P38"/>
  <c r="O38"/>
  <c r="N38"/>
  <c r="L38"/>
  <c r="K38"/>
  <c r="J38"/>
  <c r="I38"/>
  <c r="G38"/>
  <c r="C30"/>
  <c r="C38"/>
  <c r="V28"/>
  <c r="U28"/>
  <c r="S28"/>
  <c r="R28"/>
  <c r="Q28"/>
  <c r="P28"/>
  <c r="O28"/>
  <c r="N28"/>
  <c r="M28"/>
  <c r="L28"/>
  <c r="K28"/>
  <c r="J28"/>
  <c r="I28"/>
  <c r="H28"/>
  <c r="G28"/>
  <c r="F28"/>
  <c r="D28"/>
  <c r="C28"/>
  <c r="V21"/>
  <c r="U21"/>
  <c r="S21"/>
  <c r="R21"/>
  <c r="Q21"/>
  <c r="P21"/>
  <c r="O21"/>
  <c r="N21"/>
  <c r="M21"/>
  <c r="L21"/>
  <c r="K21"/>
  <c r="J21"/>
  <c r="I21"/>
  <c r="H21"/>
  <c r="G21"/>
  <c r="F21"/>
  <c r="E21"/>
  <c r="C21"/>
  <c r="W21"/>
  <c r="I204" i="67"/>
  <c r="S176"/>
  <c r="M176"/>
  <c r="F176"/>
  <c r="H176"/>
  <c r="E176"/>
  <c r="E176" i="21"/>
  <c r="E210"/>
  <c r="H210"/>
  <c r="W210"/>
  <c r="W176"/>
  <c r="E283" i="66"/>
  <c r="E282" i="80" s="1"/>
  <c r="F283" i="66"/>
  <c r="F282" i="80" s="1"/>
  <c r="G283" i="66"/>
  <c r="G282" i="80" s="1"/>
  <c r="H283" i="66"/>
  <c r="H282" i="80" s="1"/>
  <c r="I283" i="66"/>
  <c r="I282" i="80" s="1"/>
  <c r="J283" i="66"/>
  <c r="J282" i="80" s="1"/>
  <c r="K283" i="66"/>
  <c r="K282" i="80" s="1"/>
  <c r="L283" i="66"/>
  <c r="L282" i="80" s="1"/>
  <c r="M283" i="66"/>
  <c r="M282" i="80" s="1"/>
  <c r="N283" i="66"/>
  <c r="N282" i="80" s="1"/>
  <c r="O283" i="66"/>
  <c r="O282" i="80" s="1"/>
  <c r="P283" i="66"/>
  <c r="P282" i="80" s="1"/>
  <c r="Q283" i="66"/>
  <c r="Q282" i="80" s="1"/>
  <c r="R283" i="66"/>
  <c r="R282" i="80" s="1"/>
  <c r="S283" i="66"/>
  <c r="S282" i="80" s="1"/>
  <c r="U283" i="66"/>
  <c r="U282" i="80" s="1"/>
  <c r="V283" i="66"/>
  <c r="V282" i="80" s="1"/>
  <c r="E284" i="66"/>
  <c r="E283" i="80" s="1"/>
  <c r="F284" i="66"/>
  <c r="F283" i="80" s="1"/>
  <c r="G284" i="66"/>
  <c r="G283" i="80" s="1"/>
  <c r="H284" i="66"/>
  <c r="H283" i="80" s="1"/>
  <c r="I284" i="66"/>
  <c r="I283" i="80" s="1"/>
  <c r="J284" i="66"/>
  <c r="J283" i="80" s="1"/>
  <c r="K284" i="66"/>
  <c r="K283" i="80" s="1"/>
  <c r="L284" i="66"/>
  <c r="L283" i="80" s="1"/>
  <c r="M284" i="66"/>
  <c r="M283" i="80" s="1"/>
  <c r="N284" i="66"/>
  <c r="N283" i="80" s="1"/>
  <c r="O284" i="66"/>
  <c r="O283" i="80" s="1"/>
  <c r="P284" i="66"/>
  <c r="P283" i="80" s="1"/>
  <c r="Q284" i="66"/>
  <c r="Q283" i="80" s="1"/>
  <c r="R284" i="66"/>
  <c r="R283" i="80" s="1"/>
  <c r="S284" i="66"/>
  <c r="S283" i="80" s="1"/>
  <c r="U284" i="66"/>
  <c r="U283" i="80" s="1"/>
  <c r="V284" i="66"/>
  <c r="V283" i="80" s="1"/>
  <c r="E285" i="66"/>
  <c r="E284" i="80" s="1"/>
  <c r="F285" i="66"/>
  <c r="F284" i="80" s="1"/>
  <c r="G285" i="66"/>
  <c r="G284" i="80" s="1"/>
  <c r="H285" i="66"/>
  <c r="H284" i="80" s="1"/>
  <c r="I285" i="66"/>
  <c r="I284" i="80" s="1"/>
  <c r="J285" i="66"/>
  <c r="J284" i="80" s="1"/>
  <c r="K285" i="66"/>
  <c r="K284" i="80" s="1"/>
  <c r="L285" i="66"/>
  <c r="L284" i="80" s="1"/>
  <c r="M285" i="66"/>
  <c r="M284" i="80" s="1"/>
  <c r="N285" i="66"/>
  <c r="N284" i="80" s="1"/>
  <c r="O285" i="66"/>
  <c r="O284" i="80" s="1"/>
  <c r="P285" i="66"/>
  <c r="P284" i="80" s="1"/>
  <c r="Q285" i="66"/>
  <c r="Q284" i="80" s="1"/>
  <c r="R285" i="66"/>
  <c r="R284" i="80" s="1"/>
  <c r="S285" i="66"/>
  <c r="S284" i="80" s="1"/>
  <c r="U285" i="66"/>
  <c r="U284" i="80" s="1"/>
  <c r="V285" i="66"/>
  <c r="V284" i="80" s="1"/>
  <c r="E286" i="66"/>
  <c r="E285" i="80" s="1"/>
  <c r="F286" i="66"/>
  <c r="F285" i="80" s="1"/>
  <c r="G286" i="66"/>
  <c r="G285" i="80" s="1"/>
  <c r="H286" i="66"/>
  <c r="H285" i="80" s="1"/>
  <c r="I286" i="66"/>
  <c r="I285" i="80" s="1"/>
  <c r="J286" i="66"/>
  <c r="J285" i="80" s="1"/>
  <c r="K286" i="66"/>
  <c r="K285" i="80" s="1"/>
  <c r="L286" i="66"/>
  <c r="L285" i="80" s="1"/>
  <c r="M286" i="66"/>
  <c r="M285" i="80" s="1"/>
  <c r="N286" i="66"/>
  <c r="N285" i="80" s="1"/>
  <c r="O286" i="66"/>
  <c r="O285" i="80" s="1"/>
  <c r="P286" i="66"/>
  <c r="P285" i="80" s="1"/>
  <c r="Q286" i="66"/>
  <c r="Q285" i="80" s="1"/>
  <c r="R286" i="66"/>
  <c r="R285" i="80" s="1"/>
  <c r="S286" i="66"/>
  <c r="S285" i="80" s="1"/>
  <c r="U286" i="66"/>
  <c r="U285" i="80" s="1"/>
  <c r="V286" i="66"/>
  <c r="V285" i="80" s="1"/>
  <c r="E287" i="66"/>
  <c r="E286" i="80" s="1"/>
  <c r="F287" i="66"/>
  <c r="F286" i="80" s="1"/>
  <c r="G287" i="66"/>
  <c r="G286" i="80" s="1"/>
  <c r="H287" i="66"/>
  <c r="H286" i="80" s="1"/>
  <c r="I287" i="66"/>
  <c r="I286" i="80" s="1"/>
  <c r="J287" i="66"/>
  <c r="J286" i="80" s="1"/>
  <c r="K287" i="66"/>
  <c r="K286" i="80" s="1"/>
  <c r="L287" i="66"/>
  <c r="L286" i="80" s="1"/>
  <c r="M287" i="66"/>
  <c r="M286" i="80" s="1"/>
  <c r="N287" i="66"/>
  <c r="N286" i="80" s="1"/>
  <c r="O287" i="66"/>
  <c r="O286" i="80" s="1"/>
  <c r="P287" i="66"/>
  <c r="P286" i="80" s="1"/>
  <c r="Q287" i="66"/>
  <c r="Q286" i="80" s="1"/>
  <c r="R287" i="66"/>
  <c r="R286" i="80" s="1"/>
  <c r="S287" i="66"/>
  <c r="S286" i="80" s="1"/>
  <c r="U287" i="66"/>
  <c r="U286" i="80" s="1"/>
  <c r="V287" i="66"/>
  <c r="V286" i="80" s="1"/>
  <c r="E288" i="66"/>
  <c r="E287" i="80" s="1"/>
  <c r="F288" i="66"/>
  <c r="F287" i="80" s="1"/>
  <c r="G288" i="66"/>
  <c r="G287" i="80" s="1"/>
  <c r="H288" i="66"/>
  <c r="H287" i="80" s="1"/>
  <c r="I288" i="66"/>
  <c r="I287" i="80" s="1"/>
  <c r="J288" i="66"/>
  <c r="J287" i="80" s="1"/>
  <c r="K288" i="66"/>
  <c r="K287" i="80" s="1"/>
  <c r="L288" i="66"/>
  <c r="L287" i="80" s="1"/>
  <c r="M288" i="66"/>
  <c r="M287" i="80" s="1"/>
  <c r="N288" i="66"/>
  <c r="N287" i="80" s="1"/>
  <c r="O288" i="66"/>
  <c r="O287" i="80" s="1"/>
  <c r="P288" i="66"/>
  <c r="P287" i="80" s="1"/>
  <c r="Q288" i="66"/>
  <c r="Q287" i="80" s="1"/>
  <c r="R288" i="66"/>
  <c r="R287" i="80" s="1"/>
  <c r="S288" i="66"/>
  <c r="S287" i="80" s="1"/>
  <c r="U288" i="66"/>
  <c r="U287" i="80" s="1"/>
  <c r="V288" i="66"/>
  <c r="V287" i="80" s="1"/>
  <c r="E289" i="66"/>
  <c r="E288" i="80" s="1"/>
  <c r="F289" i="66"/>
  <c r="F288" i="80" s="1"/>
  <c r="G289" i="66"/>
  <c r="G288" i="80" s="1"/>
  <c r="H289" i="66"/>
  <c r="H288" i="80" s="1"/>
  <c r="I289" i="66"/>
  <c r="I288" i="80" s="1"/>
  <c r="J289" i="66"/>
  <c r="J288" i="80" s="1"/>
  <c r="K289" i="66"/>
  <c r="K288" i="80" s="1"/>
  <c r="L289" i="66"/>
  <c r="L288" i="80" s="1"/>
  <c r="M289" i="66"/>
  <c r="M288" i="80" s="1"/>
  <c r="N289" i="66"/>
  <c r="N288" i="80" s="1"/>
  <c r="O289" i="66"/>
  <c r="O288" i="80" s="1"/>
  <c r="P289" i="66"/>
  <c r="P288" i="80" s="1"/>
  <c r="Q289" i="66"/>
  <c r="Q288" i="80" s="1"/>
  <c r="R289" i="66"/>
  <c r="R288" i="80" s="1"/>
  <c r="S289" i="66"/>
  <c r="S288" i="80" s="1"/>
  <c r="U289" i="66"/>
  <c r="U288" i="80" s="1"/>
  <c r="V289" i="66"/>
  <c r="V288" i="80" s="1"/>
  <c r="E290" i="66"/>
  <c r="E289" i="80" s="1"/>
  <c r="F290" i="66"/>
  <c r="F289" i="80" s="1"/>
  <c r="G290" i="66"/>
  <c r="G289" i="80" s="1"/>
  <c r="H290" i="66"/>
  <c r="H289" i="80" s="1"/>
  <c r="I290" i="66"/>
  <c r="I289" i="80" s="1"/>
  <c r="J290" i="66"/>
  <c r="J289" i="80" s="1"/>
  <c r="K290" i="66"/>
  <c r="K289" i="80" s="1"/>
  <c r="L290" i="66"/>
  <c r="L289" i="80" s="1"/>
  <c r="M290" i="66"/>
  <c r="M289" i="80" s="1"/>
  <c r="N290" i="66"/>
  <c r="N289" i="80" s="1"/>
  <c r="O290" i="66"/>
  <c r="O289" i="80" s="1"/>
  <c r="P290" i="66"/>
  <c r="P289" i="80" s="1"/>
  <c r="Q290" i="66"/>
  <c r="Q289" i="80" s="1"/>
  <c r="R290" i="66"/>
  <c r="R289" i="80" s="1"/>
  <c r="S290" i="66"/>
  <c r="S289" i="80" s="1"/>
  <c r="U290" i="66"/>
  <c r="U289" i="80" s="1"/>
  <c r="V290" i="66"/>
  <c r="V289" i="80" s="1"/>
  <c r="D284" i="66"/>
  <c r="D283" i="80" s="1"/>
  <c r="D285" i="66"/>
  <c r="D284" i="80" s="1"/>
  <c r="D286" i="66"/>
  <c r="D285" i="80" s="1"/>
  <c r="D287" i="66"/>
  <c r="D286" i="80" s="1"/>
  <c r="D288" i="66"/>
  <c r="D287" i="80" s="1"/>
  <c r="D289" i="66"/>
  <c r="D288" i="80" s="1"/>
  <c r="D290" i="66"/>
  <c r="D289" i="80" s="1"/>
  <c r="D283" i="66"/>
  <c r="D282" i="80" s="1"/>
  <c r="F252" i="66"/>
  <c r="G252"/>
  <c r="H252"/>
  <c r="I252"/>
  <c r="J252"/>
  <c r="K252"/>
  <c r="L252"/>
  <c r="M252"/>
  <c r="N252"/>
  <c r="O252"/>
  <c r="P252"/>
  <c r="Q252"/>
  <c r="R252"/>
  <c r="S252"/>
  <c r="U252"/>
  <c r="V252"/>
  <c r="F253"/>
  <c r="G253"/>
  <c r="H253"/>
  <c r="I253"/>
  <c r="J253"/>
  <c r="K253"/>
  <c r="L253"/>
  <c r="M253"/>
  <c r="N253"/>
  <c r="O253"/>
  <c r="P253"/>
  <c r="Q253"/>
  <c r="R253"/>
  <c r="S253"/>
  <c r="U253"/>
  <c r="V253"/>
  <c r="F254"/>
  <c r="G254"/>
  <c r="H254"/>
  <c r="I254"/>
  <c r="J254"/>
  <c r="K254"/>
  <c r="L254"/>
  <c r="M254"/>
  <c r="N254"/>
  <c r="O254"/>
  <c r="P254"/>
  <c r="Q254"/>
  <c r="R254"/>
  <c r="S254"/>
  <c r="U254"/>
  <c r="V254"/>
  <c r="F255"/>
  <c r="G255"/>
  <c r="H255"/>
  <c r="I255"/>
  <c r="J255"/>
  <c r="K255"/>
  <c r="L255"/>
  <c r="M255"/>
  <c r="N255"/>
  <c r="O255"/>
  <c r="P255"/>
  <c r="Q255"/>
  <c r="R255"/>
  <c r="S255"/>
  <c r="U255"/>
  <c r="V255"/>
  <c r="F256"/>
  <c r="G256"/>
  <c r="H256"/>
  <c r="I256"/>
  <c r="J256"/>
  <c r="K256"/>
  <c r="L256"/>
  <c r="M256"/>
  <c r="N256"/>
  <c r="O256"/>
  <c r="P256"/>
  <c r="Q256"/>
  <c r="R256"/>
  <c r="S256"/>
  <c r="U256"/>
  <c r="V256"/>
  <c r="F257"/>
  <c r="G257"/>
  <c r="H257"/>
  <c r="I257"/>
  <c r="J257"/>
  <c r="K257"/>
  <c r="L257"/>
  <c r="M257"/>
  <c r="N257"/>
  <c r="O257"/>
  <c r="P257"/>
  <c r="Q257"/>
  <c r="R257"/>
  <c r="S257"/>
  <c r="U257"/>
  <c r="V257"/>
  <c r="F258"/>
  <c r="G258"/>
  <c r="H258"/>
  <c r="I258"/>
  <c r="J258"/>
  <c r="K258"/>
  <c r="L258"/>
  <c r="M258"/>
  <c r="N258"/>
  <c r="O258"/>
  <c r="P258"/>
  <c r="Q258"/>
  <c r="R258"/>
  <c r="S258"/>
  <c r="U258"/>
  <c r="V258"/>
  <c r="F259"/>
  <c r="G259"/>
  <c r="H259"/>
  <c r="I259"/>
  <c r="J259"/>
  <c r="K259"/>
  <c r="L259"/>
  <c r="M259"/>
  <c r="N259"/>
  <c r="O259"/>
  <c r="P259"/>
  <c r="Q259"/>
  <c r="R259"/>
  <c r="S259"/>
  <c r="U259"/>
  <c r="V259"/>
  <c r="F260"/>
  <c r="G260"/>
  <c r="H260"/>
  <c r="I260"/>
  <c r="J260"/>
  <c r="K260"/>
  <c r="L260"/>
  <c r="M260"/>
  <c r="N260"/>
  <c r="O260"/>
  <c r="P260"/>
  <c r="Q260"/>
  <c r="R260"/>
  <c r="S260"/>
  <c r="U260"/>
  <c r="V260"/>
  <c r="F261"/>
  <c r="G261"/>
  <c r="H261"/>
  <c r="I261"/>
  <c r="J261"/>
  <c r="K261"/>
  <c r="L261"/>
  <c r="M261"/>
  <c r="N261"/>
  <c r="N260" i="80" s="1"/>
  <c r="O261" i="66"/>
  <c r="P261"/>
  <c r="Q261"/>
  <c r="R261"/>
  <c r="S261"/>
  <c r="U261"/>
  <c r="V261"/>
  <c r="F262"/>
  <c r="G262"/>
  <c r="H262"/>
  <c r="I262"/>
  <c r="J262"/>
  <c r="K262"/>
  <c r="L262"/>
  <c r="M262"/>
  <c r="N262"/>
  <c r="O262"/>
  <c r="P262"/>
  <c r="Q262"/>
  <c r="R262"/>
  <c r="S262"/>
  <c r="U262"/>
  <c r="V262"/>
  <c r="E253"/>
  <c r="E254"/>
  <c r="E255"/>
  <c r="E256"/>
  <c r="E257"/>
  <c r="E258"/>
  <c r="E259"/>
  <c r="E260"/>
  <c r="E261"/>
  <c r="E262"/>
  <c r="E252"/>
  <c r="F248"/>
  <c r="G248"/>
  <c r="H248"/>
  <c r="I248"/>
  <c r="J248"/>
  <c r="K248"/>
  <c r="L248"/>
  <c r="M248"/>
  <c r="N248"/>
  <c r="O248"/>
  <c r="P248"/>
  <c r="Q248"/>
  <c r="R248"/>
  <c r="S248"/>
  <c r="U248"/>
  <c r="V248"/>
  <c r="F249"/>
  <c r="G249"/>
  <c r="H249"/>
  <c r="I249"/>
  <c r="J249"/>
  <c r="K249"/>
  <c r="L249"/>
  <c r="M249"/>
  <c r="N249"/>
  <c r="O249"/>
  <c r="P249"/>
  <c r="Q249"/>
  <c r="R249"/>
  <c r="S249"/>
  <c r="U249"/>
  <c r="V249"/>
  <c r="E249"/>
  <c r="E248"/>
  <c r="F245"/>
  <c r="F244" i="77"/>
  <c r="G245" i="66"/>
  <c r="G244" i="77"/>
  <c r="H245" i="66"/>
  <c r="H244" i="77" s="1"/>
  <c r="I245" i="66"/>
  <c r="I244" i="77" s="1"/>
  <c r="J245" i="66"/>
  <c r="J244" i="77"/>
  <c r="K245" i="66"/>
  <c r="K244" i="77"/>
  <c r="L245" i="66"/>
  <c r="L244" i="77" s="1"/>
  <c r="M245" i="66"/>
  <c r="M244" i="77" s="1"/>
  <c r="N245" i="66"/>
  <c r="N244" i="77"/>
  <c r="O245" i="66"/>
  <c r="O244" i="77"/>
  <c r="P245" i="66"/>
  <c r="P244" i="77" s="1"/>
  <c r="Q245" i="66"/>
  <c r="Q244" i="77" s="1"/>
  <c r="R245" i="66"/>
  <c r="R244" i="77"/>
  <c r="S245" i="66"/>
  <c r="S244" i="77"/>
  <c r="U245" i="66"/>
  <c r="T244" i="77" s="1"/>
  <c r="V245" i="66"/>
  <c r="U244" i="77" s="1"/>
  <c r="E245" i="66"/>
  <c r="E244" i="77"/>
  <c r="F238" i="66"/>
  <c r="G238"/>
  <c r="H238"/>
  <c r="I238"/>
  <c r="J238"/>
  <c r="K238"/>
  <c r="L238"/>
  <c r="M238"/>
  <c r="N238"/>
  <c r="O238"/>
  <c r="P238"/>
  <c r="Q238"/>
  <c r="R238"/>
  <c r="S238"/>
  <c r="U238"/>
  <c r="V238"/>
  <c r="F239"/>
  <c r="G239"/>
  <c r="H239"/>
  <c r="H238" i="80" s="1"/>
  <c r="I239" i="66"/>
  <c r="J239"/>
  <c r="K239"/>
  <c r="L239"/>
  <c r="M239"/>
  <c r="N239"/>
  <c r="O239"/>
  <c r="P239"/>
  <c r="Q239"/>
  <c r="R239"/>
  <c r="S239"/>
  <c r="U239"/>
  <c r="V239"/>
  <c r="F240"/>
  <c r="G240"/>
  <c r="H240"/>
  <c r="H239" i="80" s="1"/>
  <c r="I240" i="66"/>
  <c r="J240"/>
  <c r="K240"/>
  <c r="L240"/>
  <c r="M240"/>
  <c r="N240"/>
  <c r="O240"/>
  <c r="P240"/>
  <c r="Q240"/>
  <c r="R240"/>
  <c r="S240"/>
  <c r="U240"/>
  <c r="V240"/>
  <c r="F241"/>
  <c r="G241"/>
  <c r="H241"/>
  <c r="H240" i="80" s="1"/>
  <c r="I241" i="66"/>
  <c r="J241"/>
  <c r="K241"/>
  <c r="L241"/>
  <c r="M241"/>
  <c r="N241"/>
  <c r="O241"/>
  <c r="P241"/>
  <c r="Q241"/>
  <c r="R241"/>
  <c r="S241"/>
  <c r="U241"/>
  <c r="V241"/>
  <c r="F242"/>
  <c r="G242"/>
  <c r="H242"/>
  <c r="I242"/>
  <c r="J242"/>
  <c r="K242"/>
  <c r="L242"/>
  <c r="M242"/>
  <c r="N242"/>
  <c r="O242"/>
  <c r="P242"/>
  <c r="Q242"/>
  <c r="R242"/>
  <c r="S242"/>
  <c r="U242"/>
  <c r="V242"/>
  <c r="E239"/>
  <c r="E240"/>
  <c r="E241"/>
  <c r="E242"/>
  <c r="E238"/>
  <c r="F228"/>
  <c r="G228"/>
  <c r="H228"/>
  <c r="I228"/>
  <c r="J228"/>
  <c r="K228"/>
  <c r="L228"/>
  <c r="M228"/>
  <c r="N228"/>
  <c r="O228"/>
  <c r="P228"/>
  <c r="Q228"/>
  <c r="R228"/>
  <c r="S228"/>
  <c r="U228"/>
  <c r="V228"/>
  <c r="F229"/>
  <c r="G229"/>
  <c r="H229"/>
  <c r="I229"/>
  <c r="J229"/>
  <c r="K229"/>
  <c r="L229"/>
  <c r="M229"/>
  <c r="N229"/>
  <c r="O229"/>
  <c r="P229"/>
  <c r="Q229"/>
  <c r="R229"/>
  <c r="S229"/>
  <c r="U229"/>
  <c r="V229"/>
  <c r="F230"/>
  <c r="G230"/>
  <c r="H230"/>
  <c r="I230"/>
  <c r="J230"/>
  <c r="K230"/>
  <c r="L230"/>
  <c r="M230"/>
  <c r="N230"/>
  <c r="O230"/>
  <c r="P230"/>
  <c r="Q230"/>
  <c r="R230"/>
  <c r="S230"/>
  <c r="U230"/>
  <c r="V230"/>
  <c r="F231"/>
  <c r="G231"/>
  <c r="H231"/>
  <c r="I231"/>
  <c r="J231"/>
  <c r="K231"/>
  <c r="L231"/>
  <c r="M231"/>
  <c r="N231"/>
  <c r="O231"/>
  <c r="P231"/>
  <c r="Q231"/>
  <c r="R231"/>
  <c r="S231"/>
  <c r="U231"/>
  <c r="V231"/>
  <c r="F232"/>
  <c r="G232"/>
  <c r="H232"/>
  <c r="I232"/>
  <c r="J232"/>
  <c r="K232"/>
  <c r="L232"/>
  <c r="M232"/>
  <c r="N232"/>
  <c r="O232"/>
  <c r="P232"/>
  <c r="Q232"/>
  <c r="R232"/>
  <c r="S232"/>
  <c r="U232"/>
  <c r="V232"/>
  <c r="F233"/>
  <c r="G233"/>
  <c r="H233"/>
  <c r="I233"/>
  <c r="J233"/>
  <c r="K233"/>
  <c r="L233"/>
  <c r="M233"/>
  <c r="N233"/>
  <c r="O233"/>
  <c r="P233"/>
  <c r="Q233"/>
  <c r="R233"/>
  <c r="S233"/>
  <c r="U233"/>
  <c r="V233"/>
  <c r="F234"/>
  <c r="G234"/>
  <c r="H234"/>
  <c r="I234"/>
  <c r="J234"/>
  <c r="K234"/>
  <c r="L234"/>
  <c r="M234"/>
  <c r="N234"/>
  <c r="O234"/>
  <c r="P234"/>
  <c r="Q234"/>
  <c r="R234"/>
  <c r="S234"/>
  <c r="U234"/>
  <c r="V234"/>
  <c r="F235"/>
  <c r="G235"/>
  <c r="H235"/>
  <c r="I235"/>
  <c r="J235"/>
  <c r="K235"/>
  <c r="L235"/>
  <c r="M235"/>
  <c r="N235"/>
  <c r="O235"/>
  <c r="P235"/>
  <c r="Q235"/>
  <c r="R235"/>
  <c r="S235"/>
  <c r="U235"/>
  <c r="V235"/>
  <c r="E229"/>
  <c r="E230"/>
  <c r="E231"/>
  <c r="E232"/>
  <c r="E233"/>
  <c r="E234"/>
  <c r="E235"/>
  <c r="E228"/>
  <c r="F213"/>
  <c r="F212" i="80" s="1"/>
  <c r="G213" i="66"/>
  <c r="G212" i="80" s="1"/>
  <c r="H213" i="66"/>
  <c r="H212" i="80" s="1"/>
  <c r="I213" i="66"/>
  <c r="I212" i="80" s="1"/>
  <c r="I212" i="77"/>
  <c r="J213" i="66"/>
  <c r="J212" i="80" s="1"/>
  <c r="J212" i="77"/>
  <c r="K213" i="66"/>
  <c r="K212" i="80" s="1"/>
  <c r="L213" i="66"/>
  <c r="L212" i="80" s="1"/>
  <c r="M213" i="66"/>
  <c r="M212" i="80" s="1"/>
  <c r="N213" i="66"/>
  <c r="N212" i="80" s="1"/>
  <c r="O213" i="66"/>
  <c r="O212" i="80" s="1"/>
  <c r="P213" i="66"/>
  <c r="P212" i="80" s="1"/>
  <c r="Q213" i="66"/>
  <c r="Q212" i="80" s="1"/>
  <c r="R213" i="66"/>
  <c r="R212" i="80" s="1"/>
  <c r="S213" i="66"/>
  <c r="S212" i="80" s="1"/>
  <c r="U213" i="66"/>
  <c r="U212" i="80" s="1"/>
  <c r="V213" i="66"/>
  <c r="V212" i="80" s="1"/>
  <c r="F214" i="66"/>
  <c r="F213" i="80" s="1"/>
  <c r="G214" i="66"/>
  <c r="G213" i="80" s="1"/>
  <c r="H214" i="66"/>
  <c r="H213" i="80" s="1"/>
  <c r="I214" i="66"/>
  <c r="I213" i="80" s="1"/>
  <c r="J214" i="66"/>
  <c r="J213" i="80" s="1"/>
  <c r="J213" i="77"/>
  <c r="K214" i="66"/>
  <c r="K213" i="80" s="1"/>
  <c r="L214" i="66"/>
  <c r="L213" i="80" s="1"/>
  <c r="M214" i="66"/>
  <c r="M213" i="80" s="1"/>
  <c r="N214" i="66"/>
  <c r="N213" i="80" s="1"/>
  <c r="O214" i="66"/>
  <c r="O213" i="80" s="1"/>
  <c r="P214" i="66"/>
  <c r="P213" i="80" s="1"/>
  <c r="Q214" i="66"/>
  <c r="Q213" i="80" s="1"/>
  <c r="R214" i="66"/>
  <c r="R213" i="80" s="1"/>
  <c r="S214" i="66"/>
  <c r="S213" i="80" s="1"/>
  <c r="U214" i="66"/>
  <c r="U213" i="80" s="1"/>
  <c r="V214" i="66"/>
  <c r="V213" i="80" s="1"/>
  <c r="F215" i="66"/>
  <c r="F214" i="80" s="1"/>
  <c r="G215" i="66"/>
  <c r="G214" i="80" s="1"/>
  <c r="H215" i="66"/>
  <c r="H214" i="80" s="1"/>
  <c r="I215" i="66"/>
  <c r="I214" i="80" s="1"/>
  <c r="J215" i="66"/>
  <c r="J214" i="80" s="1"/>
  <c r="K215" i="66"/>
  <c r="K214" i="80" s="1"/>
  <c r="L215" i="66"/>
  <c r="L214" i="80" s="1"/>
  <c r="M215" i="66"/>
  <c r="M214" i="80" s="1"/>
  <c r="N215" i="66"/>
  <c r="N214" i="80" s="1"/>
  <c r="O215" i="66"/>
  <c r="O214" i="80" s="1"/>
  <c r="P215" i="66"/>
  <c r="P214" i="80" s="1"/>
  <c r="Q215" i="66"/>
  <c r="Q214" i="80" s="1"/>
  <c r="R215" i="66"/>
  <c r="R214" i="80" s="1"/>
  <c r="S215" i="66"/>
  <c r="S214" i="80" s="1"/>
  <c r="U215" i="66"/>
  <c r="U214" i="80" s="1"/>
  <c r="V215" i="66"/>
  <c r="V214" i="80" s="1"/>
  <c r="F216" i="66"/>
  <c r="F215" i="80" s="1"/>
  <c r="G216" i="66"/>
  <c r="G215" i="80" s="1"/>
  <c r="H216" i="66"/>
  <c r="H215" i="80" s="1"/>
  <c r="I216" i="66"/>
  <c r="I215" i="80" s="1"/>
  <c r="J216" i="66"/>
  <c r="J215" i="80" s="1"/>
  <c r="K216" i="66"/>
  <c r="K215" i="80" s="1"/>
  <c r="L216" i="66"/>
  <c r="L215" i="80" s="1"/>
  <c r="M216" i="66"/>
  <c r="M215" i="80" s="1"/>
  <c r="N216" i="66"/>
  <c r="N215" i="80" s="1"/>
  <c r="O216" i="66"/>
  <c r="O215" i="80" s="1"/>
  <c r="P216" i="66"/>
  <c r="P215" i="80" s="1"/>
  <c r="Q216" i="66"/>
  <c r="Q215" i="80" s="1"/>
  <c r="R216" i="66"/>
  <c r="R215" i="80" s="1"/>
  <c r="S216" i="66"/>
  <c r="S215" i="80" s="1"/>
  <c r="U216" i="66"/>
  <c r="U215" i="80" s="1"/>
  <c r="V216" i="66"/>
  <c r="V215" i="80" s="1"/>
  <c r="E214" i="66"/>
  <c r="E213" i="80" s="1"/>
  <c r="E215" i="66"/>
  <c r="E214" i="80" s="1"/>
  <c r="E216" i="66"/>
  <c r="E215" i="80" s="1"/>
  <c r="E213" i="66"/>
  <c r="E212" i="80" s="1"/>
  <c r="F207" i="66"/>
  <c r="F206" i="80" s="1"/>
  <c r="G207" i="66"/>
  <c r="G206" i="80" s="1"/>
  <c r="G206" i="77"/>
  <c r="H207" i="66"/>
  <c r="I207"/>
  <c r="I206" i="77" s="1"/>
  <c r="I206" i="80" s="1"/>
  <c r="J207" i="66"/>
  <c r="K207"/>
  <c r="L207"/>
  <c r="M207"/>
  <c r="N207"/>
  <c r="O207"/>
  <c r="P207"/>
  <c r="Q207"/>
  <c r="R207"/>
  <c r="S207"/>
  <c r="U207"/>
  <c r="V207"/>
  <c r="F208"/>
  <c r="G208"/>
  <c r="G207" i="80" s="1"/>
  <c r="H208" i="66"/>
  <c r="I208"/>
  <c r="I207" i="77" s="1"/>
  <c r="I207" i="80" s="1"/>
  <c r="J208" i="66"/>
  <c r="K208"/>
  <c r="L208"/>
  <c r="M208"/>
  <c r="N208"/>
  <c r="O208"/>
  <c r="P208"/>
  <c r="Q208"/>
  <c r="R208"/>
  <c r="S208"/>
  <c r="U208"/>
  <c r="V208"/>
  <c r="F209"/>
  <c r="F208" i="80" s="1"/>
  <c r="G209" i="66"/>
  <c r="G208" i="80" s="1"/>
  <c r="H209" i="66"/>
  <c r="I209"/>
  <c r="I208" i="77"/>
  <c r="I208" i="80" s="1"/>
  <c r="J209" i="66"/>
  <c r="K209"/>
  <c r="L209"/>
  <c r="M209"/>
  <c r="N209"/>
  <c r="O209"/>
  <c r="P209"/>
  <c r="Q209"/>
  <c r="R209"/>
  <c r="S209"/>
  <c r="U209"/>
  <c r="V209"/>
  <c r="F210"/>
  <c r="F209" i="80" s="1"/>
  <c r="G210" i="66"/>
  <c r="G209" i="80" s="1"/>
  <c r="H210" i="66"/>
  <c r="H209" i="77" s="1"/>
  <c r="I210" i="66"/>
  <c r="I209" i="77" s="1"/>
  <c r="I209" i="80" s="1"/>
  <c r="J210" i="66"/>
  <c r="K210"/>
  <c r="L210"/>
  <c r="M210"/>
  <c r="N210"/>
  <c r="O210"/>
  <c r="P210"/>
  <c r="Q210"/>
  <c r="R210"/>
  <c r="S210"/>
  <c r="U210"/>
  <c r="V210"/>
  <c r="E208"/>
  <c r="E207" i="80" s="1"/>
  <c r="D208" i="81"/>
  <c r="E209" i="66"/>
  <c r="E208" i="80" s="1"/>
  <c r="E210" i="66"/>
  <c r="E209" i="80" s="1"/>
  <c r="E207" i="66"/>
  <c r="E206" i="80" s="1"/>
  <c r="D207" i="81"/>
  <c r="F179" i="66"/>
  <c r="F178" i="80" s="1"/>
  <c r="F178" i="77"/>
  <c r="G179" i="66"/>
  <c r="G178" i="77"/>
  <c r="H179" i="66"/>
  <c r="H178" i="80" s="1"/>
  <c r="H178" i="77"/>
  <c r="I179" i="66"/>
  <c r="I178" i="77"/>
  <c r="J179" i="66"/>
  <c r="J178" i="80" s="1"/>
  <c r="J178" i="77"/>
  <c r="K179" i="66"/>
  <c r="K178" i="77"/>
  <c r="L179" i="66"/>
  <c r="L178" i="80" s="1"/>
  <c r="L178" i="77"/>
  <c r="M179" i="66"/>
  <c r="M178" i="77"/>
  <c r="N179" i="66"/>
  <c r="N178" i="80" s="1"/>
  <c r="N178" i="77"/>
  <c r="O179" i="66"/>
  <c r="O178" i="77"/>
  <c r="P179" i="66"/>
  <c r="P178" i="80" s="1"/>
  <c r="P178" i="77"/>
  <c r="Q179" i="66"/>
  <c r="Q178" i="77"/>
  <c r="R179" i="66"/>
  <c r="R178" i="80" s="1"/>
  <c r="R178" i="77"/>
  <c r="S179" i="66"/>
  <c r="S178" i="77"/>
  <c r="U179" i="66"/>
  <c r="U178" i="80" s="1"/>
  <c r="T178" i="77"/>
  <c r="V179" i="66"/>
  <c r="U178" i="77"/>
  <c r="F180" i="66"/>
  <c r="F179" i="80" s="1"/>
  <c r="F179" i="77"/>
  <c r="G180" i="66"/>
  <c r="G179" i="80" s="1"/>
  <c r="G179" i="77"/>
  <c r="H180" i="66"/>
  <c r="H179" i="80" s="1"/>
  <c r="H179" i="77"/>
  <c r="I180" i="66"/>
  <c r="I179" i="80" s="1"/>
  <c r="I179" i="77"/>
  <c r="J180" i="66"/>
  <c r="J179" i="80" s="1"/>
  <c r="J179" i="77"/>
  <c r="K180" i="66"/>
  <c r="K179" i="80" s="1"/>
  <c r="K179" i="77"/>
  <c r="L180" i="66"/>
  <c r="L179" i="80" s="1"/>
  <c r="L179" i="77"/>
  <c r="M180" i="66"/>
  <c r="M179" i="80" s="1"/>
  <c r="M179" i="77"/>
  <c r="N180" i="66"/>
  <c r="N179" i="80" s="1"/>
  <c r="N179" i="77"/>
  <c r="O180" i="66"/>
  <c r="O179" i="80" s="1"/>
  <c r="O179" i="77"/>
  <c r="P180" i="66"/>
  <c r="P179" i="80" s="1"/>
  <c r="P179" i="77"/>
  <c r="Q180" i="66"/>
  <c r="Q179" i="80" s="1"/>
  <c r="Q179" i="77"/>
  <c r="R180" i="66"/>
  <c r="R179" i="80" s="1"/>
  <c r="R179" i="77"/>
  <c r="S180" i="66"/>
  <c r="S179" i="80" s="1"/>
  <c r="S179" i="77"/>
  <c r="U180" i="66"/>
  <c r="U179" i="80" s="1"/>
  <c r="T179" i="77"/>
  <c r="V180" i="66"/>
  <c r="V179" i="80" s="1"/>
  <c r="U179" i="77"/>
  <c r="F181" i="66"/>
  <c r="F180" i="80" s="1"/>
  <c r="F180" i="77"/>
  <c r="G181" i="66"/>
  <c r="G180" i="80" s="1"/>
  <c r="G180" i="77"/>
  <c r="H181" i="66"/>
  <c r="H180" i="80" s="1"/>
  <c r="H180" i="77"/>
  <c r="I181" i="66"/>
  <c r="I180" i="80" s="1"/>
  <c r="I180" i="77"/>
  <c r="J181" i="66"/>
  <c r="J180" i="80" s="1"/>
  <c r="J180" i="77"/>
  <c r="K181" i="66"/>
  <c r="K180" i="80" s="1"/>
  <c r="K180" i="77"/>
  <c r="L181" i="66"/>
  <c r="L180" i="80" s="1"/>
  <c r="L180" i="77"/>
  <c r="M181" i="66"/>
  <c r="M180" i="80" s="1"/>
  <c r="M180" i="77"/>
  <c r="N181" i="66"/>
  <c r="N180" i="80" s="1"/>
  <c r="N180" i="77"/>
  <c r="O181" i="66"/>
  <c r="O180" i="80" s="1"/>
  <c r="O180" i="77"/>
  <c r="P181" i="66"/>
  <c r="P180" i="80" s="1"/>
  <c r="P180" i="77"/>
  <c r="Q181" i="66"/>
  <c r="Q180" i="80" s="1"/>
  <c r="Q180" i="77"/>
  <c r="R181" i="66"/>
  <c r="R180" i="80" s="1"/>
  <c r="R180" i="77"/>
  <c r="S181" i="66"/>
  <c r="S180" i="80" s="1"/>
  <c r="S180" i="77"/>
  <c r="U181" i="66"/>
  <c r="U180" i="80" s="1"/>
  <c r="T180" i="77"/>
  <c r="V181" i="66"/>
  <c r="V180" i="80" s="1"/>
  <c r="U180" i="77"/>
  <c r="F182" i="66"/>
  <c r="F181" i="80" s="1"/>
  <c r="F181" i="77"/>
  <c r="G182" i="66"/>
  <c r="G181" i="80" s="1"/>
  <c r="G181" i="77"/>
  <c r="H182" i="66"/>
  <c r="H181" i="80" s="1"/>
  <c r="H181" i="77"/>
  <c r="I182" i="66"/>
  <c r="I181" i="77"/>
  <c r="J182" i="66"/>
  <c r="J181" i="80" s="1"/>
  <c r="J181" i="77"/>
  <c r="K182" i="66"/>
  <c r="K181" i="80" s="1"/>
  <c r="K181" i="77"/>
  <c r="L182" i="66"/>
  <c r="L181" i="80" s="1"/>
  <c r="L181" i="77"/>
  <c r="M182" i="66"/>
  <c r="M181" i="80" s="1"/>
  <c r="M181" i="77"/>
  <c r="N182" i="66"/>
  <c r="N181" i="80" s="1"/>
  <c r="N181" i="77"/>
  <c r="O182" i="66"/>
  <c r="O181" i="80" s="1"/>
  <c r="O181" i="77"/>
  <c r="P182" i="66"/>
  <c r="P181" i="80" s="1"/>
  <c r="P181" i="77"/>
  <c r="Q182" i="66"/>
  <c r="Q181" i="80" s="1"/>
  <c r="Q181" i="77"/>
  <c r="R182" i="66"/>
  <c r="R181" i="80" s="1"/>
  <c r="R181" i="77"/>
  <c r="S182" i="66"/>
  <c r="S181" i="80" s="1"/>
  <c r="S181" i="77"/>
  <c r="U182" i="66"/>
  <c r="U181" i="80" s="1"/>
  <c r="T181" i="77"/>
  <c r="V182" i="66"/>
  <c r="V181" i="80" s="1"/>
  <c r="U181" i="77"/>
  <c r="F183" i="66"/>
  <c r="F182" i="80" s="1"/>
  <c r="F182" i="77"/>
  <c r="G183" i="66"/>
  <c r="G182" i="80" s="1"/>
  <c r="G182" i="77"/>
  <c r="H183" i="66"/>
  <c r="H182" i="80" s="1"/>
  <c r="H182" i="77"/>
  <c r="I183" i="66"/>
  <c r="I182" i="80" s="1"/>
  <c r="I182" i="77"/>
  <c r="J183" i="66"/>
  <c r="J182" i="80" s="1"/>
  <c r="J182" i="77"/>
  <c r="K183" i="66"/>
  <c r="K182" i="80" s="1"/>
  <c r="K182" i="77"/>
  <c r="L183" i="66"/>
  <c r="L182" i="80" s="1"/>
  <c r="L182" i="77"/>
  <c r="M183" i="66"/>
  <c r="M182" i="80" s="1"/>
  <c r="M182" i="77"/>
  <c r="N183" i="66"/>
  <c r="N182" i="80" s="1"/>
  <c r="N182" i="77"/>
  <c r="O183" i="66"/>
  <c r="O182" i="80" s="1"/>
  <c r="O182" i="77"/>
  <c r="P183" i="66"/>
  <c r="P182" i="80" s="1"/>
  <c r="P182" i="77"/>
  <c r="Q183" i="66"/>
  <c r="Q182" i="80" s="1"/>
  <c r="Q182" i="77"/>
  <c r="R183" i="66"/>
  <c r="R182" i="80" s="1"/>
  <c r="R182" i="77"/>
  <c r="S183" i="66"/>
  <c r="S182" i="80" s="1"/>
  <c r="S182" i="77"/>
  <c r="U183" i="66"/>
  <c r="U182" i="80" s="1"/>
  <c r="T182" i="77"/>
  <c r="V183" i="66"/>
  <c r="V182" i="80" s="1"/>
  <c r="U182" i="77"/>
  <c r="F184" i="66"/>
  <c r="F183" i="80" s="1"/>
  <c r="F183" i="77"/>
  <c r="G184" i="66"/>
  <c r="G183" i="80" s="1"/>
  <c r="G183" i="77"/>
  <c r="H184" i="66"/>
  <c r="H183" i="80" s="1"/>
  <c r="H183" i="77"/>
  <c r="I184" i="66"/>
  <c r="I183" i="80" s="1"/>
  <c r="I183" i="77"/>
  <c r="J184" i="66"/>
  <c r="J183" i="80" s="1"/>
  <c r="J183" i="77"/>
  <c r="K184" i="66"/>
  <c r="K183" i="80" s="1"/>
  <c r="K183" i="77"/>
  <c r="L184" i="66"/>
  <c r="L183" i="80" s="1"/>
  <c r="L183" i="77"/>
  <c r="M184" i="66"/>
  <c r="M183" i="80" s="1"/>
  <c r="M183" i="77"/>
  <c r="N184" i="66"/>
  <c r="N183" i="80" s="1"/>
  <c r="N183" i="77"/>
  <c r="O184" i="66"/>
  <c r="O183" i="80" s="1"/>
  <c r="O183" i="77"/>
  <c r="P184" i="66"/>
  <c r="P183" i="80" s="1"/>
  <c r="P183" i="77"/>
  <c r="Q184" i="66"/>
  <c r="Q183" i="80" s="1"/>
  <c r="Q183" i="77"/>
  <c r="R184" i="66"/>
  <c r="R183" i="80" s="1"/>
  <c r="R183" i="77"/>
  <c r="S184" i="66"/>
  <c r="S183" i="80" s="1"/>
  <c r="S183" i="77"/>
  <c r="U184" i="66"/>
  <c r="U183" i="80" s="1"/>
  <c r="T183" i="77"/>
  <c r="V184" i="66"/>
  <c r="V183" i="80" s="1"/>
  <c r="U183" i="77"/>
  <c r="F185" i="66"/>
  <c r="F184" i="80" s="1"/>
  <c r="F184" i="77"/>
  <c r="G185" i="66"/>
  <c r="G184" i="80" s="1"/>
  <c r="G184" i="77"/>
  <c r="H185" i="66"/>
  <c r="H184" i="80" s="1"/>
  <c r="H184" i="77"/>
  <c r="I185" i="66"/>
  <c r="I184" i="80" s="1"/>
  <c r="I184" i="77"/>
  <c r="J185" i="66"/>
  <c r="J184" i="80" s="1"/>
  <c r="J184" i="77"/>
  <c r="K185" i="66"/>
  <c r="K184" i="80" s="1"/>
  <c r="K184" i="77"/>
  <c r="L185" i="66"/>
  <c r="L184" i="80" s="1"/>
  <c r="L184" i="77"/>
  <c r="M185" i="66"/>
  <c r="M184" i="80" s="1"/>
  <c r="M184" i="77"/>
  <c r="N185" i="66"/>
  <c r="N184" i="80" s="1"/>
  <c r="N184" i="77"/>
  <c r="O185" i="66"/>
  <c r="O184" i="80" s="1"/>
  <c r="O184" i="77"/>
  <c r="P185" i="66"/>
  <c r="P184" i="80" s="1"/>
  <c r="P184" i="77"/>
  <c r="Q185" i="66"/>
  <c r="Q184" i="80" s="1"/>
  <c r="Q184" i="77"/>
  <c r="R185" i="66"/>
  <c r="R184" i="80" s="1"/>
  <c r="R184" i="77"/>
  <c r="S185" i="66"/>
  <c r="S184" i="80" s="1"/>
  <c r="S184" i="77"/>
  <c r="U185" i="66"/>
  <c r="U184" i="80" s="1"/>
  <c r="T184" i="77"/>
  <c r="V185" i="66"/>
  <c r="V184" i="80" s="1"/>
  <c r="U184" i="77"/>
  <c r="F186" i="66"/>
  <c r="F185" i="80" s="1"/>
  <c r="F185" i="77"/>
  <c r="G186" i="66"/>
  <c r="G185" i="80" s="1"/>
  <c r="G185" i="77"/>
  <c r="H186" i="66"/>
  <c r="H185" i="80" s="1"/>
  <c r="H185" i="77"/>
  <c r="I186" i="66"/>
  <c r="I185" i="77" s="1"/>
  <c r="J186" i="66"/>
  <c r="J185" i="80" s="1"/>
  <c r="K186" i="66"/>
  <c r="K185" i="80" s="1"/>
  <c r="L186" i="66"/>
  <c r="L185" i="80" s="1"/>
  <c r="M186" i="66"/>
  <c r="M185" i="80" s="1"/>
  <c r="N186" i="66"/>
  <c r="N185" i="80" s="1"/>
  <c r="O186" i="66"/>
  <c r="O185" i="80" s="1"/>
  <c r="P186" i="66"/>
  <c r="P185" i="80" s="1"/>
  <c r="Q186" i="66"/>
  <c r="Q185" i="80" s="1"/>
  <c r="R186" i="66"/>
  <c r="R185" i="80" s="1"/>
  <c r="S186" i="66"/>
  <c r="S185" i="80" s="1"/>
  <c r="U186" i="66"/>
  <c r="U185" i="80" s="1"/>
  <c r="V186" i="66"/>
  <c r="V185" i="80" s="1"/>
  <c r="F187" i="66"/>
  <c r="F186" i="80" s="1"/>
  <c r="G187" i="66"/>
  <c r="G186" i="80" s="1"/>
  <c r="H187" i="66"/>
  <c r="H186" i="80" s="1"/>
  <c r="I187" i="66"/>
  <c r="I186" i="80" s="1"/>
  <c r="J187" i="66"/>
  <c r="J186" i="80" s="1"/>
  <c r="K187" i="66"/>
  <c r="K186" i="80" s="1"/>
  <c r="L187" i="66"/>
  <c r="L186" i="80" s="1"/>
  <c r="M187" i="66"/>
  <c r="M186" i="80" s="1"/>
  <c r="N187" i="66"/>
  <c r="N186" i="80" s="1"/>
  <c r="O187" i="66"/>
  <c r="O186" i="80" s="1"/>
  <c r="P187" i="66"/>
  <c r="P186" i="80" s="1"/>
  <c r="Q187" i="66"/>
  <c r="Q186" i="80" s="1"/>
  <c r="R187" i="66"/>
  <c r="R186" i="80" s="1"/>
  <c r="S187" i="66"/>
  <c r="S186" i="80" s="1"/>
  <c r="U187" i="66"/>
  <c r="U186" i="80" s="1"/>
  <c r="V187" i="66"/>
  <c r="V186" i="80" s="1"/>
  <c r="F188" i="66"/>
  <c r="F187" i="80" s="1"/>
  <c r="G188" i="66"/>
  <c r="G187" i="80" s="1"/>
  <c r="H188" i="66"/>
  <c r="H187" i="80" s="1"/>
  <c r="I188" i="66"/>
  <c r="I187" i="80" s="1"/>
  <c r="J188" i="66"/>
  <c r="J187" i="80" s="1"/>
  <c r="K188" i="66"/>
  <c r="K187" i="80" s="1"/>
  <c r="L188" i="66"/>
  <c r="L187" i="80" s="1"/>
  <c r="M188" i="66"/>
  <c r="M187" i="80" s="1"/>
  <c r="N188" i="66"/>
  <c r="N187" i="80" s="1"/>
  <c r="O188" i="66"/>
  <c r="O187" i="80" s="1"/>
  <c r="P188" i="66"/>
  <c r="P187" i="80" s="1"/>
  <c r="Q188" i="66"/>
  <c r="Q187" i="80" s="1"/>
  <c r="R188" i="66"/>
  <c r="S188"/>
  <c r="U188"/>
  <c r="V188"/>
  <c r="F189"/>
  <c r="G189"/>
  <c r="H189"/>
  <c r="I189"/>
  <c r="J189"/>
  <c r="K189"/>
  <c r="L189"/>
  <c r="M189"/>
  <c r="N189"/>
  <c r="O189"/>
  <c r="P189"/>
  <c r="Q189"/>
  <c r="R189"/>
  <c r="S189"/>
  <c r="U189"/>
  <c r="V189"/>
  <c r="F190"/>
  <c r="G190"/>
  <c r="H190"/>
  <c r="I190"/>
  <c r="I189" i="77" s="1"/>
  <c r="J190" i="66"/>
  <c r="K190"/>
  <c r="L190"/>
  <c r="M190"/>
  <c r="N190"/>
  <c r="O190"/>
  <c r="P190"/>
  <c r="Q190"/>
  <c r="R190"/>
  <c r="S190"/>
  <c r="U190"/>
  <c r="V190"/>
  <c r="F191"/>
  <c r="G191"/>
  <c r="H191"/>
  <c r="I191"/>
  <c r="J191"/>
  <c r="K191"/>
  <c r="L191"/>
  <c r="M191"/>
  <c r="N191"/>
  <c r="O191"/>
  <c r="P191"/>
  <c r="Q191"/>
  <c r="R191"/>
  <c r="S191"/>
  <c r="U191"/>
  <c r="V191"/>
  <c r="F192"/>
  <c r="G192"/>
  <c r="H192"/>
  <c r="I192"/>
  <c r="J192"/>
  <c r="K192"/>
  <c r="L192"/>
  <c r="M192"/>
  <c r="N192"/>
  <c r="O192"/>
  <c r="P192"/>
  <c r="Q192"/>
  <c r="R192"/>
  <c r="S192"/>
  <c r="U192"/>
  <c r="V192"/>
  <c r="F193"/>
  <c r="G193"/>
  <c r="H193"/>
  <c r="I193"/>
  <c r="J193"/>
  <c r="K193"/>
  <c r="L193"/>
  <c r="M193"/>
  <c r="N193"/>
  <c r="O193"/>
  <c r="P193"/>
  <c r="Q193"/>
  <c r="R193"/>
  <c r="S193"/>
  <c r="U193"/>
  <c r="V193"/>
  <c r="F194"/>
  <c r="G194"/>
  <c r="H194"/>
  <c r="I194"/>
  <c r="I193" i="77" s="1"/>
  <c r="J194" i="66"/>
  <c r="K194"/>
  <c r="L194"/>
  <c r="M194"/>
  <c r="N194"/>
  <c r="O194"/>
  <c r="P194"/>
  <c r="Q194"/>
  <c r="R194"/>
  <c r="S194"/>
  <c r="U194"/>
  <c r="V194"/>
  <c r="F195"/>
  <c r="G195"/>
  <c r="H195"/>
  <c r="I195"/>
  <c r="J195"/>
  <c r="K195"/>
  <c r="L195"/>
  <c r="M195"/>
  <c r="N195"/>
  <c r="O195"/>
  <c r="P195"/>
  <c r="Q195"/>
  <c r="R195"/>
  <c r="S195"/>
  <c r="U195"/>
  <c r="V195"/>
  <c r="F196"/>
  <c r="G196"/>
  <c r="H196"/>
  <c r="I196"/>
  <c r="J196"/>
  <c r="K196"/>
  <c r="L196"/>
  <c r="M196"/>
  <c r="N196"/>
  <c r="O196"/>
  <c r="P196"/>
  <c r="Q196"/>
  <c r="R196"/>
  <c r="S196"/>
  <c r="U196"/>
  <c r="V196"/>
  <c r="F197"/>
  <c r="G197"/>
  <c r="H197"/>
  <c r="I197"/>
  <c r="J197"/>
  <c r="K197"/>
  <c r="L197"/>
  <c r="M197"/>
  <c r="N197"/>
  <c r="O197"/>
  <c r="P197"/>
  <c r="Q197"/>
  <c r="R197"/>
  <c r="S197"/>
  <c r="U197"/>
  <c r="V197"/>
  <c r="F198"/>
  <c r="G198"/>
  <c r="H198"/>
  <c r="I198"/>
  <c r="I197" i="77" s="1"/>
  <c r="J198" i="66"/>
  <c r="K198"/>
  <c r="L198"/>
  <c r="M198"/>
  <c r="N198"/>
  <c r="O198"/>
  <c r="P198"/>
  <c r="Q198"/>
  <c r="R198"/>
  <c r="S198"/>
  <c r="U198"/>
  <c r="V198"/>
  <c r="F199"/>
  <c r="G199"/>
  <c r="H199"/>
  <c r="I199"/>
  <c r="J199"/>
  <c r="K199"/>
  <c r="L199"/>
  <c r="M199"/>
  <c r="N199"/>
  <c r="O199"/>
  <c r="P199"/>
  <c r="Q199"/>
  <c r="R199"/>
  <c r="S199"/>
  <c r="U199"/>
  <c r="V199"/>
  <c r="E180"/>
  <c r="E179" i="80" s="1"/>
  <c r="E181" i="66"/>
  <c r="E180" i="80" s="1"/>
  <c r="E182" i="66"/>
  <c r="E181" i="80" s="1"/>
  <c r="E183" i="66"/>
  <c r="D183" i="81" s="1"/>
  <c r="E184" i="66"/>
  <c r="E183" i="80" s="1"/>
  <c r="E185" i="66"/>
  <c r="E184" i="80" s="1"/>
  <c r="E186" i="66"/>
  <c r="E185" i="80" s="1"/>
  <c r="E187" i="66"/>
  <c r="D187" i="81" s="1"/>
  <c r="E186" i="77"/>
  <c r="E188" i="66"/>
  <c r="E187" i="80" s="1"/>
  <c r="E187" i="77"/>
  <c r="E189" i="66"/>
  <c r="E188" i="80" s="1"/>
  <c r="D189" i="81"/>
  <c r="E188" i="77"/>
  <c r="E190" i="66"/>
  <c r="E189" i="80" s="1"/>
  <c r="E191" i="66"/>
  <c r="E192"/>
  <c r="E191" i="80" s="1"/>
  <c r="E193" i="66"/>
  <c r="E192" i="80" s="1"/>
  <c r="E194" i="66"/>
  <c r="E193" i="80" s="1"/>
  <c r="E195" i="66"/>
  <c r="E194" i="77" s="1"/>
  <c r="E196" i="66"/>
  <c r="E195" i="80" s="1"/>
  <c r="E197" i="66"/>
  <c r="E196" i="80" s="1"/>
  <c r="E198" i="66"/>
  <c r="E197" i="80" s="1"/>
  <c r="D198" i="81"/>
  <c r="E199" i="66"/>
  <c r="E179"/>
  <c r="E178" i="80" s="1"/>
  <c r="F52" i="66"/>
  <c r="F51" i="80" s="1"/>
  <c r="G52" i="66"/>
  <c r="G51" i="80" s="1"/>
  <c r="H52" i="66"/>
  <c r="H51" i="80" s="1"/>
  <c r="I52" i="66"/>
  <c r="I51" i="80" s="1"/>
  <c r="J52" i="66"/>
  <c r="J51" i="80" s="1"/>
  <c r="K52" i="66"/>
  <c r="K51" i="80" s="1"/>
  <c r="L52" i="66"/>
  <c r="L51" i="77" s="1"/>
  <c r="M52" i="66"/>
  <c r="M51" i="80" s="1"/>
  <c r="N52" i="66"/>
  <c r="N51" i="80" s="1"/>
  <c r="O52" i="66"/>
  <c r="O51" i="80" s="1"/>
  <c r="P52" i="66"/>
  <c r="P51" i="77" s="1"/>
  <c r="Q52" i="66"/>
  <c r="Q51" i="80" s="1"/>
  <c r="R52" i="66"/>
  <c r="R51" i="80" s="1"/>
  <c r="S52" i="66"/>
  <c r="S51" i="80" s="1"/>
  <c r="U52" i="66"/>
  <c r="T51" i="77" s="1"/>
  <c r="V52" i="66"/>
  <c r="V51" i="80" s="1"/>
  <c r="F53" i="66"/>
  <c r="F52" i="77" s="1"/>
  <c r="G53" i="66"/>
  <c r="G52" i="80" s="1"/>
  <c r="H53" i="66"/>
  <c r="H52" i="80" s="1"/>
  <c r="I53" i="66"/>
  <c r="I52" i="80" s="1"/>
  <c r="J53" i="66"/>
  <c r="J52" i="80" s="1"/>
  <c r="K53" i="66"/>
  <c r="K52" i="80" s="1"/>
  <c r="L53" i="66"/>
  <c r="L52" i="80" s="1"/>
  <c r="M53" i="66"/>
  <c r="M52" i="80" s="1"/>
  <c r="N53" i="66"/>
  <c r="N52" i="80" s="1"/>
  <c r="O53" i="66"/>
  <c r="O52" i="80" s="1"/>
  <c r="P53" i="66"/>
  <c r="P52" i="80" s="1"/>
  <c r="Q53" i="66"/>
  <c r="Q52" i="80" s="1"/>
  <c r="R53" i="66"/>
  <c r="R52" i="80" s="1"/>
  <c r="S53" i="66"/>
  <c r="S52" i="80" s="1"/>
  <c r="U53" i="66"/>
  <c r="U52" i="80" s="1"/>
  <c r="V53" i="66"/>
  <c r="V52" i="80" s="1"/>
  <c r="F54" i="66"/>
  <c r="F53" i="77" s="1"/>
  <c r="G54" i="66"/>
  <c r="G53" i="80" s="1"/>
  <c r="H54" i="66"/>
  <c r="H53" i="80" s="1"/>
  <c r="I54" i="66"/>
  <c r="I53" i="80" s="1"/>
  <c r="J54" i="66"/>
  <c r="J53" i="80" s="1"/>
  <c r="K54" i="66"/>
  <c r="K53" i="80" s="1"/>
  <c r="L54" i="66"/>
  <c r="L53" i="80" s="1"/>
  <c r="M54" i="66"/>
  <c r="M53" i="80" s="1"/>
  <c r="N54" i="66"/>
  <c r="N53" i="80" s="1"/>
  <c r="O54" i="66"/>
  <c r="O53" i="80" s="1"/>
  <c r="P54" i="66"/>
  <c r="P53" i="80" s="1"/>
  <c r="Q54" i="66"/>
  <c r="Q53" i="80" s="1"/>
  <c r="R54" i="66"/>
  <c r="R53" i="80" s="1"/>
  <c r="S54" i="66"/>
  <c r="S53" i="80" s="1"/>
  <c r="U54" i="66"/>
  <c r="U53" i="80" s="1"/>
  <c r="V54" i="66"/>
  <c r="V53" i="80" s="1"/>
  <c r="F55" i="66"/>
  <c r="F54" i="80" s="1"/>
  <c r="G55" i="66"/>
  <c r="G54" i="80" s="1"/>
  <c r="H55" i="66"/>
  <c r="H54" i="80" s="1"/>
  <c r="I55" i="66"/>
  <c r="I54" i="80" s="1"/>
  <c r="J55" i="66"/>
  <c r="J54" i="80" s="1"/>
  <c r="K55" i="66"/>
  <c r="K54" i="80" s="1"/>
  <c r="L55" i="66"/>
  <c r="L54" i="80" s="1"/>
  <c r="M55" i="66"/>
  <c r="M54" i="80" s="1"/>
  <c r="N55" i="66"/>
  <c r="N54" i="80" s="1"/>
  <c r="O55" i="66"/>
  <c r="O54" i="80" s="1"/>
  <c r="P55" i="66"/>
  <c r="P54" i="80" s="1"/>
  <c r="Q55" i="66"/>
  <c r="Q54" i="80" s="1"/>
  <c r="R55" i="66"/>
  <c r="R54" i="80" s="1"/>
  <c r="S55" i="66"/>
  <c r="S54" i="80" s="1"/>
  <c r="U55" i="66"/>
  <c r="U54" i="80" s="1"/>
  <c r="V55" i="66"/>
  <c r="V54" i="80" s="1"/>
  <c r="F56" i="66"/>
  <c r="F55" i="80" s="1"/>
  <c r="G56" i="66"/>
  <c r="G55" i="80" s="1"/>
  <c r="H56" i="66"/>
  <c r="H55" i="80" s="1"/>
  <c r="I56" i="66"/>
  <c r="I55" i="80" s="1"/>
  <c r="J56" i="66"/>
  <c r="J55" i="80" s="1"/>
  <c r="K56" i="66"/>
  <c r="K55" i="80" s="1"/>
  <c r="L56" i="66"/>
  <c r="L55" i="80" s="1"/>
  <c r="M56" i="66"/>
  <c r="M55" i="80" s="1"/>
  <c r="N56" i="66"/>
  <c r="N55" i="80" s="1"/>
  <c r="O56" i="66"/>
  <c r="O55" i="80" s="1"/>
  <c r="P56" i="66"/>
  <c r="P55" i="80" s="1"/>
  <c r="Q56" i="66"/>
  <c r="Q55" i="80" s="1"/>
  <c r="R56" i="66"/>
  <c r="R55" i="80" s="1"/>
  <c r="S56" i="66"/>
  <c r="S55" i="80" s="1"/>
  <c r="U56" i="66"/>
  <c r="U55" i="80" s="1"/>
  <c r="V56" i="66"/>
  <c r="V55" i="80" s="1"/>
  <c r="F57" i="66"/>
  <c r="F56" i="80" s="1"/>
  <c r="G57" i="66"/>
  <c r="G56" i="80" s="1"/>
  <c r="H57" i="66"/>
  <c r="H56" i="80" s="1"/>
  <c r="I57" i="66"/>
  <c r="I56" i="80" s="1"/>
  <c r="J57" i="66"/>
  <c r="J56" i="80" s="1"/>
  <c r="K57" i="66"/>
  <c r="K56" i="80" s="1"/>
  <c r="L57" i="66"/>
  <c r="L56" i="80" s="1"/>
  <c r="M57" i="66"/>
  <c r="M56" i="80" s="1"/>
  <c r="N57" i="66"/>
  <c r="N56" i="80" s="1"/>
  <c r="O57" i="66"/>
  <c r="O56" i="80" s="1"/>
  <c r="P57" i="66"/>
  <c r="P56" i="80" s="1"/>
  <c r="Q57" i="66"/>
  <c r="Q56" i="80" s="1"/>
  <c r="R57" i="66"/>
  <c r="R56" i="80" s="1"/>
  <c r="S57" i="66"/>
  <c r="S56" i="80" s="1"/>
  <c r="U57" i="66"/>
  <c r="U56" i="80" s="1"/>
  <c r="V57" i="66"/>
  <c r="V56" i="80" s="1"/>
  <c r="F58" i="66"/>
  <c r="F57" i="80" s="1"/>
  <c r="G58" i="66"/>
  <c r="G57" i="80" s="1"/>
  <c r="H58" i="66"/>
  <c r="H57" i="80" s="1"/>
  <c r="I58" i="66"/>
  <c r="I57" i="80" s="1"/>
  <c r="J58" i="66"/>
  <c r="J57" i="80" s="1"/>
  <c r="K58" i="66"/>
  <c r="K57" i="80" s="1"/>
  <c r="L58" i="66"/>
  <c r="L57" i="80" s="1"/>
  <c r="M58" i="66"/>
  <c r="M57" i="80" s="1"/>
  <c r="N58" i="66"/>
  <c r="N57" i="80" s="1"/>
  <c r="O58" i="66"/>
  <c r="O57" i="80" s="1"/>
  <c r="P58" i="66"/>
  <c r="P57" i="80" s="1"/>
  <c r="Q58" i="66"/>
  <c r="Q57" i="80" s="1"/>
  <c r="R58" i="66"/>
  <c r="R57" i="80" s="1"/>
  <c r="S58" i="66"/>
  <c r="S57" i="80" s="1"/>
  <c r="U58" i="66"/>
  <c r="U57" i="80" s="1"/>
  <c r="V58" i="66"/>
  <c r="V57" i="80" s="1"/>
  <c r="F59" i="66"/>
  <c r="F58" i="77" s="1"/>
  <c r="G59" i="66"/>
  <c r="G58" i="80" s="1"/>
  <c r="H59" i="66"/>
  <c r="H58" i="80" s="1"/>
  <c r="I59" i="66"/>
  <c r="I58" i="80" s="1"/>
  <c r="J59" i="66"/>
  <c r="J58" i="80" s="1"/>
  <c r="K59" i="66"/>
  <c r="K58" i="80" s="1"/>
  <c r="L59" i="66"/>
  <c r="L58" i="80" s="1"/>
  <c r="M59" i="66"/>
  <c r="M58" i="80" s="1"/>
  <c r="N59" i="66"/>
  <c r="N58" i="80" s="1"/>
  <c r="O59" i="66"/>
  <c r="O58" i="80" s="1"/>
  <c r="P59" i="66"/>
  <c r="P58" i="80" s="1"/>
  <c r="Q59" i="66"/>
  <c r="Q58" i="80" s="1"/>
  <c r="R59" i="66"/>
  <c r="R58" i="80" s="1"/>
  <c r="S59" i="66"/>
  <c r="S58" i="80" s="1"/>
  <c r="U59" i="66"/>
  <c r="U58" i="80" s="1"/>
  <c r="V59" i="66"/>
  <c r="V58" i="80" s="1"/>
  <c r="F60" i="66"/>
  <c r="F59" i="80" s="1"/>
  <c r="G60" i="66"/>
  <c r="G59" i="80" s="1"/>
  <c r="H60" i="66"/>
  <c r="H59" i="80" s="1"/>
  <c r="I60" i="66"/>
  <c r="I59" i="80" s="1"/>
  <c r="J60" i="66"/>
  <c r="J59" i="80" s="1"/>
  <c r="K60" i="66"/>
  <c r="K59" i="80" s="1"/>
  <c r="L60" i="66"/>
  <c r="L59" i="80" s="1"/>
  <c r="M60" i="66"/>
  <c r="M59" i="80" s="1"/>
  <c r="N60" i="66"/>
  <c r="N59" i="80" s="1"/>
  <c r="O60" i="66"/>
  <c r="O59" i="80" s="1"/>
  <c r="P60" i="66"/>
  <c r="P59" i="80" s="1"/>
  <c r="Q60" i="66"/>
  <c r="Q59" i="80" s="1"/>
  <c r="R60" i="66"/>
  <c r="S60"/>
  <c r="U60"/>
  <c r="V60"/>
  <c r="F61"/>
  <c r="G61"/>
  <c r="H61"/>
  <c r="I61"/>
  <c r="J61"/>
  <c r="K61"/>
  <c r="L61"/>
  <c r="M61"/>
  <c r="N61"/>
  <c r="O61"/>
  <c r="P61"/>
  <c r="Q61"/>
  <c r="R61"/>
  <c r="S61"/>
  <c r="U61"/>
  <c r="V61"/>
  <c r="F62"/>
  <c r="G62"/>
  <c r="H62"/>
  <c r="I62"/>
  <c r="J62"/>
  <c r="K62"/>
  <c r="L62"/>
  <c r="M62"/>
  <c r="N62"/>
  <c r="O62"/>
  <c r="P62"/>
  <c r="Q62"/>
  <c r="R62"/>
  <c r="S62"/>
  <c r="U62"/>
  <c r="V62"/>
  <c r="F63"/>
  <c r="G63"/>
  <c r="H63"/>
  <c r="I63"/>
  <c r="J63"/>
  <c r="K63"/>
  <c r="L63"/>
  <c r="M63"/>
  <c r="N63"/>
  <c r="O63"/>
  <c r="P63"/>
  <c r="Q63"/>
  <c r="R63"/>
  <c r="S63"/>
  <c r="U63"/>
  <c r="V63"/>
  <c r="F64"/>
  <c r="G64"/>
  <c r="H64"/>
  <c r="I64"/>
  <c r="I63" i="77" s="1"/>
  <c r="J64" i="66"/>
  <c r="K64"/>
  <c r="L64"/>
  <c r="M64"/>
  <c r="N64"/>
  <c r="O64"/>
  <c r="O63" i="77" s="1"/>
  <c r="P64" i="66"/>
  <c r="Q64"/>
  <c r="R64"/>
  <c r="S64"/>
  <c r="U64"/>
  <c r="V64"/>
  <c r="F65"/>
  <c r="G65"/>
  <c r="G64" i="77" s="1"/>
  <c r="H65" i="66"/>
  <c r="I65"/>
  <c r="J65"/>
  <c r="K65"/>
  <c r="L65"/>
  <c r="M65"/>
  <c r="N65"/>
  <c r="O65"/>
  <c r="P65"/>
  <c r="Q65"/>
  <c r="R65"/>
  <c r="S65"/>
  <c r="U65"/>
  <c r="V65"/>
  <c r="F66"/>
  <c r="G66"/>
  <c r="H66"/>
  <c r="I66"/>
  <c r="J66"/>
  <c r="K66"/>
  <c r="L66"/>
  <c r="M66"/>
  <c r="N66"/>
  <c r="O66"/>
  <c r="P66"/>
  <c r="Q66"/>
  <c r="R66"/>
  <c r="S66"/>
  <c r="U66"/>
  <c r="V66"/>
  <c r="F67"/>
  <c r="G67"/>
  <c r="G66" i="77" s="1"/>
  <c r="H67" i="66"/>
  <c r="I67"/>
  <c r="J67"/>
  <c r="K67"/>
  <c r="L67"/>
  <c r="M67"/>
  <c r="N67"/>
  <c r="O67"/>
  <c r="P67"/>
  <c r="Q67"/>
  <c r="R67"/>
  <c r="S67"/>
  <c r="U67"/>
  <c r="V67"/>
  <c r="F68"/>
  <c r="G68"/>
  <c r="H68"/>
  <c r="I68"/>
  <c r="J68"/>
  <c r="K68"/>
  <c r="L68"/>
  <c r="M68"/>
  <c r="N68"/>
  <c r="O68"/>
  <c r="P68"/>
  <c r="Q68"/>
  <c r="R68"/>
  <c r="S68"/>
  <c r="U68"/>
  <c r="V68"/>
  <c r="F69"/>
  <c r="G69"/>
  <c r="H69"/>
  <c r="I69"/>
  <c r="J69"/>
  <c r="K69"/>
  <c r="L69"/>
  <c r="M69"/>
  <c r="N69"/>
  <c r="O69"/>
  <c r="P69"/>
  <c r="Q69"/>
  <c r="R69"/>
  <c r="S69"/>
  <c r="U69"/>
  <c r="V69"/>
  <c r="F70"/>
  <c r="G70"/>
  <c r="H70"/>
  <c r="I70"/>
  <c r="J70"/>
  <c r="K70"/>
  <c r="L70"/>
  <c r="M70"/>
  <c r="N70"/>
  <c r="O70"/>
  <c r="P70"/>
  <c r="Q70"/>
  <c r="R70"/>
  <c r="S70"/>
  <c r="U70"/>
  <c r="V70"/>
  <c r="F71"/>
  <c r="G71"/>
  <c r="G70" i="77" s="1"/>
  <c r="H71" i="66"/>
  <c r="I71"/>
  <c r="J71"/>
  <c r="K71"/>
  <c r="L71"/>
  <c r="M71"/>
  <c r="N71"/>
  <c r="O71"/>
  <c r="P71"/>
  <c r="Q71"/>
  <c r="R71"/>
  <c r="S71"/>
  <c r="U71"/>
  <c r="V71"/>
  <c r="F72"/>
  <c r="G72"/>
  <c r="G71" i="77" s="1"/>
  <c r="H72" i="66"/>
  <c r="I72"/>
  <c r="J72"/>
  <c r="K72"/>
  <c r="L72"/>
  <c r="M72"/>
  <c r="N72"/>
  <c r="O72"/>
  <c r="P72"/>
  <c r="Q72"/>
  <c r="R72"/>
  <c r="S72"/>
  <c r="U72"/>
  <c r="V72"/>
  <c r="F73"/>
  <c r="G73"/>
  <c r="H73"/>
  <c r="I73"/>
  <c r="J73"/>
  <c r="K73"/>
  <c r="L73"/>
  <c r="M73"/>
  <c r="N73"/>
  <c r="O73"/>
  <c r="P73"/>
  <c r="Q73"/>
  <c r="R73"/>
  <c r="S73"/>
  <c r="U73"/>
  <c r="V73"/>
  <c r="F74"/>
  <c r="G74"/>
  <c r="H74"/>
  <c r="I74"/>
  <c r="J74"/>
  <c r="K74"/>
  <c r="L74"/>
  <c r="M74"/>
  <c r="N74"/>
  <c r="O74"/>
  <c r="P74"/>
  <c r="Q74"/>
  <c r="R74"/>
  <c r="S74"/>
  <c r="U74"/>
  <c r="V74"/>
  <c r="F75"/>
  <c r="G75"/>
  <c r="G74" i="77" s="1"/>
  <c r="H75" i="66"/>
  <c r="I75"/>
  <c r="J75"/>
  <c r="K75"/>
  <c r="L75"/>
  <c r="M75"/>
  <c r="N75"/>
  <c r="O75"/>
  <c r="P75"/>
  <c r="Q75"/>
  <c r="R75"/>
  <c r="S75"/>
  <c r="U75"/>
  <c r="V75"/>
  <c r="F76"/>
  <c r="G76"/>
  <c r="H76"/>
  <c r="I76"/>
  <c r="J76"/>
  <c r="K76"/>
  <c r="L76"/>
  <c r="M76"/>
  <c r="N76"/>
  <c r="O76"/>
  <c r="P76"/>
  <c r="Q76"/>
  <c r="R76"/>
  <c r="S76"/>
  <c r="U76"/>
  <c r="V76"/>
  <c r="F77"/>
  <c r="G77"/>
  <c r="H77"/>
  <c r="I77"/>
  <c r="J77"/>
  <c r="K77"/>
  <c r="L77"/>
  <c r="M77"/>
  <c r="N77"/>
  <c r="O77"/>
  <c r="P77"/>
  <c r="Q77"/>
  <c r="R77"/>
  <c r="S77"/>
  <c r="U77"/>
  <c r="V77"/>
  <c r="F78"/>
  <c r="G78"/>
  <c r="H78"/>
  <c r="I78"/>
  <c r="J78"/>
  <c r="K78"/>
  <c r="L78"/>
  <c r="M78"/>
  <c r="N78"/>
  <c r="O78"/>
  <c r="P78"/>
  <c r="Q78"/>
  <c r="R78"/>
  <c r="S78"/>
  <c r="U78"/>
  <c r="V78"/>
  <c r="F79"/>
  <c r="G79"/>
  <c r="H79"/>
  <c r="I79"/>
  <c r="J79"/>
  <c r="K79"/>
  <c r="L79"/>
  <c r="M79"/>
  <c r="N79"/>
  <c r="O79"/>
  <c r="P79"/>
  <c r="Q79"/>
  <c r="R79"/>
  <c r="S79"/>
  <c r="U79"/>
  <c r="V79"/>
  <c r="F80"/>
  <c r="G80"/>
  <c r="H80"/>
  <c r="I80"/>
  <c r="J80"/>
  <c r="K80"/>
  <c r="L80"/>
  <c r="M80"/>
  <c r="N80"/>
  <c r="O80"/>
  <c r="P80"/>
  <c r="Q80"/>
  <c r="R80"/>
  <c r="S80"/>
  <c r="U80"/>
  <c r="V80"/>
  <c r="F81"/>
  <c r="G81"/>
  <c r="H81"/>
  <c r="I81"/>
  <c r="J81"/>
  <c r="K81"/>
  <c r="L81"/>
  <c r="M81"/>
  <c r="N81"/>
  <c r="O81"/>
  <c r="P81"/>
  <c r="Q81"/>
  <c r="R81"/>
  <c r="S81"/>
  <c r="U81"/>
  <c r="V81"/>
  <c r="F82"/>
  <c r="G82"/>
  <c r="G81" i="77" s="1"/>
  <c r="H82" i="66"/>
  <c r="I82"/>
  <c r="J82"/>
  <c r="K82"/>
  <c r="L82"/>
  <c r="M82"/>
  <c r="N82"/>
  <c r="O82"/>
  <c r="P82"/>
  <c r="Q82"/>
  <c r="R82"/>
  <c r="S82"/>
  <c r="U82"/>
  <c r="V82"/>
  <c r="F83"/>
  <c r="G83"/>
  <c r="H83"/>
  <c r="I83"/>
  <c r="J83"/>
  <c r="K83"/>
  <c r="L83"/>
  <c r="M83"/>
  <c r="N83"/>
  <c r="O83"/>
  <c r="P83"/>
  <c r="Q83"/>
  <c r="R83"/>
  <c r="S83"/>
  <c r="U83"/>
  <c r="V83"/>
  <c r="F84"/>
  <c r="G84"/>
  <c r="G83" i="77" s="1"/>
  <c r="H84" i="66"/>
  <c r="I84"/>
  <c r="J84"/>
  <c r="K84"/>
  <c r="L84"/>
  <c r="M84"/>
  <c r="N84"/>
  <c r="O84"/>
  <c r="P84"/>
  <c r="Q84"/>
  <c r="R84"/>
  <c r="S84"/>
  <c r="U84"/>
  <c r="V84"/>
  <c r="F85"/>
  <c r="G85"/>
  <c r="H85"/>
  <c r="I85"/>
  <c r="J85"/>
  <c r="K85"/>
  <c r="L85"/>
  <c r="M85"/>
  <c r="N85"/>
  <c r="O85"/>
  <c r="P85"/>
  <c r="Q85"/>
  <c r="R85"/>
  <c r="S85"/>
  <c r="U85"/>
  <c r="V85"/>
  <c r="F86"/>
  <c r="G86"/>
  <c r="G85" i="77" s="1"/>
  <c r="H86" i="66"/>
  <c r="I86"/>
  <c r="J86"/>
  <c r="K86"/>
  <c r="L86"/>
  <c r="M86"/>
  <c r="N86"/>
  <c r="O86"/>
  <c r="P86"/>
  <c r="Q86"/>
  <c r="R86"/>
  <c r="S86"/>
  <c r="U86"/>
  <c r="V86"/>
  <c r="F87"/>
  <c r="G87"/>
  <c r="H87"/>
  <c r="I87"/>
  <c r="J87"/>
  <c r="K87"/>
  <c r="L87"/>
  <c r="M87"/>
  <c r="N87"/>
  <c r="O87"/>
  <c r="P87"/>
  <c r="Q87"/>
  <c r="R87"/>
  <c r="S87"/>
  <c r="U87"/>
  <c r="V87"/>
  <c r="F88"/>
  <c r="G88"/>
  <c r="G87" i="77" s="1"/>
  <c r="H88" i="66"/>
  <c r="I88"/>
  <c r="J88"/>
  <c r="K88"/>
  <c r="L88"/>
  <c r="M88"/>
  <c r="N88"/>
  <c r="O88"/>
  <c r="P88"/>
  <c r="Q88"/>
  <c r="R88"/>
  <c r="S88"/>
  <c r="U88"/>
  <c r="V88"/>
  <c r="F89"/>
  <c r="G89"/>
  <c r="H89"/>
  <c r="I89"/>
  <c r="J89"/>
  <c r="K89"/>
  <c r="L89"/>
  <c r="M89"/>
  <c r="N89"/>
  <c r="O89"/>
  <c r="P89"/>
  <c r="Q89"/>
  <c r="R89"/>
  <c r="S89"/>
  <c r="U89"/>
  <c r="V89"/>
  <c r="F90"/>
  <c r="G90"/>
  <c r="G89" i="77" s="1"/>
  <c r="H90" i="66"/>
  <c r="I90"/>
  <c r="J90"/>
  <c r="K90"/>
  <c r="L90"/>
  <c r="M90"/>
  <c r="N90"/>
  <c r="O90"/>
  <c r="P90"/>
  <c r="Q90"/>
  <c r="R90"/>
  <c r="S90"/>
  <c r="U90"/>
  <c r="V90"/>
  <c r="F91"/>
  <c r="G91"/>
  <c r="H91"/>
  <c r="I91"/>
  <c r="J91"/>
  <c r="K91"/>
  <c r="L91"/>
  <c r="M91"/>
  <c r="N91"/>
  <c r="O91"/>
  <c r="P91"/>
  <c r="Q91"/>
  <c r="R91"/>
  <c r="S91"/>
  <c r="U91"/>
  <c r="V91"/>
  <c r="F92"/>
  <c r="G92"/>
  <c r="G91" i="77" s="1"/>
  <c r="H92" i="66"/>
  <c r="I92"/>
  <c r="J92"/>
  <c r="K92"/>
  <c r="L92"/>
  <c r="M92"/>
  <c r="N92"/>
  <c r="O92"/>
  <c r="P92"/>
  <c r="Q92"/>
  <c r="R92"/>
  <c r="S92"/>
  <c r="U92"/>
  <c r="V92"/>
  <c r="F93"/>
  <c r="G93"/>
  <c r="G92" i="77" s="1"/>
  <c r="H93" i="66"/>
  <c r="I93"/>
  <c r="J93"/>
  <c r="K93"/>
  <c r="L93"/>
  <c r="M93"/>
  <c r="N93"/>
  <c r="O93"/>
  <c r="P93"/>
  <c r="Q93"/>
  <c r="R93"/>
  <c r="S93"/>
  <c r="U93"/>
  <c r="V93"/>
  <c r="F94"/>
  <c r="G94"/>
  <c r="H94"/>
  <c r="I94"/>
  <c r="J94"/>
  <c r="K94"/>
  <c r="L94"/>
  <c r="M94"/>
  <c r="N94"/>
  <c r="O94"/>
  <c r="P94"/>
  <c r="Q94"/>
  <c r="R94"/>
  <c r="S94"/>
  <c r="U94"/>
  <c r="V94"/>
  <c r="F95"/>
  <c r="G95"/>
  <c r="H95"/>
  <c r="I95"/>
  <c r="J95"/>
  <c r="K95"/>
  <c r="L95"/>
  <c r="M95"/>
  <c r="N95"/>
  <c r="O95"/>
  <c r="P95"/>
  <c r="Q95"/>
  <c r="R95"/>
  <c r="S95"/>
  <c r="U95"/>
  <c r="V95"/>
  <c r="F96"/>
  <c r="G96"/>
  <c r="H96"/>
  <c r="I96"/>
  <c r="J96"/>
  <c r="K96"/>
  <c r="L96"/>
  <c r="M96"/>
  <c r="N96"/>
  <c r="O96"/>
  <c r="P96"/>
  <c r="Q96"/>
  <c r="R96"/>
  <c r="S96"/>
  <c r="U96"/>
  <c r="V96"/>
  <c r="F97"/>
  <c r="G97"/>
  <c r="H97"/>
  <c r="I97"/>
  <c r="J97"/>
  <c r="K97"/>
  <c r="L97"/>
  <c r="M97"/>
  <c r="N97"/>
  <c r="O97"/>
  <c r="P97"/>
  <c r="Q97"/>
  <c r="R97"/>
  <c r="S97"/>
  <c r="U97"/>
  <c r="V97"/>
  <c r="F98"/>
  <c r="G98"/>
  <c r="H98"/>
  <c r="I98"/>
  <c r="J98"/>
  <c r="K98"/>
  <c r="L98"/>
  <c r="M98"/>
  <c r="N98"/>
  <c r="O98"/>
  <c r="P98"/>
  <c r="Q98"/>
  <c r="R98"/>
  <c r="S98"/>
  <c r="U98"/>
  <c r="V98"/>
  <c r="F99"/>
  <c r="G99"/>
  <c r="H99"/>
  <c r="I99"/>
  <c r="J99"/>
  <c r="K99"/>
  <c r="L99"/>
  <c r="M99"/>
  <c r="N99"/>
  <c r="O99"/>
  <c r="P99"/>
  <c r="Q99"/>
  <c r="R99"/>
  <c r="S99"/>
  <c r="U99"/>
  <c r="V99"/>
  <c r="F100"/>
  <c r="G100"/>
  <c r="G99" i="77" s="1"/>
  <c r="H100" i="66"/>
  <c r="I100"/>
  <c r="J100"/>
  <c r="K100"/>
  <c r="L100"/>
  <c r="M100"/>
  <c r="N100"/>
  <c r="O100"/>
  <c r="P100"/>
  <c r="Q100"/>
  <c r="R100"/>
  <c r="S100"/>
  <c r="U100"/>
  <c r="V100"/>
  <c r="F101"/>
  <c r="G101"/>
  <c r="H101"/>
  <c r="I101"/>
  <c r="J101"/>
  <c r="K101"/>
  <c r="L101"/>
  <c r="M101"/>
  <c r="N101"/>
  <c r="O101"/>
  <c r="P101"/>
  <c r="Q101"/>
  <c r="R101"/>
  <c r="S101"/>
  <c r="U101"/>
  <c r="V101"/>
  <c r="F102"/>
  <c r="G102"/>
  <c r="H102"/>
  <c r="I102"/>
  <c r="J102"/>
  <c r="K102"/>
  <c r="L102"/>
  <c r="M102"/>
  <c r="N102"/>
  <c r="O102"/>
  <c r="P102"/>
  <c r="Q102"/>
  <c r="R102"/>
  <c r="S102"/>
  <c r="U102"/>
  <c r="V102"/>
  <c r="F103"/>
  <c r="G103"/>
  <c r="H103"/>
  <c r="I103"/>
  <c r="J103"/>
  <c r="K103"/>
  <c r="L103"/>
  <c r="M103"/>
  <c r="N103"/>
  <c r="O103"/>
  <c r="P103"/>
  <c r="Q103"/>
  <c r="R103"/>
  <c r="S103"/>
  <c r="U103"/>
  <c r="V103"/>
  <c r="F104"/>
  <c r="G104"/>
  <c r="G103" i="77" s="1"/>
  <c r="H104" i="66"/>
  <c r="I104"/>
  <c r="J104"/>
  <c r="K104"/>
  <c r="L104"/>
  <c r="M104"/>
  <c r="N104"/>
  <c r="O104"/>
  <c r="P104"/>
  <c r="Q104"/>
  <c r="R104"/>
  <c r="S104"/>
  <c r="U104"/>
  <c r="V104"/>
  <c r="F105"/>
  <c r="G105"/>
  <c r="H105"/>
  <c r="I105"/>
  <c r="J105"/>
  <c r="K105"/>
  <c r="L105"/>
  <c r="M105"/>
  <c r="N105"/>
  <c r="O105"/>
  <c r="P105"/>
  <c r="Q105"/>
  <c r="R105"/>
  <c r="S105"/>
  <c r="U105"/>
  <c r="V105"/>
  <c r="F106"/>
  <c r="G106"/>
  <c r="H106"/>
  <c r="I106"/>
  <c r="J106"/>
  <c r="K106"/>
  <c r="L106"/>
  <c r="M106"/>
  <c r="N106"/>
  <c r="O106"/>
  <c r="P106"/>
  <c r="Q106"/>
  <c r="R106"/>
  <c r="S106"/>
  <c r="U106"/>
  <c r="V106"/>
  <c r="F107"/>
  <c r="G107"/>
  <c r="H107"/>
  <c r="I107"/>
  <c r="J107"/>
  <c r="K107"/>
  <c r="L107"/>
  <c r="M107"/>
  <c r="N107"/>
  <c r="O107"/>
  <c r="P107"/>
  <c r="Q107"/>
  <c r="R107"/>
  <c r="S107"/>
  <c r="U107"/>
  <c r="V107"/>
  <c r="F108"/>
  <c r="G108"/>
  <c r="H108"/>
  <c r="I108"/>
  <c r="J108"/>
  <c r="K108"/>
  <c r="L108"/>
  <c r="M108"/>
  <c r="N108"/>
  <c r="O108"/>
  <c r="P108"/>
  <c r="Q108"/>
  <c r="R108"/>
  <c r="S108"/>
  <c r="U108"/>
  <c r="V108"/>
  <c r="V107" i="80" s="1"/>
  <c r="U107" i="77"/>
  <c r="F109" i="66"/>
  <c r="F108" i="80" s="1"/>
  <c r="F108" i="77"/>
  <c r="G109" i="66"/>
  <c r="G108" i="80" s="1"/>
  <c r="G108" i="77"/>
  <c r="H109" i="66"/>
  <c r="H108" i="80" s="1"/>
  <c r="H108" i="77"/>
  <c r="I109" i="66"/>
  <c r="I108" i="80" s="1"/>
  <c r="I108" i="77"/>
  <c r="J109" i="66"/>
  <c r="J108" i="80" s="1"/>
  <c r="J108" i="77"/>
  <c r="K109" i="66"/>
  <c r="K108" i="80" s="1"/>
  <c r="K108" i="77"/>
  <c r="L109" i="66"/>
  <c r="L108" i="80" s="1"/>
  <c r="L108" i="77"/>
  <c r="M109" i="66"/>
  <c r="M108" i="80" s="1"/>
  <c r="M108" i="77"/>
  <c r="N109" i="66"/>
  <c r="N108" i="80" s="1"/>
  <c r="N108" i="77"/>
  <c r="O109" i="66"/>
  <c r="O108" i="80" s="1"/>
  <c r="O108" i="77"/>
  <c r="P109" i="66"/>
  <c r="P108" i="80" s="1"/>
  <c r="P108" i="77"/>
  <c r="Q109" i="66"/>
  <c r="Q108" i="80" s="1"/>
  <c r="Q108" i="77"/>
  <c r="R109" i="66"/>
  <c r="R108" i="80" s="1"/>
  <c r="R108" i="77"/>
  <c r="S109" i="66"/>
  <c r="S108" i="80" s="1"/>
  <c r="S108" i="77"/>
  <c r="U109" i="66"/>
  <c r="U108" i="80" s="1"/>
  <c r="T108" i="77"/>
  <c r="V109" i="66"/>
  <c r="V108" i="80" s="1"/>
  <c r="U108" i="77"/>
  <c r="F110" i="66"/>
  <c r="F109" i="80" s="1"/>
  <c r="F109" i="77"/>
  <c r="G110" i="66"/>
  <c r="G109" i="80" s="1"/>
  <c r="G109" i="77"/>
  <c r="H110" i="66"/>
  <c r="H109" i="80" s="1"/>
  <c r="H109" i="77"/>
  <c r="I110" i="66"/>
  <c r="I109" i="80" s="1"/>
  <c r="I109" i="77"/>
  <c r="J110" i="66"/>
  <c r="J109" i="80" s="1"/>
  <c r="J109" i="77"/>
  <c r="K110" i="66"/>
  <c r="K109" i="80" s="1"/>
  <c r="K109" i="77"/>
  <c r="L110" i="66"/>
  <c r="L109" i="80" s="1"/>
  <c r="L109" i="77"/>
  <c r="M110" i="66"/>
  <c r="M109" i="80" s="1"/>
  <c r="M109" i="77"/>
  <c r="N110" i="66"/>
  <c r="N109" i="80" s="1"/>
  <c r="N109" i="77"/>
  <c r="O110" i="66"/>
  <c r="O109" i="80" s="1"/>
  <c r="O109" i="77"/>
  <c r="P110" i="66"/>
  <c r="P109" i="80" s="1"/>
  <c r="P109" i="77"/>
  <c r="Q110" i="66"/>
  <c r="Q109" i="80" s="1"/>
  <c r="Q109" i="77"/>
  <c r="R110" i="66"/>
  <c r="R109" i="80" s="1"/>
  <c r="R109" i="77"/>
  <c r="S110" i="66"/>
  <c r="S109" i="80" s="1"/>
  <c r="S109" i="77"/>
  <c r="U110" i="66"/>
  <c r="U109" i="80" s="1"/>
  <c r="T109" i="77"/>
  <c r="V110" i="66"/>
  <c r="V109" i="80" s="1"/>
  <c r="U109" i="77"/>
  <c r="F111" i="66"/>
  <c r="F110" i="80" s="1"/>
  <c r="F110" i="77"/>
  <c r="G111" i="66"/>
  <c r="G110" i="80" s="1"/>
  <c r="G110" i="77"/>
  <c r="H111" i="66"/>
  <c r="H110" i="80" s="1"/>
  <c r="H110" i="77"/>
  <c r="I111" i="66"/>
  <c r="I110" i="80" s="1"/>
  <c r="I110" i="77"/>
  <c r="J111" i="66"/>
  <c r="J110" i="80" s="1"/>
  <c r="J110" i="77"/>
  <c r="K111" i="66"/>
  <c r="K110" i="80" s="1"/>
  <c r="K110" i="77"/>
  <c r="L111" i="66"/>
  <c r="L110" i="80" s="1"/>
  <c r="L110" i="77"/>
  <c r="M111" i="66"/>
  <c r="M110" i="80" s="1"/>
  <c r="M110" i="77"/>
  <c r="N111" i="66"/>
  <c r="N110" i="80" s="1"/>
  <c r="N110" i="77"/>
  <c r="O111" i="66"/>
  <c r="O110" i="80" s="1"/>
  <c r="O110" i="77"/>
  <c r="P111" i="66"/>
  <c r="P110" i="80" s="1"/>
  <c r="P110" i="77"/>
  <c r="Q111" i="66"/>
  <c r="Q110" i="80" s="1"/>
  <c r="Q110" i="77"/>
  <c r="R111" i="66"/>
  <c r="R110" i="80" s="1"/>
  <c r="R110" i="77"/>
  <c r="S111" i="66"/>
  <c r="S110" i="80" s="1"/>
  <c r="S110" i="77"/>
  <c r="U111" i="66"/>
  <c r="U110" i="80" s="1"/>
  <c r="T110" i="77"/>
  <c r="V111" i="66"/>
  <c r="V110" i="80" s="1"/>
  <c r="U110" i="77"/>
  <c r="F112" i="66"/>
  <c r="F111" i="80" s="1"/>
  <c r="F111" i="77"/>
  <c r="G112" i="66"/>
  <c r="G111" i="80" s="1"/>
  <c r="G111" i="77"/>
  <c r="H112" i="66"/>
  <c r="H111" i="80" s="1"/>
  <c r="H111" i="77"/>
  <c r="I112" i="66"/>
  <c r="I111" i="80" s="1"/>
  <c r="I111" i="77"/>
  <c r="J112" i="66"/>
  <c r="J111" i="80" s="1"/>
  <c r="J111" i="77"/>
  <c r="K112" i="66"/>
  <c r="K111" i="80" s="1"/>
  <c r="K111" i="77"/>
  <c r="L112" i="66"/>
  <c r="L111" i="80" s="1"/>
  <c r="L111" i="77"/>
  <c r="M112" i="66"/>
  <c r="M111" i="80" s="1"/>
  <c r="M111" i="77"/>
  <c r="N112" i="66"/>
  <c r="N111" i="80" s="1"/>
  <c r="N111" i="77"/>
  <c r="O112" i="66"/>
  <c r="O111" i="80" s="1"/>
  <c r="O111" i="77"/>
  <c r="P112" i="66"/>
  <c r="P111" i="80" s="1"/>
  <c r="P111" i="77"/>
  <c r="Q112" i="66"/>
  <c r="Q111" i="80" s="1"/>
  <c r="Q111" i="77"/>
  <c r="R112" i="66"/>
  <c r="R111" i="80" s="1"/>
  <c r="R111" i="77"/>
  <c r="S112" i="66"/>
  <c r="S111" i="80" s="1"/>
  <c r="S111" i="77"/>
  <c r="U112" i="66"/>
  <c r="U111" i="80" s="1"/>
  <c r="T111" i="77"/>
  <c r="V112" i="66"/>
  <c r="V111" i="80" s="1"/>
  <c r="U111" i="77"/>
  <c r="F113" i="66"/>
  <c r="F112" i="80" s="1"/>
  <c r="F112" i="77"/>
  <c r="G113" i="66"/>
  <c r="G112" i="80" s="1"/>
  <c r="G112" i="77"/>
  <c r="H113" i="66"/>
  <c r="H112" i="80" s="1"/>
  <c r="H112" i="77"/>
  <c r="I113" i="66"/>
  <c r="I112" i="80" s="1"/>
  <c r="I112" i="77"/>
  <c r="J113" i="66"/>
  <c r="J112" i="80" s="1"/>
  <c r="J112" i="77"/>
  <c r="K113" i="66"/>
  <c r="K112" i="80" s="1"/>
  <c r="L113" i="66"/>
  <c r="L112" i="80" s="1"/>
  <c r="M113" i="66"/>
  <c r="M112" i="80" s="1"/>
  <c r="N113" i="66"/>
  <c r="N112" i="80" s="1"/>
  <c r="O113" i="66"/>
  <c r="O112" i="80" s="1"/>
  <c r="P113" i="66"/>
  <c r="P112" i="80" s="1"/>
  <c r="Q113" i="66"/>
  <c r="Q112" i="80" s="1"/>
  <c r="R113" i="66"/>
  <c r="R112" i="80" s="1"/>
  <c r="S113" i="66"/>
  <c r="S112" i="80" s="1"/>
  <c r="U113" i="66"/>
  <c r="U112" i="80" s="1"/>
  <c r="V113" i="66"/>
  <c r="V112" i="80" s="1"/>
  <c r="F114" i="66"/>
  <c r="F113" i="80" s="1"/>
  <c r="G114" i="66"/>
  <c r="G113" i="80" s="1"/>
  <c r="H114" i="66"/>
  <c r="H113" i="80" s="1"/>
  <c r="I114" i="66"/>
  <c r="I113" i="80" s="1"/>
  <c r="J114" i="66"/>
  <c r="J113" i="80" s="1"/>
  <c r="K114" i="66"/>
  <c r="K113" i="80" s="1"/>
  <c r="L114" i="66"/>
  <c r="L113" i="80" s="1"/>
  <c r="M114" i="66"/>
  <c r="M113" i="80" s="1"/>
  <c r="N114" i="66"/>
  <c r="N113" i="80" s="1"/>
  <c r="O114" i="66"/>
  <c r="O113" i="80" s="1"/>
  <c r="P114" i="66"/>
  <c r="P113" i="80" s="1"/>
  <c r="Q114" i="66"/>
  <c r="Q113" i="80" s="1"/>
  <c r="R114" i="66"/>
  <c r="R113" i="80" s="1"/>
  <c r="S114" i="66"/>
  <c r="S113" i="80" s="1"/>
  <c r="U114" i="66"/>
  <c r="U113" i="80" s="1"/>
  <c r="V114" i="66"/>
  <c r="V113" i="80" s="1"/>
  <c r="F115" i="66"/>
  <c r="F114" i="80" s="1"/>
  <c r="G115" i="66"/>
  <c r="G114" i="80" s="1"/>
  <c r="H115" i="66"/>
  <c r="H114" i="80" s="1"/>
  <c r="I115" i="66"/>
  <c r="I114" i="80" s="1"/>
  <c r="J115" i="66"/>
  <c r="J114" i="80" s="1"/>
  <c r="K115" i="66"/>
  <c r="K114" i="80" s="1"/>
  <c r="L115" i="66"/>
  <c r="L114" i="80" s="1"/>
  <c r="M115" i="66"/>
  <c r="M114" i="80" s="1"/>
  <c r="N115" i="66"/>
  <c r="N114" i="80" s="1"/>
  <c r="O115" i="66"/>
  <c r="O114" i="80" s="1"/>
  <c r="P115" i="66"/>
  <c r="P114" i="80" s="1"/>
  <c r="Q115" i="66"/>
  <c r="Q114" i="80" s="1"/>
  <c r="R115" i="66"/>
  <c r="R114" i="80" s="1"/>
  <c r="S115" i="66"/>
  <c r="S114" i="80" s="1"/>
  <c r="U115" i="66"/>
  <c r="U114" i="80" s="1"/>
  <c r="V115" i="66"/>
  <c r="V114" i="80" s="1"/>
  <c r="F116" i="66"/>
  <c r="F115" i="80" s="1"/>
  <c r="G116" i="66"/>
  <c r="G115" i="80" s="1"/>
  <c r="H116" i="66"/>
  <c r="H115" i="80" s="1"/>
  <c r="I116" i="66"/>
  <c r="I115" i="80" s="1"/>
  <c r="J116" i="66"/>
  <c r="J115" i="80" s="1"/>
  <c r="K116" i="66"/>
  <c r="K115" i="80" s="1"/>
  <c r="L116" i="66"/>
  <c r="L115" i="80" s="1"/>
  <c r="M116" i="66"/>
  <c r="M115" i="80" s="1"/>
  <c r="N116" i="66"/>
  <c r="N115" i="80" s="1"/>
  <c r="O116" i="66"/>
  <c r="O115" i="80" s="1"/>
  <c r="P116" i="66"/>
  <c r="P115" i="80" s="1"/>
  <c r="Q116" i="66"/>
  <c r="Q115" i="80" s="1"/>
  <c r="R116" i="66"/>
  <c r="R115" i="80" s="1"/>
  <c r="S116" i="66"/>
  <c r="S115" i="80" s="1"/>
  <c r="U116" i="66"/>
  <c r="U115" i="80" s="1"/>
  <c r="V116" i="66"/>
  <c r="V115" i="80" s="1"/>
  <c r="F117" i="66"/>
  <c r="F116" i="80" s="1"/>
  <c r="G117" i="66"/>
  <c r="G116" i="80" s="1"/>
  <c r="H117" i="66"/>
  <c r="H116" i="80" s="1"/>
  <c r="I117" i="66"/>
  <c r="I116" i="80" s="1"/>
  <c r="J117" i="66"/>
  <c r="J116" i="80" s="1"/>
  <c r="K117" i="66"/>
  <c r="K116" i="80" s="1"/>
  <c r="L117" i="66"/>
  <c r="L116" i="80" s="1"/>
  <c r="M117" i="66"/>
  <c r="M116" i="80" s="1"/>
  <c r="N117" i="66"/>
  <c r="N116" i="80" s="1"/>
  <c r="O117" i="66"/>
  <c r="O116" i="80" s="1"/>
  <c r="P117" i="66"/>
  <c r="P116" i="80" s="1"/>
  <c r="Q117" i="66"/>
  <c r="Q116" i="80" s="1"/>
  <c r="R117" i="66"/>
  <c r="R116" i="80" s="1"/>
  <c r="S117" i="66"/>
  <c r="S116" i="80" s="1"/>
  <c r="U117" i="66"/>
  <c r="U116" i="80" s="1"/>
  <c r="V117" i="66"/>
  <c r="V116" i="80" s="1"/>
  <c r="F118" i="66"/>
  <c r="F117" i="80" s="1"/>
  <c r="G118" i="66"/>
  <c r="G117" i="80" s="1"/>
  <c r="H118" i="66"/>
  <c r="H117" i="80" s="1"/>
  <c r="I118" i="66"/>
  <c r="I117" i="80" s="1"/>
  <c r="J118" i="66"/>
  <c r="J117" i="80" s="1"/>
  <c r="K118" i="66"/>
  <c r="K117" i="80" s="1"/>
  <c r="L118" i="66"/>
  <c r="L117" i="80" s="1"/>
  <c r="M118" i="66"/>
  <c r="M117" i="80" s="1"/>
  <c r="N118" i="66"/>
  <c r="N117" i="80" s="1"/>
  <c r="O118" i="66"/>
  <c r="O117" i="80" s="1"/>
  <c r="P118" i="66"/>
  <c r="P117" i="80" s="1"/>
  <c r="Q118" i="66"/>
  <c r="Q117" i="80" s="1"/>
  <c r="R118" i="66"/>
  <c r="R117" i="80" s="1"/>
  <c r="S118" i="66"/>
  <c r="S117" i="80" s="1"/>
  <c r="U118" i="66"/>
  <c r="U117" i="80" s="1"/>
  <c r="V118" i="66"/>
  <c r="V117" i="80" s="1"/>
  <c r="F119" i="66"/>
  <c r="F118" i="80" s="1"/>
  <c r="G119" i="66"/>
  <c r="G118" i="80" s="1"/>
  <c r="H119" i="66"/>
  <c r="H118" i="80" s="1"/>
  <c r="I119" i="66"/>
  <c r="I118" i="80" s="1"/>
  <c r="J119" i="66"/>
  <c r="J118" i="80" s="1"/>
  <c r="K119" i="66"/>
  <c r="K118" i="80" s="1"/>
  <c r="L119" i="66"/>
  <c r="L118" i="80" s="1"/>
  <c r="M119" i="66"/>
  <c r="M118" i="80" s="1"/>
  <c r="N119" i="66"/>
  <c r="N118" i="80" s="1"/>
  <c r="O119" i="66"/>
  <c r="O118" i="80" s="1"/>
  <c r="P119" i="66"/>
  <c r="P118" i="80" s="1"/>
  <c r="Q119" i="66"/>
  <c r="Q118" i="80" s="1"/>
  <c r="R119" i="66"/>
  <c r="R118" i="80" s="1"/>
  <c r="S119" i="66"/>
  <c r="S118" i="80" s="1"/>
  <c r="U119" i="66"/>
  <c r="U118" i="80" s="1"/>
  <c r="V119" i="66"/>
  <c r="V118" i="80" s="1"/>
  <c r="F120" i="66"/>
  <c r="F119" i="80" s="1"/>
  <c r="G120" i="66"/>
  <c r="G119" i="80" s="1"/>
  <c r="H120" i="66"/>
  <c r="H119" i="80" s="1"/>
  <c r="I120" i="66"/>
  <c r="I119" i="80" s="1"/>
  <c r="J120" i="66"/>
  <c r="J119" i="80" s="1"/>
  <c r="K120" i="66"/>
  <c r="K119" i="80" s="1"/>
  <c r="L120" i="66"/>
  <c r="L119" i="80" s="1"/>
  <c r="M120" i="66"/>
  <c r="M119" i="80" s="1"/>
  <c r="N120" i="66"/>
  <c r="N119" i="80" s="1"/>
  <c r="O120" i="66"/>
  <c r="O119" i="80" s="1"/>
  <c r="P120" i="66"/>
  <c r="P119" i="80" s="1"/>
  <c r="Q120" i="66"/>
  <c r="Q119" i="80" s="1"/>
  <c r="R120" i="66"/>
  <c r="R119" i="80" s="1"/>
  <c r="S120" i="66"/>
  <c r="S119" i="80" s="1"/>
  <c r="U120" i="66"/>
  <c r="U119" i="80" s="1"/>
  <c r="V120" i="66"/>
  <c r="V119" i="80" s="1"/>
  <c r="F121" i="66"/>
  <c r="F120" i="80" s="1"/>
  <c r="G121" i="66"/>
  <c r="G120" i="80" s="1"/>
  <c r="H121" i="66"/>
  <c r="H120" i="80" s="1"/>
  <c r="I121" i="66"/>
  <c r="I120" i="80" s="1"/>
  <c r="J121" i="66"/>
  <c r="J120" i="80" s="1"/>
  <c r="K121" i="66"/>
  <c r="K120" i="80" s="1"/>
  <c r="L121" i="66"/>
  <c r="L120" i="80" s="1"/>
  <c r="M121" i="66"/>
  <c r="M120" i="80" s="1"/>
  <c r="N121" i="66"/>
  <c r="N120" i="80" s="1"/>
  <c r="O121" i="66"/>
  <c r="O120" i="80" s="1"/>
  <c r="P121" i="66"/>
  <c r="P120" i="80" s="1"/>
  <c r="Q121" i="66"/>
  <c r="Q120" i="80" s="1"/>
  <c r="R121" i="66"/>
  <c r="R120" i="80" s="1"/>
  <c r="S121" i="66"/>
  <c r="S120" i="80" s="1"/>
  <c r="U121" i="66"/>
  <c r="U120" i="80" s="1"/>
  <c r="V121" i="66"/>
  <c r="V120" i="80" s="1"/>
  <c r="F122" i="66"/>
  <c r="F121" i="80" s="1"/>
  <c r="G122" i="66"/>
  <c r="G121" i="80" s="1"/>
  <c r="H122" i="66"/>
  <c r="H121" i="80" s="1"/>
  <c r="I122" i="66"/>
  <c r="I121" i="80" s="1"/>
  <c r="J122" i="66"/>
  <c r="J121" i="80" s="1"/>
  <c r="K122" i="66"/>
  <c r="K121" i="80" s="1"/>
  <c r="L122" i="66"/>
  <c r="L121" i="80" s="1"/>
  <c r="M122" i="66"/>
  <c r="M121" i="80" s="1"/>
  <c r="N122" i="66"/>
  <c r="N121" i="80" s="1"/>
  <c r="O122" i="66"/>
  <c r="O121" i="80" s="1"/>
  <c r="P122" i="66"/>
  <c r="P121" i="80" s="1"/>
  <c r="Q122" i="66"/>
  <c r="Q121" i="80" s="1"/>
  <c r="R122" i="66"/>
  <c r="R121" i="80" s="1"/>
  <c r="S122" i="66"/>
  <c r="S121" i="80" s="1"/>
  <c r="U122" i="66"/>
  <c r="U121" i="80" s="1"/>
  <c r="V122" i="66"/>
  <c r="V121" i="80" s="1"/>
  <c r="F123" i="66"/>
  <c r="F122" i="80" s="1"/>
  <c r="G123" i="66"/>
  <c r="G122" i="80" s="1"/>
  <c r="H123" i="66"/>
  <c r="H122" i="80" s="1"/>
  <c r="I123" i="66"/>
  <c r="I122" i="80" s="1"/>
  <c r="J123" i="66"/>
  <c r="J122" i="80" s="1"/>
  <c r="K123" i="66"/>
  <c r="K122" i="80" s="1"/>
  <c r="L123" i="66"/>
  <c r="L122" i="80" s="1"/>
  <c r="M123" i="66"/>
  <c r="M122" i="80" s="1"/>
  <c r="N123" i="66"/>
  <c r="N122" i="80" s="1"/>
  <c r="O123" i="66"/>
  <c r="O122" i="80" s="1"/>
  <c r="P123" i="66"/>
  <c r="P122" i="80" s="1"/>
  <c r="Q123" i="66"/>
  <c r="Q122" i="80" s="1"/>
  <c r="R123" i="66"/>
  <c r="R122" i="80" s="1"/>
  <c r="S123" i="66"/>
  <c r="S122" i="80" s="1"/>
  <c r="U123" i="66"/>
  <c r="U122" i="80" s="1"/>
  <c r="V123" i="66"/>
  <c r="V122" i="80" s="1"/>
  <c r="F124" i="66"/>
  <c r="F123" i="80" s="1"/>
  <c r="G124" i="66"/>
  <c r="G123" i="80" s="1"/>
  <c r="H124" i="66"/>
  <c r="H123" i="80" s="1"/>
  <c r="I124" i="66"/>
  <c r="I123" i="80" s="1"/>
  <c r="J124" i="66"/>
  <c r="J123" i="80" s="1"/>
  <c r="K124" i="66"/>
  <c r="K123" i="80" s="1"/>
  <c r="L124" i="66"/>
  <c r="L123" i="80" s="1"/>
  <c r="M124" i="66"/>
  <c r="M123" i="80" s="1"/>
  <c r="N124" i="66"/>
  <c r="N123" i="80" s="1"/>
  <c r="O124" i="66"/>
  <c r="O123" i="80" s="1"/>
  <c r="P124" i="66"/>
  <c r="P123" i="80" s="1"/>
  <c r="Q124" i="66"/>
  <c r="Q123" i="80" s="1"/>
  <c r="R124" i="66"/>
  <c r="R123" i="80" s="1"/>
  <c r="S124" i="66"/>
  <c r="S123" i="80" s="1"/>
  <c r="U124" i="66"/>
  <c r="U123" i="80" s="1"/>
  <c r="V124" i="66"/>
  <c r="V123" i="80" s="1"/>
  <c r="F125" i="66"/>
  <c r="F124" i="80" s="1"/>
  <c r="G125" i="66"/>
  <c r="G124" i="80" s="1"/>
  <c r="H125" i="66"/>
  <c r="H124" i="80" s="1"/>
  <c r="I125" i="66"/>
  <c r="I124" i="80" s="1"/>
  <c r="J125" i="66"/>
  <c r="J124" i="80" s="1"/>
  <c r="K125" i="66"/>
  <c r="K124" i="80" s="1"/>
  <c r="L125" i="66"/>
  <c r="L124" i="80" s="1"/>
  <c r="M125" i="66"/>
  <c r="M124" i="80" s="1"/>
  <c r="N125" i="66"/>
  <c r="N124" i="80" s="1"/>
  <c r="O125" i="66"/>
  <c r="O124" i="80" s="1"/>
  <c r="P125" i="66"/>
  <c r="P124" i="80" s="1"/>
  <c r="Q125" i="66"/>
  <c r="Q124" i="80" s="1"/>
  <c r="R125" i="66"/>
  <c r="R124" i="80" s="1"/>
  <c r="S125" i="66"/>
  <c r="S124" i="80" s="1"/>
  <c r="U125" i="66"/>
  <c r="U124" i="80" s="1"/>
  <c r="V125" i="66"/>
  <c r="V124" i="80" s="1"/>
  <c r="F126" i="66"/>
  <c r="F125" i="80" s="1"/>
  <c r="G126" i="66"/>
  <c r="G125" i="80" s="1"/>
  <c r="H126" i="66"/>
  <c r="H125" i="80" s="1"/>
  <c r="I126" i="66"/>
  <c r="I125" i="80" s="1"/>
  <c r="J126" i="66"/>
  <c r="J125" i="80" s="1"/>
  <c r="K126" i="66"/>
  <c r="K125" i="80" s="1"/>
  <c r="L126" i="66"/>
  <c r="L125" i="80" s="1"/>
  <c r="M126" i="66"/>
  <c r="M125" i="80" s="1"/>
  <c r="N126" i="66"/>
  <c r="N125" i="80" s="1"/>
  <c r="O126" i="66"/>
  <c r="O125" i="80" s="1"/>
  <c r="P126" i="66"/>
  <c r="P125" i="80" s="1"/>
  <c r="Q126" i="66"/>
  <c r="Q125" i="80" s="1"/>
  <c r="R126" i="66"/>
  <c r="R125" i="80" s="1"/>
  <c r="S126" i="66"/>
  <c r="S125" i="80" s="1"/>
  <c r="U126" i="66"/>
  <c r="U125" i="80" s="1"/>
  <c r="V126" i="66"/>
  <c r="V125" i="80" s="1"/>
  <c r="F127" i="66"/>
  <c r="F126" i="80" s="1"/>
  <c r="G127" i="66"/>
  <c r="G126" i="80" s="1"/>
  <c r="H127" i="66"/>
  <c r="H126" i="80" s="1"/>
  <c r="I127" i="66"/>
  <c r="I126" i="80" s="1"/>
  <c r="J127" i="66"/>
  <c r="J126" i="80" s="1"/>
  <c r="K127" i="66"/>
  <c r="K126" i="80" s="1"/>
  <c r="L127" i="66"/>
  <c r="L126" i="80" s="1"/>
  <c r="M127" i="66"/>
  <c r="M126" i="80" s="1"/>
  <c r="N127" i="66"/>
  <c r="N126" i="80" s="1"/>
  <c r="O127" i="66"/>
  <c r="O126" i="80" s="1"/>
  <c r="P127" i="66"/>
  <c r="P126" i="80" s="1"/>
  <c r="Q127" i="66"/>
  <c r="Q126" i="80" s="1"/>
  <c r="R127" i="66"/>
  <c r="R126" i="80" s="1"/>
  <c r="S127" i="66"/>
  <c r="S126" i="80" s="1"/>
  <c r="U127" i="66"/>
  <c r="U126" i="80" s="1"/>
  <c r="V127" i="66"/>
  <c r="V126" i="80" s="1"/>
  <c r="F128" i="66"/>
  <c r="F127" i="80" s="1"/>
  <c r="G128" i="66"/>
  <c r="G127" i="80" s="1"/>
  <c r="H128" i="66"/>
  <c r="H127" i="80" s="1"/>
  <c r="I128" i="66"/>
  <c r="I127" i="80" s="1"/>
  <c r="J128" i="66"/>
  <c r="J127" i="80" s="1"/>
  <c r="K128" i="66"/>
  <c r="K127" i="80" s="1"/>
  <c r="L128" i="66"/>
  <c r="L127" i="80" s="1"/>
  <c r="M128" i="66"/>
  <c r="M127" i="80" s="1"/>
  <c r="N128" i="66"/>
  <c r="N127" i="80" s="1"/>
  <c r="O128" i="66"/>
  <c r="O127" i="80" s="1"/>
  <c r="P128" i="66"/>
  <c r="P127" i="80" s="1"/>
  <c r="Q128" i="66"/>
  <c r="Q127" i="80" s="1"/>
  <c r="R128" i="66"/>
  <c r="R127" i="80" s="1"/>
  <c r="S128" i="66"/>
  <c r="S127" i="80" s="1"/>
  <c r="U128" i="66"/>
  <c r="U127" i="80" s="1"/>
  <c r="V128" i="66"/>
  <c r="V127" i="80" s="1"/>
  <c r="F129" i="66"/>
  <c r="F128" i="80" s="1"/>
  <c r="G129" i="66"/>
  <c r="G128" i="80" s="1"/>
  <c r="H129" i="66"/>
  <c r="H128" i="80" s="1"/>
  <c r="I129" i="66"/>
  <c r="I128" i="80" s="1"/>
  <c r="J129" i="66"/>
  <c r="J128" i="80" s="1"/>
  <c r="K129" i="66"/>
  <c r="K128" i="80" s="1"/>
  <c r="L129" i="66"/>
  <c r="L128" i="80" s="1"/>
  <c r="M129" i="66"/>
  <c r="M128" i="80" s="1"/>
  <c r="N129" i="66"/>
  <c r="N128" i="80" s="1"/>
  <c r="O129" i="66"/>
  <c r="O128" i="80" s="1"/>
  <c r="P129" i="66"/>
  <c r="P128" i="80" s="1"/>
  <c r="Q129" i="66"/>
  <c r="Q128" i="80" s="1"/>
  <c r="R129" i="66"/>
  <c r="R128" i="80" s="1"/>
  <c r="S129" i="66"/>
  <c r="S128" i="80" s="1"/>
  <c r="U129" i="66"/>
  <c r="U128" i="80" s="1"/>
  <c r="V129" i="66"/>
  <c r="V128" i="80" s="1"/>
  <c r="F130" i="66"/>
  <c r="F129" i="80" s="1"/>
  <c r="G130" i="66"/>
  <c r="G129" i="80" s="1"/>
  <c r="H130" i="66"/>
  <c r="H129" i="80" s="1"/>
  <c r="I130" i="66"/>
  <c r="I129" i="80" s="1"/>
  <c r="J130" i="66"/>
  <c r="J129" i="80" s="1"/>
  <c r="K130" i="66"/>
  <c r="K129" i="80" s="1"/>
  <c r="L130" i="66"/>
  <c r="L129" i="80" s="1"/>
  <c r="M130" i="66"/>
  <c r="M129" i="80" s="1"/>
  <c r="N130" i="66"/>
  <c r="N129" i="80" s="1"/>
  <c r="O130" i="66"/>
  <c r="O129" i="80" s="1"/>
  <c r="P130" i="66"/>
  <c r="P129" i="80" s="1"/>
  <c r="Q130" i="66"/>
  <c r="Q129" i="80" s="1"/>
  <c r="R130" i="66"/>
  <c r="R129" i="80" s="1"/>
  <c r="S130" i="66"/>
  <c r="S129" i="80" s="1"/>
  <c r="U130" i="66"/>
  <c r="U129" i="80" s="1"/>
  <c r="V130" i="66"/>
  <c r="V129" i="80" s="1"/>
  <c r="F131" i="66"/>
  <c r="F130" i="80" s="1"/>
  <c r="G131" i="66"/>
  <c r="G130" i="80" s="1"/>
  <c r="H131" i="66"/>
  <c r="H130" i="80" s="1"/>
  <c r="I131" i="66"/>
  <c r="I130" i="80" s="1"/>
  <c r="J131" i="66"/>
  <c r="J130" i="80" s="1"/>
  <c r="K131" i="66"/>
  <c r="K130" i="80" s="1"/>
  <c r="L131" i="66"/>
  <c r="L130" i="80" s="1"/>
  <c r="M131" i="66"/>
  <c r="M130" i="80" s="1"/>
  <c r="N131" i="66"/>
  <c r="N130" i="80" s="1"/>
  <c r="O131" i="66"/>
  <c r="O130" i="80" s="1"/>
  <c r="P131" i="66"/>
  <c r="P130" i="80" s="1"/>
  <c r="Q131" i="66"/>
  <c r="Q130" i="80" s="1"/>
  <c r="R131" i="66"/>
  <c r="R130" i="80" s="1"/>
  <c r="S131" i="66"/>
  <c r="S130" i="80" s="1"/>
  <c r="U131" i="66"/>
  <c r="U130" i="80" s="1"/>
  <c r="V131" i="66"/>
  <c r="V130" i="80" s="1"/>
  <c r="F132" i="66"/>
  <c r="F131" i="80" s="1"/>
  <c r="G132" i="66"/>
  <c r="G131" i="80" s="1"/>
  <c r="H132" i="66"/>
  <c r="H131" i="80" s="1"/>
  <c r="I132" i="66"/>
  <c r="I131" i="80" s="1"/>
  <c r="J132" i="66"/>
  <c r="J131" i="80" s="1"/>
  <c r="K132" i="66"/>
  <c r="K131" i="80" s="1"/>
  <c r="L132" i="66"/>
  <c r="L131" i="80" s="1"/>
  <c r="M132" i="66"/>
  <c r="M131" i="80" s="1"/>
  <c r="N132" i="66"/>
  <c r="N131" i="80" s="1"/>
  <c r="O132" i="66"/>
  <c r="O131" i="80" s="1"/>
  <c r="P132" i="66"/>
  <c r="P131" i="80" s="1"/>
  <c r="Q132" i="66"/>
  <c r="Q131" i="80" s="1"/>
  <c r="R132" i="66"/>
  <c r="R131" i="80" s="1"/>
  <c r="S132" i="66"/>
  <c r="S131" i="80" s="1"/>
  <c r="U132" i="66"/>
  <c r="U131" i="80" s="1"/>
  <c r="V132" i="66"/>
  <c r="V131" i="80" s="1"/>
  <c r="F133" i="66"/>
  <c r="F132" i="80" s="1"/>
  <c r="G133" i="66"/>
  <c r="G132" i="77" s="1"/>
  <c r="H133" i="66"/>
  <c r="H132" i="80" s="1"/>
  <c r="I133" i="66"/>
  <c r="I132" i="80" s="1"/>
  <c r="J133" i="66"/>
  <c r="J132" i="80" s="1"/>
  <c r="K133" i="66"/>
  <c r="K132" i="80" s="1"/>
  <c r="L133" i="66"/>
  <c r="L132" i="80" s="1"/>
  <c r="M133" i="66"/>
  <c r="M132" i="80" s="1"/>
  <c r="N133" i="66"/>
  <c r="N132" i="80" s="1"/>
  <c r="O133" i="66"/>
  <c r="O132" i="80" s="1"/>
  <c r="P133" i="66"/>
  <c r="P132" i="80" s="1"/>
  <c r="Q133" i="66"/>
  <c r="Q132" i="80" s="1"/>
  <c r="R133" i="66"/>
  <c r="R132" i="80" s="1"/>
  <c r="S133" i="66"/>
  <c r="S132" i="80" s="1"/>
  <c r="U133" i="66"/>
  <c r="U132" i="80" s="1"/>
  <c r="V133" i="66"/>
  <c r="V132" i="80" s="1"/>
  <c r="F134" i="66"/>
  <c r="F133" i="80" s="1"/>
  <c r="G134" i="66"/>
  <c r="G133" i="80" s="1"/>
  <c r="H134" i="66"/>
  <c r="H133" i="80" s="1"/>
  <c r="I134" i="66"/>
  <c r="I133" i="80" s="1"/>
  <c r="J134" i="66"/>
  <c r="J133" i="80" s="1"/>
  <c r="K134" i="66"/>
  <c r="K133" i="80" s="1"/>
  <c r="L134" i="66"/>
  <c r="L133" i="80" s="1"/>
  <c r="M134" i="66"/>
  <c r="M133" i="80" s="1"/>
  <c r="N134" i="66"/>
  <c r="N133" i="80" s="1"/>
  <c r="O134" i="66"/>
  <c r="O133" i="80" s="1"/>
  <c r="P134" i="66"/>
  <c r="P133" i="80" s="1"/>
  <c r="Q134" i="66"/>
  <c r="Q133" i="80" s="1"/>
  <c r="R134" i="66"/>
  <c r="R133" i="80" s="1"/>
  <c r="S134" i="66"/>
  <c r="S133" i="80" s="1"/>
  <c r="U134" i="66"/>
  <c r="U133" i="80" s="1"/>
  <c r="V134" i="66"/>
  <c r="V133" i="80" s="1"/>
  <c r="F135" i="66"/>
  <c r="F134" i="80" s="1"/>
  <c r="G135" i="66"/>
  <c r="G134" i="80" s="1"/>
  <c r="H135" i="66"/>
  <c r="H134" i="80" s="1"/>
  <c r="I135" i="66"/>
  <c r="I134" i="80" s="1"/>
  <c r="J135" i="66"/>
  <c r="J134" i="80" s="1"/>
  <c r="K135" i="66"/>
  <c r="K134" i="80" s="1"/>
  <c r="L135" i="66"/>
  <c r="L134" i="80" s="1"/>
  <c r="M135" i="66"/>
  <c r="M134" i="80" s="1"/>
  <c r="N135" i="66"/>
  <c r="N134" i="80" s="1"/>
  <c r="O135" i="66"/>
  <c r="O134" i="80" s="1"/>
  <c r="P135" i="66"/>
  <c r="P134" i="80" s="1"/>
  <c r="Q135" i="66"/>
  <c r="Q134" i="80" s="1"/>
  <c r="R135" i="66"/>
  <c r="R134" i="80" s="1"/>
  <c r="S135" i="66"/>
  <c r="S134" i="80" s="1"/>
  <c r="U135" i="66"/>
  <c r="U134" i="80" s="1"/>
  <c r="V135" i="66"/>
  <c r="V134" i="80" s="1"/>
  <c r="F136" i="66"/>
  <c r="F135" i="80" s="1"/>
  <c r="G136" i="66"/>
  <c r="G135" i="80" s="1"/>
  <c r="H136" i="66"/>
  <c r="H135" i="80" s="1"/>
  <c r="I136" i="66"/>
  <c r="I135" i="80" s="1"/>
  <c r="J136" i="66"/>
  <c r="J135" i="80" s="1"/>
  <c r="K136" i="66"/>
  <c r="K135" i="80" s="1"/>
  <c r="L136" i="66"/>
  <c r="L135" i="80" s="1"/>
  <c r="M136" i="66"/>
  <c r="M135" i="80" s="1"/>
  <c r="N136" i="66"/>
  <c r="N135" i="80" s="1"/>
  <c r="O136" i="66"/>
  <c r="O135" i="80" s="1"/>
  <c r="P136" i="66"/>
  <c r="P135" i="80" s="1"/>
  <c r="Q136" i="66"/>
  <c r="Q135" i="80" s="1"/>
  <c r="R136" i="66"/>
  <c r="R135" i="80" s="1"/>
  <c r="S136" i="66"/>
  <c r="S135" i="80" s="1"/>
  <c r="U136" i="66"/>
  <c r="U135" i="80" s="1"/>
  <c r="V136" i="66"/>
  <c r="V135" i="80" s="1"/>
  <c r="F137" i="66"/>
  <c r="F136" i="80" s="1"/>
  <c r="G137" i="66"/>
  <c r="G136" i="80" s="1"/>
  <c r="H137" i="66"/>
  <c r="H136" i="80" s="1"/>
  <c r="I137" i="66"/>
  <c r="I136" i="80" s="1"/>
  <c r="J137" i="66"/>
  <c r="J136" i="80" s="1"/>
  <c r="K137" i="66"/>
  <c r="K136" i="80" s="1"/>
  <c r="L137" i="66"/>
  <c r="L136" i="80" s="1"/>
  <c r="M137" i="66"/>
  <c r="M136" i="80" s="1"/>
  <c r="N137" i="66"/>
  <c r="N136" i="80" s="1"/>
  <c r="O137" i="66"/>
  <c r="O136" i="80" s="1"/>
  <c r="P137" i="66"/>
  <c r="P136" i="80" s="1"/>
  <c r="Q137" i="66"/>
  <c r="Q136" i="80" s="1"/>
  <c r="R137" i="66"/>
  <c r="R136" i="80" s="1"/>
  <c r="S137" i="66"/>
  <c r="S136" i="80" s="1"/>
  <c r="U137" i="66"/>
  <c r="U136" i="80" s="1"/>
  <c r="V137" i="66"/>
  <c r="V136" i="80" s="1"/>
  <c r="F138" i="66"/>
  <c r="F137" i="80" s="1"/>
  <c r="G138" i="66"/>
  <c r="G137" i="80" s="1"/>
  <c r="H138" i="66"/>
  <c r="H137" i="80" s="1"/>
  <c r="I138" i="66"/>
  <c r="I137" i="80" s="1"/>
  <c r="J138" i="66"/>
  <c r="J137" i="80" s="1"/>
  <c r="K138" i="66"/>
  <c r="K137" i="80" s="1"/>
  <c r="L138" i="66"/>
  <c r="L137" i="80" s="1"/>
  <c r="M138" i="66"/>
  <c r="M137" i="80" s="1"/>
  <c r="N138" i="66"/>
  <c r="N137" i="80" s="1"/>
  <c r="O138" i="66"/>
  <c r="O137" i="80" s="1"/>
  <c r="P138" i="66"/>
  <c r="P137" i="80" s="1"/>
  <c r="Q138" i="66"/>
  <c r="Q137" i="80" s="1"/>
  <c r="R138" i="66"/>
  <c r="R137" i="80" s="1"/>
  <c r="S138" i="66"/>
  <c r="S137" i="80" s="1"/>
  <c r="U138" i="66"/>
  <c r="U137" i="80" s="1"/>
  <c r="V138" i="66"/>
  <c r="V137" i="80" s="1"/>
  <c r="F139" i="66"/>
  <c r="F138" i="80" s="1"/>
  <c r="G139" i="66"/>
  <c r="G138" i="77" s="1"/>
  <c r="H139" i="66"/>
  <c r="H138" i="80" s="1"/>
  <c r="I139" i="66"/>
  <c r="I138" i="80" s="1"/>
  <c r="J139" i="66"/>
  <c r="J138" i="80" s="1"/>
  <c r="K139" i="66"/>
  <c r="K138" i="80" s="1"/>
  <c r="L139" i="66"/>
  <c r="L138" i="80" s="1"/>
  <c r="M139" i="66"/>
  <c r="M138" i="80" s="1"/>
  <c r="N139" i="66"/>
  <c r="N138" i="80" s="1"/>
  <c r="O139" i="66"/>
  <c r="O138" i="80" s="1"/>
  <c r="P139" i="66"/>
  <c r="P138" i="80" s="1"/>
  <c r="Q139" i="66"/>
  <c r="Q138" i="80" s="1"/>
  <c r="R139" i="66"/>
  <c r="R138" i="80" s="1"/>
  <c r="S139" i="66"/>
  <c r="S138" i="80" s="1"/>
  <c r="U139" i="66"/>
  <c r="U138" i="80" s="1"/>
  <c r="V139" i="66"/>
  <c r="V138" i="80" s="1"/>
  <c r="F140" i="66"/>
  <c r="F139" i="80" s="1"/>
  <c r="G140" i="66"/>
  <c r="G139" i="80" s="1"/>
  <c r="H140" i="66"/>
  <c r="H139" i="80" s="1"/>
  <c r="I140" i="66"/>
  <c r="I139" i="80" s="1"/>
  <c r="J140" i="66"/>
  <c r="J139" i="80" s="1"/>
  <c r="K140" i="66"/>
  <c r="K139" i="80" s="1"/>
  <c r="L140" i="66"/>
  <c r="L139" i="80" s="1"/>
  <c r="M140" i="66"/>
  <c r="M139" i="80" s="1"/>
  <c r="N140" i="66"/>
  <c r="N139" i="80" s="1"/>
  <c r="O140" i="66"/>
  <c r="O139" i="80" s="1"/>
  <c r="P140" i="66"/>
  <c r="P139" i="80" s="1"/>
  <c r="Q140" i="66"/>
  <c r="Q139" i="80" s="1"/>
  <c r="R140" i="66"/>
  <c r="R139" i="80" s="1"/>
  <c r="S140" i="66"/>
  <c r="S139" i="80" s="1"/>
  <c r="U140" i="66"/>
  <c r="U139" i="80" s="1"/>
  <c r="V140" i="66"/>
  <c r="V139" i="80" s="1"/>
  <c r="F141" i="66"/>
  <c r="F140" i="80" s="1"/>
  <c r="G141" i="66"/>
  <c r="G140" i="80" s="1"/>
  <c r="H141" i="66"/>
  <c r="H140" i="80" s="1"/>
  <c r="I141" i="66"/>
  <c r="I140" i="80" s="1"/>
  <c r="J141" i="66"/>
  <c r="J140" i="80" s="1"/>
  <c r="K141" i="66"/>
  <c r="K140" i="80" s="1"/>
  <c r="L141" i="66"/>
  <c r="L140" i="80" s="1"/>
  <c r="M141" i="66"/>
  <c r="M140" i="80" s="1"/>
  <c r="N141" i="66"/>
  <c r="N140" i="80" s="1"/>
  <c r="O141" i="66"/>
  <c r="O140" i="80" s="1"/>
  <c r="P141" i="66"/>
  <c r="P140" i="80" s="1"/>
  <c r="Q141" i="66"/>
  <c r="Q140" i="80" s="1"/>
  <c r="R141" i="66"/>
  <c r="R140" i="80" s="1"/>
  <c r="S141" i="66"/>
  <c r="S140" i="80" s="1"/>
  <c r="U141" i="66"/>
  <c r="U140" i="80" s="1"/>
  <c r="V141" i="66"/>
  <c r="V140" i="80" s="1"/>
  <c r="F142" i="66"/>
  <c r="F141" i="80" s="1"/>
  <c r="G142" i="66"/>
  <c r="G141" i="80" s="1"/>
  <c r="H142" i="66"/>
  <c r="H141" i="80" s="1"/>
  <c r="I142" i="66"/>
  <c r="I141" i="80" s="1"/>
  <c r="J142" i="66"/>
  <c r="J141" i="80" s="1"/>
  <c r="K142" i="66"/>
  <c r="K141" i="80" s="1"/>
  <c r="L142" i="66"/>
  <c r="L141" i="80" s="1"/>
  <c r="M142" i="66"/>
  <c r="M141" i="80" s="1"/>
  <c r="N142" i="66"/>
  <c r="N141" i="80" s="1"/>
  <c r="O142" i="66"/>
  <c r="O141" i="80" s="1"/>
  <c r="P142" i="66"/>
  <c r="P141" i="80" s="1"/>
  <c r="Q142" i="66"/>
  <c r="Q141" i="80" s="1"/>
  <c r="R142" i="66"/>
  <c r="R141" i="80" s="1"/>
  <c r="S142" i="66"/>
  <c r="S141" i="80" s="1"/>
  <c r="U142" i="66"/>
  <c r="U141" i="80" s="1"/>
  <c r="V142" i="66"/>
  <c r="V141" i="80" s="1"/>
  <c r="F143" i="66"/>
  <c r="F142" i="80" s="1"/>
  <c r="G143" i="66"/>
  <c r="G142" i="77" s="1"/>
  <c r="H143" i="66"/>
  <c r="H142" i="80" s="1"/>
  <c r="I143" i="66"/>
  <c r="I142" i="80" s="1"/>
  <c r="J143" i="66"/>
  <c r="J142" i="80" s="1"/>
  <c r="K143" i="66"/>
  <c r="K142" i="80" s="1"/>
  <c r="L143" i="66"/>
  <c r="L142" i="80" s="1"/>
  <c r="M143" i="66"/>
  <c r="M142" i="80" s="1"/>
  <c r="N143" i="66"/>
  <c r="N142" i="80" s="1"/>
  <c r="O143" i="66"/>
  <c r="O142" i="80" s="1"/>
  <c r="P143" i="66"/>
  <c r="P142" i="80" s="1"/>
  <c r="Q143" i="66"/>
  <c r="Q142" i="80" s="1"/>
  <c r="R143" i="66"/>
  <c r="R142" i="80" s="1"/>
  <c r="S143" i="66"/>
  <c r="S142" i="80" s="1"/>
  <c r="U143" i="66"/>
  <c r="U142" i="80" s="1"/>
  <c r="V143" i="66"/>
  <c r="V142" i="80" s="1"/>
  <c r="F144" i="66"/>
  <c r="F143" i="80" s="1"/>
  <c r="G144" i="66"/>
  <c r="G143" i="80" s="1"/>
  <c r="H144" i="66"/>
  <c r="H143" i="80" s="1"/>
  <c r="I144" i="66"/>
  <c r="I143" i="80" s="1"/>
  <c r="J144" i="66"/>
  <c r="J143" i="80" s="1"/>
  <c r="K144" i="66"/>
  <c r="K143" i="80" s="1"/>
  <c r="L144" i="66"/>
  <c r="L143" i="80" s="1"/>
  <c r="M144" i="66"/>
  <c r="M143" i="80" s="1"/>
  <c r="N144" i="66"/>
  <c r="N143" i="80" s="1"/>
  <c r="O144" i="66"/>
  <c r="O143" i="80" s="1"/>
  <c r="P144" i="66"/>
  <c r="P143" i="80" s="1"/>
  <c r="Q144" i="66"/>
  <c r="Q143" i="80" s="1"/>
  <c r="R144" i="66"/>
  <c r="R143" i="80" s="1"/>
  <c r="S144" i="66"/>
  <c r="S143" i="80" s="1"/>
  <c r="U144" i="66"/>
  <c r="U143" i="80" s="1"/>
  <c r="V144" i="66"/>
  <c r="V143" i="80" s="1"/>
  <c r="F145" i="66"/>
  <c r="F144" i="80" s="1"/>
  <c r="G145" i="66"/>
  <c r="G144" i="80" s="1"/>
  <c r="H145" i="66"/>
  <c r="H144" i="80" s="1"/>
  <c r="I145" i="66"/>
  <c r="I144" i="80" s="1"/>
  <c r="J145" i="66"/>
  <c r="J144" i="80" s="1"/>
  <c r="K145" i="66"/>
  <c r="K144" i="80" s="1"/>
  <c r="L145" i="66"/>
  <c r="L144" i="80" s="1"/>
  <c r="M145" i="66"/>
  <c r="M144" i="80" s="1"/>
  <c r="N145" i="66"/>
  <c r="N144" i="80" s="1"/>
  <c r="O145" i="66"/>
  <c r="O144" i="80" s="1"/>
  <c r="P145" i="66"/>
  <c r="P144" i="80" s="1"/>
  <c r="Q145" i="66"/>
  <c r="Q144" i="80" s="1"/>
  <c r="R145" i="66"/>
  <c r="R144" i="80" s="1"/>
  <c r="S145" i="66"/>
  <c r="S144" i="80" s="1"/>
  <c r="U145" i="66"/>
  <c r="U144" i="80" s="1"/>
  <c r="V145" i="66"/>
  <c r="V144" i="80" s="1"/>
  <c r="F146" i="66"/>
  <c r="F145" i="80" s="1"/>
  <c r="G146" i="66"/>
  <c r="G145" i="80" s="1"/>
  <c r="H146" i="66"/>
  <c r="H145" i="80" s="1"/>
  <c r="I146" i="66"/>
  <c r="I145" i="80" s="1"/>
  <c r="J146" i="66"/>
  <c r="J145" i="80" s="1"/>
  <c r="K146" i="66"/>
  <c r="K145" i="80" s="1"/>
  <c r="L146" i="66"/>
  <c r="L145" i="80" s="1"/>
  <c r="M146" i="66"/>
  <c r="M145" i="80" s="1"/>
  <c r="N146" i="66"/>
  <c r="N145" i="80" s="1"/>
  <c r="O146" i="66"/>
  <c r="O145" i="80" s="1"/>
  <c r="P146" i="66"/>
  <c r="P145" i="80" s="1"/>
  <c r="Q146" i="66"/>
  <c r="Q145" i="80" s="1"/>
  <c r="R146" i="66"/>
  <c r="R145" i="80" s="1"/>
  <c r="S146" i="66"/>
  <c r="S145" i="80" s="1"/>
  <c r="U146" i="66"/>
  <c r="U145" i="80" s="1"/>
  <c r="V146" i="66"/>
  <c r="V145" i="80" s="1"/>
  <c r="F147" i="66"/>
  <c r="F146" i="80" s="1"/>
  <c r="G147" i="66"/>
  <c r="G146" i="77" s="1"/>
  <c r="H147" i="66"/>
  <c r="H146" i="80" s="1"/>
  <c r="I147" i="66"/>
  <c r="I146" i="80" s="1"/>
  <c r="J147" i="66"/>
  <c r="J146" i="80" s="1"/>
  <c r="K147" i="66"/>
  <c r="K146" i="80" s="1"/>
  <c r="L147" i="66"/>
  <c r="L146" i="80" s="1"/>
  <c r="M147" i="66"/>
  <c r="M146" i="80" s="1"/>
  <c r="N147" i="66"/>
  <c r="N146" i="80" s="1"/>
  <c r="O147" i="66"/>
  <c r="O146" i="80" s="1"/>
  <c r="P147" i="66"/>
  <c r="P146" i="80" s="1"/>
  <c r="Q147" i="66"/>
  <c r="Q146" i="80" s="1"/>
  <c r="R147" i="66"/>
  <c r="R146" i="80" s="1"/>
  <c r="S147" i="66"/>
  <c r="S146" i="80" s="1"/>
  <c r="U147" i="66"/>
  <c r="U146" i="80" s="1"/>
  <c r="V147" i="66"/>
  <c r="V146" i="80" s="1"/>
  <c r="F148" i="66"/>
  <c r="F147" i="80" s="1"/>
  <c r="G148" i="66"/>
  <c r="G147" i="80" s="1"/>
  <c r="H148" i="66"/>
  <c r="H147" i="80" s="1"/>
  <c r="I148" i="66"/>
  <c r="I147" i="80" s="1"/>
  <c r="J148" i="66"/>
  <c r="J147" i="80" s="1"/>
  <c r="K148" i="66"/>
  <c r="K147" i="80" s="1"/>
  <c r="L148" i="66"/>
  <c r="L147" i="80" s="1"/>
  <c r="M148" i="66"/>
  <c r="M147" i="80" s="1"/>
  <c r="N148" i="66"/>
  <c r="N147" i="80" s="1"/>
  <c r="O148" i="66"/>
  <c r="O147" i="80" s="1"/>
  <c r="P148" i="66"/>
  <c r="P147" i="80" s="1"/>
  <c r="Q148" i="66"/>
  <c r="Q147" i="80" s="1"/>
  <c r="R148" i="66"/>
  <c r="R147" i="80" s="1"/>
  <c r="S148" i="66"/>
  <c r="S147" i="80" s="1"/>
  <c r="U148" i="66"/>
  <c r="U147" i="80" s="1"/>
  <c r="V148" i="66"/>
  <c r="V147" i="80" s="1"/>
  <c r="F149" i="66"/>
  <c r="F148" i="80" s="1"/>
  <c r="G149" i="66"/>
  <c r="G148" i="80" s="1"/>
  <c r="H149" i="66"/>
  <c r="H148" i="80" s="1"/>
  <c r="I149" i="66"/>
  <c r="I148" i="80" s="1"/>
  <c r="J149" i="66"/>
  <c r="J148" i="80" s="1"/>
  <c r="K149" i="66"/>
  <c r="K148" i="80" s="1"/>
  <c r="L149" i="66"/>
  <c r="L148" i="80" s="1"/>
  <c r="M149" i="66"/>
  <c r="M148" i="80" s="1"/>
  <c r="N149" i="66"/>
  <c r="N148" i="80" s="1"/>
  <c r="O149" i="66"/>
  <c r="O148" i="80" s="1"/>
  <c r="P149" i="66"/>
  <c r="P148" i="80" s="1"/>
  <c r="Q149" i="66"/>
  <c r="Q148" i="80" s="1"/>
  <c r="R149" i="66"/>
  <c r="R148" i="80" s="1"/>
  <c r="S149" i="66"/>
  <c r="S148" i="80" s="1"/>
  <c r="U149" i="66"/>
  <c r="U148" i="80" s="1"/>
  <c r="V149" i="66"/>
  <c r="V148" i="80" s="1"/>
  <c r="F150" i="66"/>
  <c r="F149" i="80" s="1"/>
  <c r="G150" i="66"/>
  <c r="G149" i="80" s="1"/>
  <c r="H150" i="66"/>
  <c r="H149" i="80" s="1"/>
  <c r="I150" i="66"/>
  <c r="I149" i="80" s="1"/>
  <c r="J150" i="66"/>
  <c r="J149" i="80" s="1"/>
  <c r="K150" i="66"/>
  <c r="K149" i="80" s="1"/>
  <c r="L150" i="66"/>
  <c r="L149" i="80" s="1"/>
  <c r="M150" i="66"/>
  <c r="M149" i="80" s="1"/>
  <c r="N150" i="66"/>
  <c r="N149" i="80" s="1"/>
  <c r="O150" i="66"/>
  <c r="O149" i="80" s="1"/>
  <c r="P150" i="66"/>
  <c r="P149" i="80" s="1"/>
  <c r="Q150" i="66"/>
  <c r="Q149" i="80" s="1"/>
  <c r="R150" i="66"/>
  <c r="R149" i="80" s="1"/>
  <c r="S150" i="66"/>
  <c r="S149" i="80" s="1"/>
  <c r="U150" i="66"/>
  <c r="U149" i="80" s="1"/>
  <c r="V150" i="66"/>
  <c r="V149" i="80" s="1"/>
  <c r="F151" i="66"/>
  <c r="F150" i="80" s="1"/>
  <c r="G151" i="66"/>
  <c r="G150" i="77" s="1"/>
  <c r="H151" i="66"/>
  <c r="H150" i="80" s="1"/>
  <c r="I151" i="66"/>
  <c r="I150" i="80" s="1"/>
  <c r="J151" i="66"/>
  <c r="J150" i="80" s="1"/>
  <c r="K151" i="66"/>
  <c r="K150" i="80" s="1"/>
  <c r="L151" i="66"/>
  <c r="L150" i="80" s="1"/>
  <c r="M151" i="66"/>
  <c r="M150" i="80" s="1"/>
  <c r="N151" i="66"/>
  <c r="N150" i="80" s="1"/>
  <c r="O151" i="66"/>
  <c r="O150" i="80" s="1"/>
  <c r="P151" i="66"/>
  <c r="P150" i="80" s="1"/>
  <c r="Q151" i="66"/>
  <c r="Q150" i="80" s="1"/>
  <c r="R151" i="66"/>
  <c r="R150" i="80" s="1"/>
  <c r="S151" i="66"/>
  <c r="S150" i="80" s="1"/>
  <c r="U151" i="66"/>
  <c r="U150" i="80" s="1"/>
  <c r="V151" i="66"/>
  <c r="V150" i="80" s="1"/>
  <c r="F152" i="66"/>
  <c r="F151" i="80" s="1"/>
  <c r="G152" i="66"/>
  <c r="G151" i="80" s="1"/>
  <c r="H152" i="66"/>
  <c r="H151" i="80" s="1"/>
  <c r="I152" i="66"/>
  <c r="I151" i="80" s="1"/>
  <c r="J152" i="66"/>
  <c r="J151" i="80" s="1"/>
  <c r="K152" i="66"/>
  <c r="K151" i="80" s="1"/>
  <c r="L152" i="66"/>
  <c r="L151" i="80" s="1"/>
  <c r="M152" i="66"/>
  <c r="M151" i="80" s="1"/>
  <c r="N152" i="66"/>
  <c r="N151" i="80" s="1"/>
  <c r="O152" i="66"/>
  <c r="O151" i="80" s="1"/>
  <c r="P152" i="66"/>
  <c r="P151" i="80" s="1"/>
  <c r="Q152" i="66"/>
  <c r="Q151" i="80" s="1"/>
  <c r="R152" i="66"/>
  <c r="R151" i="80" s="1"/>
  <c r="S152" i="66"/>
  <c r="S151" i="80" s="1"/>
  <c r="U152" i="66"/>
  <c r="U151" i="80" s="1"/>
  <c r="V152" i="66"/>
  <c r="V151" i="80" s="1"/>
  <c r="F153" i="66"/>
  <c r="F152" i="80" s="1"/>
  <c r="G153" i="66"/>
  <c r="G152" i="80" s="1"/>
  <c r="H153" i="66"/>
  <c r="H152" i="80" s="1"/>
  <c r="I153" i="66"/>
  <c r="I152" i="80" s="1"/>
  <c r="J153" i="66"/>
  <c r="J152" i="80" s="1"/>
  <c r="K153" i="66"/>
  <c r="K152" i="80" s="1"/>
  <c r="L153" i="66"/>
  <c r="L152" i="80" s="1"/>
  <c r="M153" i="66"/>
  <c r="M152" i="80" s="1"/>
  <c r="N153" i="66"/>
  <c r="N152" i="80" s="1"/>
  <c r="O153" i="66"/>
  <c r="O152" i="80" s="1"/>
  <c r="P153" i="66"/>
  <c r="P152" i="80" s="1"/>
  <c r="Q153" i="66"/>
  <c r="Q152" i="80" s="1"/>
  <c r="R153" i="66"/>
  <c r="R152" i="80" s="1"/>
  <c r="S153" i="66"/>
  <c r="S152" i="80" s="1"/>
  <c r="U153" i="66"/>
  <c r="U152" i="80" s="1"/>
  <c r="V153" i="66"/>
  <c r="V152" i="80" s="1"/>
  <c r="F154" i="66"/>
  <c r="F153" i="80" s="1"/>
  <c r="G154" i="66"/>
  <c r="G153" i="80" s="1"/>
  <c r="H154" i="66"/>
  <c r="H153" i="80" s="1"/>
  <c r="I154" i="66"/>
  <c r="I153" i="80" s="1"/>
  <c r="J154" i="66"/>
  <c r="J153" i="80" s="1"/>
  <c r="K154" i="66"/>
  <c r="K153" i="80" s="1"/>
  <c r="L154" i="66"/>
  <c r="L153" i="80" s="1"/>
  <c r="M154" i="66"/>
  <c r="M153" i="80" s="1"/>
  <c r="N154" i="66"/>
  <c r="N153" i="80" s="1"/>
  <c r="O154" i="66"/>
  <c r="O153" i="80" s="1"/>
  <c r="P154" i="66"/>
  <c r="P153" i="80" s="1"/>
  <c r="Q154" i="66"/>
  <c r="Q153" i="80" s="1"/>
  <c r="R154" i="66"/>
  <c r="R153" i="80" s="1"/>
  <c r="S154" i="66"/>
  <c r="S153" i="80" s="1"/>
  <c r="U154" i="66"/>
  <c r="U153" i="80" s="1"/>
  <c r="V154" i="66"/>
  <c r="V153" i="80" s="1"/>
  <c r="F155" i="66"/>
  <c r="F154" i="80" s="1"/>
  <c r="G155" i="66"/>
  <c r="G154" i="80" s="1"/>
  <c r="H155" i="66"/>
  <c r="H154" i="80" s="1"/>
  <c r="I155" i="66"/>
  <c r="I154" i="80" s="1"/>
  <c r="J155" i="66"/>
  <c r="J154" i="80" s="1"/>
  <c r="K155" i="66"/>
  <c r="K154" i="80" s="1"/>
  <c r="L155" i="66"/>
  <c r="L154" i="80" s="1"/>
  <c r="M155" i="66"/>
  <c r="M154" i="80" s="1"/>
  <c r="N155" i="66"/>
  <c r="N154" i="80" s="1"/>
  <c r="O155" i="66"/>
  <c r="O154" i="80" s="1"/>
  <c r="P155" i="66"/>
  <c r="P154" i="80" s="1"/>
  <c r="Q155" i="66"/>
  <c r="Q154" i="80" s="1"/>
  <c r="R155" i="66"/>
  <c r="R154" i="80" s="1"/>
  <c r="S155" i="66"/>
  <c r="S154" i="80" s="1"/>
  <c r="U155" i="66"/>
  <c r="U154" i="80" s="1"/>
  <c r="V155" i="66"/>
  <c r="V154" i="80" s="1"/>
  <c r="F156" i="66"/>
  <c r="F155" i="80" s="1"/>
  <c r="G156" i="66"/>
  <c r="G155" i="80" s="1"/>
  <c r="H156" i="66"/>
  <c r="H155" i="80" s="1"/>
  <c r="I156" i="66"/>
  <c r="I155" i="80" s="1"/>
  <c r="J156" i="66"/>
  <c r="J155" i="80" s="1"/>
  <c r="K156" i="66"/>
  <c r="K155" i="80" s="1"/>
  <c r="L156" i="66"/>
  <c r="L155" i="80" s="1"/>
  <c r="M156" i="66"/>
  <c r="M155" i="80" s="1"/>
  <c r="N156" i="66"/>
  <c r="N155" i="80" s="1"/>
  <c r="O156" i="66"/>
  <c r="O155" i="80" s="1"/>
  <c r="P156" i="66"/>
  <c r="P155" i="80" s="1"/>
  <c r="Q156" i="66"/>
  <c r="Q155" i="80" s="1"/>
  <c r="R156" i="66"/>
  <c r="R155" i="80" s="1"/>
  <c r="S156" i="66"/>
  <c r="S155" i="80" s="1"/>
  <c r="U156" i="66"/>
  <c r="U155" i="80" s="1"/>
  <c r="V156" i="66"/>
  <c r="V155" i="80" s="1"/>
  <c r="F157" i="66"/>
  <c r="F156" i="80" s="1"/>
  <c r="G157" i="66"/>
  <c r="G156" i="80" s="1"/>
  <c r="H157" i="66"/>
  <c r="H156" i="80" s="1"/>
  <c r="I157" i="66"/>
  <c r="I156" i="80" s="1"/>
  <c r="J157" i="66"/>
  <c r="J156" i="80" s="1"/>
  <c r="K157" i="66"/>
  <c r="K156" i="80" s="1"/>
  <c r="L157" i="66"/>
  <c r="L156" i="80" s="1"/>
  <c r="M157" i="66"/>
  <c r="M156" i="80" s="1"/>
  <c r="N157" i="66"/>
  <c r="N156" i="80" s="1"/>
  <c r="O157" i="66"/>
  <c r="O156" i="80" s="1"/>
  <c r="P157" i="66"/>
  <c r="P156" i="80" s="1"/>
  <c r="Q157" i="66"/>
  <c r="Q156" i="80" s="1"/>
  <c r="R157" i="66"/>
  <c r="R156" i="80" s="1"/>
  <c r="S157" i="66"/>
  <c r="S156" i="80" s="1"/>
  <c r="U157" i="66"/>
  <c r="U156" i="80" s="1"/>
  <c r="V157" i="66"/>
  <c r="V156" i="80" s="1"/>
  <c r="F158" i="66"/>
  <c r="F157" i="80" s="1"/>
  <c r="G158" i="66"/>
  <c r="G157" i="80" s="1"/>
  <c r="H158" i="66"/>
  <c r="H157" i="80" s="1"/>
  <c r="I158" i="66"/>
  <c r="I157" i="80" s="1"/>
  <c r="J158" i="66"/>
  <c r="J157" i="80" s="1"/>
  <c r="K158" i="66"/>
  <c r="K157" i="80" s="1"/>
  <c r="L158" i="66"/>
  <c r="L157" i="80" s="1"/>
  <c r="M158" i="66"/>
  <c r="M157" i="80" s="1"/>
  <c r="N158" i="66"/>
  <c r="N157" i="80" s="1"/>
  <c r="O158" i="66"/>
  <c r="O157" i="80" s="1"/>
  <c r="P158" i="66"/>
  <c r="P157" i="80" s="1"/>
  <c r="Q158" i="66"/>
  <c r="Q157" i="80" s="1"/>
  <c r="R158" i="66"/>
  <c r="R157" i="80" s="1"/>
  <c r="S158" i="66"/>
  <c r="S157" i="80" s="1"/>
  <c r="U158" i="66"/>
  <c r="U157" i="80" s="1"/>
  <c r="V158" i="66"/>
  <c r="V157" i="80" s="1"/>
  <c r="F159" i="66"/>
  <c r="F158" i="80" s="1"/>
  <c r="G159" i="66"/>
  <c r="G158" i="80" s="1"/>
  <c r="H159" i="66"/>
  <c r="H158" i="80" s="1"/>
  <c r="I159" i="66"/>
  <c r="I158" i="80" s="1"/>
  <c r="J159" i="66"/>
  <c r="J158" i="80" s="1"/>
  <c r="K159" i="66"/>
  <c r="K158" i="80" s="1"/>
  <c r="L159" i="66"/>
  <c r="L158" i="80" s="1"/>
  <c r="M159" i="66"/>
  <c r="M158" i="80" s="1"/>
  <c r="N159" i="66"/>
  <c r="N158" i="80" s="1"/>
  <c r="O159" i="66"/>
  <c r="O158" i="80" s="1"/>
  <c r="P159" i="66"/>
  <c r="P158" i="80" s="1"/>
  <c r="Q159" i="66"/>
  <c r="Q158" i="80" s="1"/>
  <c r="R159" i="66"/>
  <c r="R158" i="80" s="1"/>
  <c r="S159" i="66"/>
  <c r="S158" i="80" s="1"/>
  <c r="U159" i="66"/>
  <c r="U158" i="80" s="1"/>
  <c r="V159" i="66"/>
  <c r="V158" i="80" s="1"/>
  <c r="F160" i="66"/>
  <c r="F159" i="80" s="1"/>
  <c r="G160" i="66"/>
  <c r="G159" i="80" s="1"/>
  <c r="H160" i="66"/>
  <c r="H159" i="80" s="1"/>
  <c r="I160" i="66"/>
  <c r="I159" i="80" s="1"/>
  <c r="J160" i="66"/>
  <c r="J159" i="80" s="1"/>
  <c r="K160" i="66"/>
  <c r="K159" i="80" s="1"/>
  <c r="L160" i="66"/>
  <c r="L159" i="80" s="1"/>
  <c r="M160" i="66"/>
  <c r="M159" i="80" s="1"/>
  <c r="N160" i="66"/>
  <c r="N159" i="80" s="1"/>
  <c r="O160" i="66"/>
  <c r="O159" i="80" s="1"/>
  <c r="P160" i="66"/>
  <c r="P159" i="80" s="1"/>
  <c r="Q160" i="66"/>
  <c r="Q159" i="80" s="1"/>
  <c r="R160" i="66"/>
  <c r="R159" i="80" s="1"/>
  <c r="S160" i="66"/>
  <c r="S159" i="80" s="1"/>
  <c r="U160" i="66"/>
  <c r="U159" i="80" s="1"/>
  <c r="V160" i="66"/>
  <c r="V159" i="80" s="1"/>
  <c r="F161" i="66"/>
  <c r="F160" i="80" s="1"/>
  <c r="G161" i="66"/>
  <c r="G160" i="80" s="1"/>
  <c r="H161" i="66"/>
  <c r="H160" i="80" s="1"/>
  <c r="I161" i="66"/>
  <c r="I160" i="80" s="1"/>
  <c r="J161" i="66"/>
  <c r="J160" i="80" s="1"/>
  <c r="K161" i="66"/>
  <c r="K160" i="80" s="1"/>
  <c r="L161" i="66"/>
  <c r="L160" i="80" s="1"/>
  <c r="M161" i="66"/>
  <c r="M160" i="80" s="1"/>
  <c r="N161" i="66"/>
  <c r="N160" i="80" s="1"/>
  <c r="O161" i="66"/>
  <c r="O160" i="80" s="1"/>
  <c r="P161" i="66"/>
  <c r="P160" i="80" s="1"/>
  <c r="Q161" i="66"/>
  <c r="Q160" i="80" s="1"/>
  <c r="R161" i="66"/>
  <c r="R160" i="80" s="1"/>
  <c r="S161" i="66"/>
  <c r="S160" i="80" s="1"/>
  <c r="U161" i="66"/>
  <c r="U160" i="80" s="1"/>
  <c r="V161" i="66"/>
  <c r="V160" i="80" s="1"/>
  <c r="F162" i="66"/>
  <c r="F161" i="80" s="1"/>
  <c r="G162" i="66"/>
  <c r="G161" i="80" s="1"/>
  <c r="H162" i="66"/>
  <c r="H161" i="80" s="1"/>
  <c r="I162" i="66"/>
  <c r="I161" i="80" s="1"/>
  <c r="J162" i="66"/>
  <c r="J161" i="80" s="1"/>
  <c r="K162" i="66"/>
  <c r="K161" i="80" s="1"/>
  <c r="L162" i="66"/>
  <c r="L161" i="80" s="1"/>
  <c r="M162" i="66"/>
  <c r="M161" i="80" s="1"/>
  <c r="N162" i="66"/>
  <c r="N161" i="80" s="1"/>
  <c r="O162" i="66"/>
  <c r="O161" i="80" s="1"/>
  <c r="P162" i="66"/>
  <c r="P161" i="80" s="1"/>
  <c r="Q162" i="66"/>
  <c r="Q161" i="80" s="1"/>
  <c r="R162" i="66"/>
  <c r="R161" i="80" s="1"/>
  <c r="S162" i="66"/>
  <c r="S161" i="80" s="1"/>
  <c r="U162" i="66"/>
  <c r="U161" i="80" s="1"/>
  <c r="V162" i="66"/>
  <c r="V161" i="80" s="1"/>
  <c r="F163" i="66"/>
  <c r="F162" i="80" s="1"/>
  <c r="G163" i="66"/>
  <c r="G162" i="80" s="1"/>
  <c r="H163" i="66"/>
  <c r="H162" i="80" s="1"/>
  <c r="I163" i="66"/>
  <c r="I162" i="80" s="1"/>
  <c r="J163" i="66"/>
  <c r="J162" i="80" s="1"/>
  <c r="K163" i="66"/>
  <c r="K162" i="80" s="1"/>
  <c r="L163" i="66"/>
  <c r="L162" i="80" s="1"/>
  <c r="M163" i="66"/>
  <c r="M162" i="80" s="1"/>
  <c r="N163" i="66"/>
  <c r="N162" i="80" s="1"/>
  <c r="O163" i="66"/>
  <c r="O162" i="80" s="1"/>
  <c r="P163" i="66"/>
  <c r="P162" i="80" s="1"/>
  <c r="Q163" i="66"/>
  <c r="Q162" i="80" s="1"/>
  <c r="R163" i="66"/>
  <c r="R162" i="80" s="1"/>
  <c r="S163" i="66"/>
  <c r="S162" i="80" s="1"/>
  <c r="U163" i="66"/>
  <c r="U162" i="80" s="1"/>
  <c r="V163" i="66"/>
  <c r="V162" i="80" s="1"/>
  <c r="F164" i="66"/>
  <c r="F163" i="80" s="1"/>
  <c r="G164" i="66"/>
  <c r="G163" i="80" s="1"/>
  <c r="H164" i="66"/>
  <c r="H163" i="80" s="1"/>
  <c r="I164" i="66"/>
  <c r="I163" i="80" s="1"/>
  <c r="J164" i="66"/>
  <c r="J163" i="80" s="1"/>
  <c r="K164" i="66"/>
  <c r="K163" i="80" s="1"/>
  <c r="L164" i="66"/>
  <c r="L163" i="80" s="1"/>
  <c r="M164" i="66"/>
  <c r="M163" i="80" s="1"/>
  <c r="N164" i="66"/>
  <c r="N163" i="80" s="1"/>
  <c r="O164" i="66"/>
  <c r="O163" i="80" s="1"/>
  <c r="P164" i="66"/>
  <c r="P163" i="80" s="1"/>
  <c r="Q164" i="66"/>
  <c r="Q163" i="80" s="1"/>
  <c r="R164" i="66"/>
  <c r="R163" i="80" s="1"/>
  <c r="S164" i="66"/>
  <c r="S163" i="80" s="1"/>
  <c r="U164" i="66"/>
  <c r="U163" i="80" s="1"/>
  <c r="V164" i="66"/>
  <c r="V163" i="80" s="1"/>
  <c r="F165" i="66"/>
  <c r="F164" i="80" s="1"/>
  <c r="G165" i="66"/>
  <c r="G164" i="80" s="1"/>
  <c r="H165" i="66"/>
  <c r="H164" i="80" s="1"/>
  <c r="I165" i="66"/>
  <c r="I164" i="80" s="1"/>
  <c r="J165" i="66"/>
  <c r="J164" i="80" s="1"/>
  <c r="K165" i="66"/>
  <c r="K164" i="80" s="1"/>
  <c r="L165" i="66"/>
  <c r="L164" i="80" s="1"/>
  <c r="M165" i="66"/>
  <c r="M164" i="80" s="1"/>
  <c r="N165" i="66"/>
  <c r="N164" i="80" s="1"/>
  <c r="O165" i="66"/>
  <c r="O164" i="80" s="1"/>
  <c r="P165" i="66"/>
  <c r="P164" i="80" s="1"/>
  <c r="Q165" i="66"/>
  <c r="Q164" i="80" s="1"/>
  <c r="R165" i="66"/>
  <c r="R164" i="80" s="1"/>
  <c r="S165" i="66"/>
  <c r="S164" i="80" s="1"/>
  <c r="U165" i="66"/>
  <c r="U164" i="80" s="1"/>
  <c r="V165" i="66"/>
  <c r="V164" i="80" s="1"/>
  <c r="F166" i="66"/>
  <c r="F165" i="80" s="1"/>
  <c r="G166" i="66"/>
  <c r="G165" i="80" s="1"/>
  <c r="H166" i="66"/>
  <c r="H165" i="80" s="1"/>
  <c r="I166" i="66"/>
  <c r="I165" i="80" s="1"/>
  <c r="J166" i="66"/>
  <c r="J165" i="80" s="1"/>
  <c r="K166" i="66"/>
  <c r="K165" i="80" s="1"/>
  <c r="L166" i="66"/>
  <c r="L165" i="80" s="1"/>
  <c r="M166" i="66"/>
  <c r="M165" i="80" s="1"/>
  <c r="N166" i="66"/>
  <c r="N165" i="80" s="1"/>
  <c r="O166" i="66"/>
  <c r="O165" i="80" s="1"/>
  <c r="P166" i="66"/>
  <c r="P165" i="80" s="1"/>
  <c r="Q166" i="66"/>
  <c r="Q165" i="80" s="1"/>
  <c r="R166" i="66"/>
  <c r="R165" i="80" s="1"/>
  <c r="S166" i="66"/>
  <c r="S165" i="80" s="1"/>
  <c r="U166" i="66"/>
  <c r="U165" i="80" s="1"/>
  <c r="V166" i="66"/>
  <c r="V165" i="80" s="1"/>
  <c r="F167" i="66"/>
  <c r="F166" i="80" s="1"/>
  <c r="G167" i="66"/>
  <c r="G166" i="77" s="1"/>
  <c r="H167" i="66"/>
  <c r="H166" i="80" s="1"/>
  <c r="I167" i="66"/>
  <c r="I166" i="80" s="1"/>
  <c r="J167" i="66"/>
  <c r="J166" i="80" s="1"/>
  <c r="K167" i="66"/>
  <c r="K166" i="80" s="1"/>
  <c r="L167" i="66"/>
  <c r="L166" i="80" s="1"/>
  <c r="M167" i="66"/>
  <c r="M166" i="80" s="1"/>
  <c r="N167" i="66"/>
  <c r="N166" i="80" s="1"/>
  <c r="O167" i="66"/>
  <c r="O166" i="80" s="1"/>
  <c r="P167" i="66"/>
  <c r="P166" i="80" s="1"/>
  <c r="Q167" i="66"/>
  <c r="Q166" i="80" s="1"/>
  <c r="R167" i="66"/>
  <c r="R166" i="80" s="1"/>
  <c r="S167" i="66"/>
  <c r="S166" i="80" s="1"/>
  <c r="U167" i="66"/>
  <c r="U166" i="80" s="1"/>
  <c r="V167" i="66"/>
  <c r="V166" i="80" s="1"/>
  <c r="F168" i="66"/>
  <c r="F167" i="80" s="1"/>
  <c r="G168" i="66"/>
  <c r="G167" i="80" s="1"/>
  <c r="H168" i="66"/>
  <c r="H167" i="80" s="1"/>
  <c r="I168" i="66"/>
  <c r="I167" i="80" s="1"/>
  <c r="J168" i="66"/>
  <c r="J167" i="80" s="1"/>
  <c r="K168" i="66"/>
  <c r="K167" i="80" s="1"/>
  <c r="L168" i="66"/>
  <c r="L167" i="80" s="1"/>
  <c r="M168" i="66"/>
  <c r="M167" i="80" s="1"/>
  <c r="N168" i="66"/>
  <c r="N167" i="80" s="1"/>
  <c r="O168" i="66"/>
  <c r="O167" i="80" s="1"/>
  <c r="P168" i="66"/>
  <c r="P167" i="80" s="1"/>
  <c r="Q168" i="66"/>
  <c r="Q167" i="80" s="1"/>
  <c r="R168" i="66"/>
  <c r="R167" i="80" s="1"/>
  <c r="S168" i="66"/>
  <c r="S167" i="80" s="1"/>
  <c r="U168" i="66"/>
  <c r="U167" i="80" s="1"/>
  <c r="V168" i="66"/>
  <c r="V167" i="80" s="1"/>
  <c r="F169" i="66"/>
  <c r="F168" i="80" s="1"/>
  <c r="G169" i="66"/>
  <c r="G168" i="80" s="1"/>
  <c r="H169" i="66"/>
  <c r="H168" i="80" s="1"/>
  <c r="I169" i="66"/>
  <c r="I168" i="80" s="1"/>
  <c r="J169" i="66"/>
  <c r="J168" i="80" s="1"/>
  <c r="K169" i="66"/>
  <c r="K168" i="80" s="1"/>
  <c r="L169" i="66"/>
  <c r="L168" i="80" s="1"/>
  <c r="M169" i="66"/>
  <c r="M168" i="80" s="1"/>
  <c r="N169" i="66"/>
  <c r="N168" i="80" s="1"/>
  <c r="O169" i="66"/>
  <c r="O168" i="80" s="1"/>
  <c r="P169" i="66"/>
  <c r="P168" i="80" s="1"/>
  <c r="Q169" i="66"/>
  <c r="Q168" i="80" s="1"/>
  <c r="R169" i="66"/>
  <c r="R168" i="80" s="1"/>
  <c r="S169" i="66"/>
  <c r="S168" i="80" s="1"/>
  <c r="U169" i="66"/>
  <c r="U168" i="80" s="1"/>
  <c r="V169" i="66"/>
  <c r="V168" i="80" s="1"/>
  <c r="F170" i="66"/>
  <c r="F169" i="80" s="1"/>
  <c r="G170" i="66"/>
  <c r="G169" i="80" s="1"/>
  <c r="H170" i="66"/>
  <c r="H169" i="80" s="1"/>
  <c r="I170" i="66"/>
  <c r="I169" i="80" s="1"/>
  <c r="J170" i="66"/>
  <c r="J169" i="80" s="1"/>
  <c r="K170" i="66"/>
  <c r="K169" i="80" s="1"/>
  <c r="L170" i="66"/>
  <c r="L169" i="80" s="1"/>
  <c r="M170" i="66"/>
  <c r="M169" i="80" s="1"/>
  <c r="N170" i="66"/>
  <c r="N169" i="80" s="1"/>
  <c r="O170" i="66"/>
  <c r="O169" i="80" s="1"/>
  <c r="P170" i="66"/>
  <c r="P169" i="80" s="1"/>
  <c r="Q170" i="66"/>
  <c r="Q169" i="80" s="1"/>
  <c r="R170" i="66"/>
  <c r="R169" i="80" s="1"/>
  <c r="S170" i="66"/>
  <c r="S169" i="80" s="1"/>
  <c r="U170" i="66"/>
  <c r="U169" i="80" s="1"/>
  <c r="V170" i="66"/>
  <c r="V169" i="80" s="1"/>
  <c r="F171" i="66"/>
  <c r="F170" i="80" s="1"/>
  <c r="G171" i="66"/>
  <c r="G170" i="77" s="1"/>
  <c r="H171" i="66"/>
  <c r="H170" i="80" s="1"/>
  <c r="I171" i="66"/>
  <c r="I170" i="80" s="1"/>
  <c r="J171" i="66"/>
  <c r="J170" i="80" s="1"/>
  <c r="K171" i="66"/>
  <c r="K170" i="80" s="1"/>
  <c r="L171" i="66"/>
  <c r="L170" i="80" s="1"/>
  <c r="M171" i="66"/>
  <c r="M170" i="80" s="1"/>
  <c r="N171" i="66"/>
  <c r="N170" i="80" s="1"/>
  <c r="O171" i="66"/>
  <c r="O170" i="80" s="1"/>
  <c r="P171" i="66"/>
  <c r="P170" i="80" s="1"/>
  <c r="Q171" i="66"/>
  <c r="Q170" i="80" s="1"/>
  <c r="R171" i="66"/>
  <c r="R170" i="80" s="1"/>
  <c r="S171" i="66"/>
  <c r="S170" i="80" s="1"/>
  <c r="U171" i="66"/>
  <c r="U170" i="80" s="1"/>
  <c r="V171" i="66"/>
  <c r="V170" i="80" s="1"/>
  <c r="E53" i="66"/>
  <c r="E52" i="80" s="1"/>
  <c r="E54" i="66"/>
  <c r="E53" i="80" s="1"/>
  <c r="E53" i="77"/>
  <c r="E55" i="66"/>
  <c r="E54" i="80" s="1"/>
  <c r="D55" i="81"/>
  <c r="E56" i="66"/>
  <c r="D56" i="81"/>
  <c r="E57" i="66"/>
  <c r="E56" i="80" s="1"/>
  <c r="D57" i="81"/>
  <c r="E56" i="77"/>
  <c r="E58" i="66"/>
  <c r="D58" i="81" s="1"/>
  <c r="E59" i="66"/>
  <c r="E58" i="80" s="1"/>
  <c r="E60" i="66"/>
  <c r="D60" i="81" s="1"/>
  <c r="E61" i="66"/>
  <c r="E60" i="80" s="1"/>
  <c r="E62" i="66"/>
  <c r="D62" i="81" s="1"/>
  <c r="E63" i="66"/>
  <c r="D63" i="81" s="1"/>
  <c r="E64" i="66"/>
  <c r="D64" i="81" s="1"/>
  <c r="E65" i="66"/>
  <c r="E64" i="80" s="1"/>
  <c r="E66" i="66"/>
  <c r="D66" i="81" s="1"/>
  <c r="E67" i="66"/>
  <c r="E66" i="80" s="1"/>
  <c r="E68" i="66"/>
  <c r="D68" i="81" s="1"/>
  <c r="E69" i="66"/>
  <c r="E68" i="80" s="1"/>
  <c r="E70" i="66"/>
  <c r="E69" i="80" s="1"/>
  <c r="E71" i="66"/>
  <c r="E70" i="80" s="1"/>
  <c r="E72" i="66"/>
  <c r="E71" i="80" s="1"/>
  <c r="E73" i="66"/>
  <c r="E72" i="80" s="1"/>
  <c r="E74" i="66"/>
  <c r="D74" i="81" s="1"/>
  <c r="E75" i="66"/>
  <c r="E74" i="80" s="1"/>
  <c r="E76" i="66"/>
  <c r="D76" i="81" s="1"/>
  <c r="E77" i="66"/>
  <c r="E76" i="80" s="1"/>
  <c r="E78" i="66"/>
  <c r="D78" i="81" s="1"/>
  <c r="E79" i="66"/>
  <c r="D79" i="81" s="1"/>
  <c r="E80" i="66"/>
  <c r="D80" i="81" s="1"/>
  <c r="E81" i="66"/>
  <c r="E80" i="80" s="1"/>
  <c r="E82" i="66"/>
  <c r="E81" i="80" s="1"/>
  <c r="E83" i="66"/>
  <c r="D83" i="81" s="1"/>
  <c r="E84" i="66"/>
  <c r="E83" i="80" s="1"/>
  <c r="E85" i="66"/>
  <c r="E84" i="80" s="1"/>
  <c r="E86" i="66"/>
  <c r="E85" i="80" s="1"/>
  <c r="E87" i="66"/>
  <c r="D87" i="81" s="1"/>
  <c r="E88" i="66"/>
  <c r="E87" i="80" s="1"/>
  <c r="E89" i="66"/>
  <c r="E88" i="80" s="1"/>
  <c r="E90" i="66"/>
  <c r="E89" i="80" s="1"/>
  <c r="E91" i="66"/>
  <c r="E90" i="80" s="1"/>
  <c r="E92" i="66"/>
  <c r="E91" i="80" s="1"/>
  <c r="E93" i="66"/>
  <c r="E92" i="80" s="1"/>
  <c r="E94" i="66"/>
  <c r="E93" i="80" s="1"/>
  <c r="E95" i="66"/>
  <c r="E94" i="80" s="1"/>
  <c r="E96" i="66"/>
  <c r="E97"/>
  <c r="E96" i="80" s="1"/>
  <c r="E98" i="66"/>
  <c r="E97" i="80" s="1"/>
  <c r="E99" i="66"/>
  <c r="E98" i="80" s="1"/>
  <c r="E100" i="66"/>
  <c r="E99" i="80" s="1"/>
  <c r="E101" i="66"/>
  <c r="E100" i="80" s="1"/>
  <c r="E102" i="66"/>
  <c r="E101" i="80" s="1"/>
  <c r="E103" i="66"/>
  <c r="E102" i="80" s="1"/>
  <c r="E104" i="66"/>
  <c r="E103" i="80" s="1"/>
  <c r="E105" i="66"/>
  <c r="D105" i="81" s="1"/>
  <c r="E106" i="66"/>
  <c r="D106" i="81" s="1"/>
  <c r="E107" i="66"/>
  <c r="D107" i="81" s="1"/>
  <c r="E108" i="66"/>
  <c r="D108" i="81" s="1"/>
  <c r="E109" i="66"/>
  <c r="E108" i="80" s="1"/>
  <c r="E110" i="66"/>
  <c r="D110" i="81" s="1"/>
  <c r="E111" i="66"/>
  <c r="E110" i="80" s="1"/>
  <c r="E112" i="66"/>
  <c r="D112" i="81" s="1"/>
  <c r="E113" i="66"/>
  <c r="E112" i="80" s="1"/>
  <c r="E114" i="66"/>
  <c r="D114" i="81" s="1"/>
  <c r="E115" i="66"/>
  <c r="E114" i="80" s="1"/>
  <c r="E116" i="66"/>
  <c r="D116" i="81" s="1"/>
  <c r="E117" i="66"/>
  <c r="E116" i="80" s="1"/>
  <c r="E118" i="66"/>
  <c r="D118" i="81" s="1"/>
  <c r="E119" i="66"/>
  <c r="E118" i="80" s="1"/>
  <c r="E118" i="77"/>
  <c r="E120" i="66"/>
  <c r="D120" i="81" s="1"/>
  <c r="E121" i="66"/>
  <c r="E120" i="80" s="1"/>
  <c r="E122" i="66"/>
  <c r="D122" i="81" s="1"/>
  <c r="E123" i="66"/>
  <c r="E122" i="80" s="1"/>
  <c r="E124" i="66"/>
  <c r="D124" i="81" s="1"/>
  <c r="E125" i="66"/>
  <c r="E124" i="80" s="1"/>
  <c r="E126" i="66"/>
  <c r="D126" i="81" s="1"/>
  <c r="E127" i="66"/>
  <c r="E126" i="80" s="1"/>
  <c r="E128" i="66"/>
  <c r="D128" i="81" s="1"/>
  <c r="E129" i="66"/>
  <c r="E128" i="80" s="1"/>
  <c r="E130" i="66"/>
  <c r="D130" i="81" s="1"/>
  <c r="E131" i="66"/>
  <c r="E130" i="80" s="1"/>
  <c r="E132" i="66"/>
  <c r="D132" i="81" s="1"/>
  <c r="E133" i="66"/>
  <c r="E132" i="80" s="1"/>
  <c r="E134" i="66"/>
  <c r="D134" i="81" s="1"/>
  <c r="E135" i="66"/>
  <c r="E134" i="80" s="1"/>
  <c r="E136" i="66"/>
  <c r="D136" i="81" s="1"/>
  <c r="E137" i="66"/>
  <c r="E136" i="80" s="1"/>
  <c r="E138" i="66"/>
  <c r="D138" i="81" s="1"/>
  <c r="E139" i="66"/>
  <c r="E138" i="80" s="1"/>
  <c r="E140" i="66"/>
  <c r="D140" i="81" s="1"/>
  <c r="E141" i="66"/>
  <c r="E140" i="80" s="1"/>
  <c r="E142" i="66"/>
  <c r="D142" i="81" s="1"/>
  <c r="E143" i="66"/>
  <c r="E142" i="80" s="1"/>
  <c r="E144" i="66"/>
  <c r="D144" i="81" s="1"/>
  <c r="E145" i="66"/>
  <c r="E144" i="80" s="1"/>
  <c r="E146" i="66"/>
  <c r="D146" i="81" s="1"/>
  <c r="E147" i="66"/>
  <c r="E146" i="80" s="1"/>
  <c r="E148" i="66"/>
  <c r="D148" i="81" s="1"/>
  <c r="E149" i="66"/>
  <c r="E148" i="80" s="1"/>
  <c r="E150" i="66"/>
  <c r="D150" i="81" s="1"/>
  <c r="E151" i="66"/>
  <c r="E150" i="80" s="1"/>
  <c r="E152" i="66"/>
  <c r="D152" i="81" s="1"/>
  <c r="E153" i="66"/>
  <c r="E152" i="80" s="1"/>
  <c r="E154" i="66"/>
  <c r="D154" i="81"/>
  <c r="E155" i="66"/>
  <c r="E154" i="80" s="1"/>
  <c r="E156" i="66"/>
  <c r="D156" i="81" s="1"/>
  <c r="E157" i="66"/>
  <c r="E158"/>
  <c r="E157" i="80" s="1"/>
  <c r="E159" i="66"/>
  <c r="D159" i="81" s="1"/>
  <c r="E160" i="66"/>
  <c r="E161"/>
  <c r="D161" i="81" s="1"/>
  <c r="E162" i="66"/>
  <c r="E163"/>
  <c r="D163" i="81"/>
  <c r="E164" i="66"/>
  <c r="E165"/>
  <c r="E164" i="80" s="1"/>
  <c r="E166" i="66"/>
  <c r="E167"/>
  <c r="E166" i="80" s="1"/>
  <c r="E168" i="66"/>
  <c r="E169"/>
  <c r="E168" i="80" s="1"/>
  <c r="E170" i="66"/>
  <c r="D170" i="81" s="1"/>
  <c r="E171" i="66"/>
  <c r="E170" i="80" s="1"/>
  <c r="E52" i="66"/>
  <c r="E51" i="80" s="1"/>
  <c r="F41" i="66"/>
  <c r="G41"/>
  <c r="G41" i="80" s="1"/>
  <c r="H41" i="66"/>
  <c r="I41"/>
  <c r="I41" i="80" s="1"/>
  <c r="I41" i="77"/>
  <c r="J41" i="66"/>
  <c r="K41"/>
  <c r="K41" i="80" s="1"/>
  <c r="L41" i="66"/>
  <c r="M41"/>
  <c r="M41" i="80" s="1"/>
  <c r="N41" i="66"/>
  <c r="O41"/>
  <c r="O41" i="80" s="1"/>
  <c r="O41" i="77"/>
  <c r="P41" i="66"/>
  <c r="Q41"/>
  <c r="Q41" i="80" s="1"/>
  <c r="R41" i="66"/>
  <c r="S41"/>
  <c r="S41" i="80" s="1"/>
  <c r="U41" i="66"/>
  <c r="V41"/>
  <c r="V41" i="80" s="1"/>
  <c r="F42" i="66"/>
  <c r="G42"/>
  <c r="G42" i="80" s="1"/>
  <c r="G42" i="77"/>
  <c r="H42" i="66"/>
  <c r="I42"/>
  <c r="I42" i="80" s="1"/>
  <c r="J42" i="66"/>
  <c r="K42"/>
  <c r="K42" i="80" s="1"/>
  <c r="L42" i="66"/>
  <c r="M42"/>
  <c r="M42" i="80" s="1"/>
  <c r="N42" i="66"/>
  <c r="O42"/>
  <c r="O42" i="80" s="1"/>
  <c r="O42" i="77"/>
  <c r="P42" i="66"/>
  <c r="Q42"/>
  <c r="Q42" i="80" s="1"/>
  <c r="R42" i="66"/>
  <c r="S42"/>
  <c r="S42" i="80" s="1"/>
  <c r="U42" i="66"/>
  <c r="V42"/>
  <c r="V42" i="80" s="1"/>
  <c r="F43" i="66"/>
  <c r="G43"/>
  <c r="G43" i="80" s="1"/>
  <c r="G43" i="77"/>
  <c r="H43" i="66"/>
  <c r="I43"/>
  <c r="I43" i="80" s="1"/>
  <c r="J43" i="66"/>
  <c r="K43"/>
  <c r="K43" i="80" s="1"/>
  <c r="L43" i="66"/>
  <c r="M43"/>
  <c r="M43" i="80" s="1"/>
  <c r="N43" i="66"/>
  <c r="O43"/>
  <c r="O43" i="80" s="1"/>
  <c r="O43" i="77"/>
  <c r="P43" i="66"/>
  <c r="Q43"/>
  <c r="Q43" i="80" s="1"/>
  <c r="R43" i="66"/>
  <c r="S43"/>
  <c r="S43" i="80" s="1"/>
  <c r="U43" i="66"/>
  <c r="V43"/>
  <c r="V43" i="80" s="1"/>
  <c r="F44" i="66"/>
  <c r="G44"/>
  <c r="G44" i="80" s="1"/>
  <c r="G44" i="77"/>
  <c r="H44" i="66"/>
  <c r="I44"/>
  <c r="I44" i="80" s="1"/>
  <c r="J44" i="66"/>
  <c r="K44"/>
  <c r="K44" i="80" s="1"/>
  <c r="L44" i="66"/>
  <c r="M44"/>
  <c r="M44" i="80" s="1"/>
  <c r="N44" i="66"/>
  <c r="O44"/>
  <c r="O44" i="80" s="1"/>
  <c r="O44" i="77"/>
  <c r="P44" i="66"/>
  <c r="Q44"/>
  <c r="Q44" i="80" s="1"/>
  <c r="R44" i="66"/>
  <c r="S44"/>
  <c r="S44" i="80" s="1"/>
  <c r="U44" i="66"/>
  <c r="V44"/>
  <c r="V44" i="80" s="1"/>
  <c r="F45" i="66"/>
  <c r="G45"/>
  <c r="G45" i="80" s="1"/>
  <c r="G45" i="77"/>
  <c r="H45" i="66"/>
  <c r="I45"/>
  <c r="I45" i="80" s="1"/>
  <c r="J45" i="66"/>
  <c r="K45"/>
  <c r="K45" i="80" s="1"/>
  <c r="L45" i="66"/>
  <c r="M45"/>
  <c r="M45" i="80" s="1"/>
  <c r="N45" i="66"/>
  <c r="O45"/>
  <c r="O45" i="80" s="1"/>
  <c r="O45" i="77"/>
  <c r="P45" i="66"/>
  <c r="Q45"/>
  <c r="Q45" i="80" s="1"/>
  <c r="R45" i="66"/>
  <c r="S45"/>
  <c r="S45" i="80" s="1"/>
  <c r="U45" i="66"/>
  <c r="V45"/>
  <c r="V45" i="80" s="1"/>
  <c r="F46" i="66"/>
  <c r="G46"/>
  <c r="G46" i="80" s="1"/>
  <c r="G46" i="77"/>
  <c r="H46" i="66"/>
  <c r="I46"/>
  <c r="I46" i="80" s="1"/>
  <c r="J46" i="66"/>
  <c r="K46"/>
  <c r="K46" i="80" s="1"/>
  <c r="L46" i="66"/>
  <c r="M46"/>
  <c r="M46" i="80" s="1"/>
  <c r="N46" i="66"/>
  <c r="O46"/>
  <c r="O46" i="80" s="1"/>
  <c r="O46" i="77"/>
  <c r="P46" i="66"/>
  <c r="Q46"/>
  <c r="Q46" i="80" s="1"/>
  <c r="R46" i="66"/>
  <c r="S46"/>
  <c r="S46" i="80" s="1"/>
  <c r="U46" i="66"/>
  <c r="U50" s="1"/>
  <c r="V46"/>
  <c r="V46" i="80" s="1"/>
  <c r="F47" i="66"/>
  <c r="G47"/>
  <c r="G47" i="80" s="1"/>
  <c r="G47" i="77"/>
  <c r="H47" i="66"/>
  <c r="I47"/>
  <c r="I47" i="80" s="1"/>
  <c r="J47" i="66"/>
  <c r="K47"/>
  <c r="K47" i="80" s="1"/>
  <c r="L47" i="66"/>
  <c r="M47"/>
  <c r="M47" i="80" s="1"/>
  <c r="N47" i="66"/>
  <c r="O47"/>
  <c r="O47" i="80" s="1"/>
  <c r="O47" i="77"/>
  <c r="P47" i="66"/>
  <c r="Q47"/>
  <c r="Q47" i="80" s="1"/>
  <c r="R47" i="66"/>
  <c r="S47"/>
  <c r="S47" i="80" s="1"/>
  <c r="U47" i="66"/>
  <c r="V47"/>
  <c r="V47" i="80" s="1"/>
  <c r="F48" i="66"/>
  <c r="G48"/>
  <c r="G48" i="80" s="1"/>
  <c r="G48" i="77"/>
  <c r="H48" i="66"/>
  <c r="I48"/>
  <c r="I48" i="80" s="1"/>
  <c r="J48" i="66"/>
  <c r="K48"/>
  <c r="K48" i="80" s="1"/>
  <c r="L48" i="66"/>
  <c r="M48"/>
  <c r="M48" i="80" s="1"/>
  <c r="N48" i="66"/>
  <c r="O48"/>
  <c r="O48" i="80" s="1"/>
  <c r="O48" i="77"/>
  <c r="P48" i="66"/>
  <c r="Q48"/>
  <c r="Q48" i="80" s="1"/>
  <c r="R48" i="66"/>
  <c r="S48"/>
  <c r="S48" i="80" s="1"/>
  <c r="U48" i="66"/>
  <c r="V48"/>
  <c r="V48" i="80" s="1"/>
  <c r="E42" i="66"/>
  <c r="E43"/>
  <c r="E43" i="80" s="1"/>
  <c r="E44" i="66"/>
  <c r="E45"/>
  <c r="E45" i="80" s="1"/>
  <c r="E46" i="66"/>
  <c r="E47"/>
  <c r="E47" i="80" s="1"/>
  <c r="E48" i="66"/>
  <c r="E41"/>
  <c r="E41" i="80" s="1"/>
  <c r="F30" i="66"/>
  <c r="G30"/>
  <c r="G30" i="80" s="1"/>
  <c r="H30" i="66"/>
  <c r="H30" i="80" s="1"/>
  <c r="I30" i="66"/>
  <c r="I30" i="80" s="1"/>
  <c r="J30" i="66"/>
  <c r="K30"/>
  <c r="K30" i="80" s="1"/>
  <c r="L30" i="66"/>
  <c r="M30"/>
  <c r="M30" i="80" s="1"/>
  <c r="N30" i="66"/>
  <c r="N30" i="80" s="1"/>
  <c r="O30" i="66"/>
  <c r="O30" i="80" s="1"/>
  <c r="P30" i="66"/>
  <c r="P30" i="80" s="1"/>
  <c r="Q30" i="66"/>
  <c r="Q30" i="80" s="1"/>
  <c r="R30" i="66"/>
  <c r="R30" i="80" s="1"/>
  <c r="S30" i="66"/>
  <c r="S30" i="80" s="1"/>
  <c r="U30" i="66"/>
  <c r="U30" i="80" s="1"/>
  <c r="V30" i="66"/>
  <c r="V30" i="80" s="1"/>
  <c r="F31" i="66"/>
  <c r="G31"/>
  <c r="G31" i="80" s="1"/>
  <c r="H31" i="66"/>
  <c r="I31"/>
  <c r="I31" i="80" s="1"/>
  <c r="J31" i="66"/>
  <c r="K31"/>
  <c r="K31" i="80" s="1"/>
  <c r="K31" i="77"/>
  <c r="L31" i="66"/>
  <c r="M31"/>
  <c r="M31" i="80" s="1"/>
  <c r="N31" i="66"/>
  <c r="N31" i="80" s="1"/>
  <c r="O31" i="66"/>
  <c r="O31" i="80" s="1"/>
  <c r="P31" i="66"/>
  <c r="P31" i="80" s="1"/>
  <c r="Q31" i="66"/>
  <c r="Q31" i="80" s="1"/>
  <c r="R31" i="66"/>
  <c r="R31" i="80" s="1"/>
  <c r="S31" i="66"/>
  <c r="S31" i="80" s="1"/>
  <c r="U31" i="66"/>
  <c r="U31" i="80" s="1"/>
  <c r="V31" i="66"/>
  <c r="V31" i="80" s="1"/>
  <c r="F32" i="66"/>
  <c r="G32"/>
  <c r="G32" i="80" s="1"/>
  <c r="H32" i="66"/>
  <c r="H32" i="80" s="1"/>
  <c r="I32" i="66"/>
  <c r="I32" i="80" s="1"/>
  <c r="J32" i="66"/>
  <c r="K32"/>
  <c r="K32" i="80" s="1"/>
  <c r="L32" i="66"/>
  <c r="M32"/>
  <c r="M32" i="80" s="1"/>
  <c r="N32" i="66"/>
  <c r="N32" i="80" s="1"/>
  <c r="N32" i="77"/>
  <c r="O32" i="66"/>
  <c r="O32" i="80" s="1"/>
  <c r="P32" i="66"/>
  <c r="P32" i="80" s="1"/>
  <c r="Q32" i="66"/>
  <c r="Q32" i="80" s="1"/>
  <c r="R32" i="66"/>
  <c r="R32" i="80" s="1"/>
  <c r="S32" i="66"/>
  <c r="S32" i="80" s="1"/>
  <c r="U32" i="66"/>
  <c r="U32" i="80" s="1"/>
  <c r="V32" i="66"/>
  <c r="V32" i="80" s="1"/>
  <c r="F33" i="66"/>
  <c r="G33"/>
  <c r="G33" i="80" s="1"/>
  <c r="G33" i="77"/>
  <c r="H33" i="66"/>
  <c r="I33"/>
  <c r="I33" i="80" s="1"/>
  <c r="J33" i="66"/>
  <c r="K33"/>
  <c r="K33" i="80" s="1"/>
  <c r="L33" i="66"/>
  <c r="M33"/>
  <c r="M33" i="80" s="1"/>
  <c r="N33" i="66"/>
  <c r="N33" i="80" s="1"/>
  <c r="O33" i="66"/>
  <c r="O33" i="80" s="1"/>
  <c r="P33" i="66"/>
  <c r="P33" i="80" s="1"/>
  <c r="Q33" i="66"/>
  <c r="Q33" i="80" s="1"/>
  <c r="R33" i="66"/>
  <c r="R33" i="80" s="1"/>
  <c r="S33" i="66"/>
  <c r="S33" i="80" s="1"/>
  <c r="U33" i="66"/>
  <c r="U33" i="80" s="1"/>
  <c r="V33" i="66"/>
  <c r="V33" i="80" s="1"/>
  <c r="F34" i="66"/>
  <c r="G34"/>
  <c r="G34" i="80" s="1"/>
  <c r="H34" i="66"/>
  <c r="H34" i="80" s="1"/>
  <c r="I34" i="66"/>
  <c r="I34" i="80" s="1"/>
  <c r="J34" i="66"/>
  <c r="K34"/>
  <c r="K34" i="80" s="1"/>
  <c r="L34" i="66"/>
  <c r="M34"/>
  <c r="M34" i="80" s="1"/>
  <c r="N34" i="66"/>
  <c r="N34" i="80" s="1"/>
  <c r="O34" i="66"/>
  <c r="O34" i="80" s="1"/>
  <c r="P34" i="66"/>
  <c r="P34" i="80" s="1"/>
  <c r="Q34" i="66"/>
  <c r="Q34" i="80" s="1"/>
  <c r="R34" i="66"/>
  <c r="R34" i="80" s="1"/>
  <c r="S34" i="66"/>
  <c r="S34" i="80" s="1"/>
  <c r="U34" i="66"/>
  <c r="U34" i="80" s="1"/>
  <c r="V34" i="66"/>
  <c r="V34" i="80" s="1"/>
  <c r="F35" i="66"/>
  <c r="G35"/>
  <c r="G35" i="80" s="1"/>
  <c r="H35" i="66"/>
  <c r="I35"/>
  <c r="I35" i="80" s="1"/>
  <c r="J35" i="66"/>
  <c r="K35"/>
  <c r="K35" i="80" s="1"/>
  <c r="L35" i="66"/>
  <c r="M35"/>
  <c r="M35" i="80" s="1"/>
  <c r="M35" i="77"/>
  <c r="N35" i="66"/>
  <c r="N35" i="80" s="1"/>
  <c r="N35" i="77"/>
  <c r="O35" i="66"/>
  <c r="O35" i="80" s="1"/>
  <c r="P35" i="66"/>
  <c r="P35" i="80" s="1"/>
  <c r="Q35" i="66"/>
  <c r="Q35" i="80" s="1"/>
  <c r="R35" i="66"/>
  <c r="R35" i="80" s="1"/>
  <c r="S35" i="66"/>
  <c r="S35" i="80" s="1"/>
  <c r="U35" i="66"/>
  <c r="U35" i="80" s="1"/>
  <c r="V35" i="66"/>
  <c r="V35" i="80" s="1"/>
  <c r="F36" i="66"/>
  <c r="G36"/>
  <c r="G36" i="80" s="1"/>
  <c r="H36" i="66"/>
  <c r="H36" i="80" s="1"/>
  <c r="I36" i="66"/>
  <c r="I36" i="80" s="1"/>
  <c r="J36" i="66"/>
  <c r="K36"/>
  <c r="K36" i="80" s="1"/>
  <c r="L36" i="66"/>
  <c r="M36"/>
  <c r="M36" i="80" s="1"/>
  <c r="N36" i="66"/>
  <c r="N36" i="80" s="1"/>
  <c r="O36" i="66"/>
  <c r="O36" i="80" s="1"/>
  <c r="P36" i="66"/>
  <c r="P36" i="80" s="1"/>
  <c r="Q36" i="66"/>
  <c r="Q36" i="80" s="1"/>
  <c r="R36" i="66"/>
  <c r="R36" i="80" s="1"/>
  <c r="S36" i="66"/>
  <c r="S36" i="80" s="1"/>
  <c r="U36" i="66"/>
  <c r="U36" i="80" s="1"/>
  <c r="V36" i="66"/>
  <c r="V36" i="80" s="1"/>
  <c r="F37" i="66"/>
  <c r="G37"/>
  <c r="G37" i="80" s="1"/>
  <c r="H37" i="66"/>
  <c r="I37"/>
  <c r="I37" i="80" s="1"/>
  <c r="I37" i="77"/>
  <c r="J37" i="66"/>
  <c r="K37"/>
  <c r="K37" i="80" s="1"/>
  <c r="L37" i="66"/>
  <c r="M37"/>
  <c r="M37" i="80" s="1"/>
  <c r="N37" i="66"/>
  <c r="N37" i="80" s="1"/>
  <c r="O37" i="66"/>
  <c r="O37" i="80" s="1"/>
  <c r="P37" i="66"/>
  <c r="P37" i="80" s="1"/>
  <c r="Q37" i="66"/>
  <c r="Q37" i="80" s="1"/>
  <c r="R37" i="66"/>
  <c r="R37" i="80" s="1"/>
  <c r="S37" i="66"/>
  <c r="S37" i="80" s="1"/>
  <c r="U37" i="66"/>
  <c r="U37" i="80" s="1"/>
  <c r="V37" i="66"/>
  <c r="V37" i="80" s="1"/>
  <c r="E31" i="66"/>
  <c r="E32"/>
  <c r="E32" i="80" s="1"/>
  <c r="E33" i="66"/>
  <c r="E34"/>
  <c r="E34" i="80" s="1"/>
  <c r="E35" i="66"/>
  <c r="E36"/>
  <c r="E36" i="80" s="1"/>
  <c r="E37" i="66"/>
  <c r="E37" i="80" s="1"/>
  <c r="E30" i="66"/>
  <c r="E30" i="80" s="1"/>
  <c r="E24" i="66"/>
  <c r="D24" i="81" s="1"/>
  <c r="E25" i="66"/>
  <c r="E25" i="80" s="1"/>
  <c r="E26" i="66"/>
  <c r="D26" i="81" s="1"/>
  <c r="E27" i="66"/>
  <c r="D27" i="81" s="1"/>
  <c r="E23" i="66"/>
  <c r="E23" i="80" s="1"/>
  <c r="D11" i="66"/>
  <c r="D11" i="80" s="1"/>
  <c r="D12" i="66"/>
  <c r="D12" i="80" s="1"/>
  <c r="D13" i="66"/>
  <c r="D13" i="80" s="1"/>
  <c r="D14" i="66"/>
  <c r="D14" i="80" s="1"/>
  <c r="D15" i="66"/>
  <c r="D15" i="80" s="1"/>
  <c r="D16" i="66"/>
  <c r="D16" i="81" s="1"/>
  <c r="D17" i="66"/>
  <c r="D17" i="81" s="1"/>
  <c r="D18" i="66"/>
  <c r="D18" i="80" s="1"/>
  <c r="D19" i="66"/>
  <c r="D19" i="81" s="1"/>
  <c r="D10" i="66"/>
  <c r="D10" i="80" s="1"/>
  <c r="D10" i="77"/>
  <c r="H38" i="67"/>
  <c r="E38"/>
  <c r="E28"/>
  <c r="D21"/>
  <c r="V288"/>
  <c r="V290"/>
  <c r="U288"/>
  <c r="S288"/>
  <c r="R288"/>
  <c r="Q288"/>
  <c r="Q290"/>
  <c r="P288"/>
  <c r="O288"/>
  <c r="O290"/>
  <c r="N288"/>
  <c r="M288"/>
  <c r="L288"/>
  <c r="K288"/>
  <c r="K290"/>
  <c r="J288"/>
  <c r="I288"/>
  <c r="H288"/>
  <c r="G288"/>
  <c r="G290"/>
  <c r="F288"/>
  <c r="E288"/>
  <c r="D288"/>
  <c r="W288"/>
  <c r="C283"/>
  <c r="C278"/>
  <c r="C288"/>
  <c r="V276"/>
  <c r="U276"/>
  <c r="U290"/>
  <c r="S276"/>
  <c r="R276"/>
  <c r="Q276"/>
  <c r="P276"/>
  <c r="O276"/>
  <c r="N276"/>
  <c r="M276"/>
  <c r="L276"/>
  <c r="K276"/>
  <c r="J276"/>
  <c r="I276"/>
  <c r="H276"/>
  <c r="G276"/>
  <c r="F276"/>
  <c r="E276"/>
  <c r="D276"/>
  <c r="W276"/>
  <c r="C276"/>
  <c r="V272"/>
  <c r="U272"/>
  <c r="S272"/>
  <c r="R272"/>
  <c r="R290"/>
  <c r="Q272"/>
  <c r="P272"/>
  <c r="P290"/>
  <c r="O272"/>
  <c r="N272"/>
  <c r="N290"/>
  <c r="M272"/>
  <c r="L272"/>
  <c r="L290"/>
  <c r="K272"/>
  <c r="J272"/>
  <c r="I272"/>
  <c r="H272"/>
  <c r="G272"/>
  <c r="F272"/>
  <c r="E272"/>
  <c r="D272"/>
  <c r="W272"/>
  <c r="C272"/>
  <c r="V268"/>
  <c r="V289"/>
  <c r="U268"/>
  <c r="U289"/>
  <c r="S268"/>
  <c r="R268"/>
  <c r="R289"/>
  <c r="Q268"/>
  <c r="Q289"/>
  <c r="P268"/>
  <c r="P289"/>
  <c r="O268"/>
  <c r="O289"/>
  <c r="N268"/>
  <c r="N289"/>
  <c r="M268"/>
  <c r="L268"/>
  <c r="L289"/>
  <c r="K268"/>
  <c r="K289"/>
  <c r="J268"/>
  <c r="J290"/>
  <c r="I268"/>
  <c r="H268"/>
  <c r="G268"/>
  <c r="G289"/>
  <c r="F268"/>
  <c r="E268"/>
  <c r="D268"/>
  <c r="C268"/>
  <c r="V258"/>
  <c r="U258"/>
  <c r="S258"/>
  <c r="R258"/>
  <c r="Q258"/>
  <c r="P258"/>
  <c r="O258"/>
  <c r="N258"/>
  <c r="M258"/>
  <c r="L258"/>
  <c r="K258"/>
  <c r="J258"/>
  <c r="I258"/>
  <c r="H258"/>
  <c r="G258"/>
  <c r="F258"/>
  <c r="E258"/>
  <c r="D258"/>
  <c r="W258"/>
  <c r="C237"/>
  <c r="C231"/>
  <c r="C258"/>
  <c r="C224"/>
  <c r="V221"/>
  <c r="U221"/>
  <c r="S221"/>
  <c r="R221"/>
  <c r="Q221"/>
  <c r="P221"/>
  <c r="O221"/>
  <c r="N221"/>
  <c r="M221"/>
  <c r="L221"/>
  <c r="K221"/>
  <c r="J221"/>
  <c r="I221"/>
  <c r="H221"/>
  <c r="G221"/>
  <c r="F221"/>
  <c r="E221"/>
  <c r="D221"/>
  <c r="W221"/>
  <c r="C221"/>
  <c r="H210"/>
  <c r="W210"/>
  <c r="C209"/>
  <c r="C207"/>
  <c r="C206"/>
  <c r="C210"/>
  <c r="V204"/>
  <c r="U204"/>
  <c r="S204"/>
  <c r="R204"/>
  <c r="Q204"/>
  <c r="P204"/>
  <c r="O204"/>
  <c r="N204"/>
  <c r="M204"/>
  <c r="L204"/>
  <c r="K204"/>
  <c r="J204"/>
  <c r="I289"/>
  <c r="H204"/>
  <c r="G204"/>
  <c r="F204"/>
  <c r="E204"/>
  <c r="D204"/>
  <c r="C192"/>
  <c r="C189"/>
  <c r="C187"/>
  <c r="C185"/>
  <c r="C184"/>
  <c r="C182"/>
  <c r="C181"/>
  <c r="C180"/>
  <c r="C178"/>
  <c r="C204"/>
  <c r="V176"/>
  <c r="U176"/>
  <c r="R176"/>
  <c r="Q176"/>
  <c r="P176"/>
  <c r="O176"/>
  <c r="N176"/>
  <c r="L176"/>
  <c r="K176"/>
  <c r="J176"/>
  <c r="I176"/>
  <c r="G176"/>
  <c r="D176"/>
  <c r="C79"/>
  <c r="C63"/>
  <c r="C52"/>
  <c r="C51"/>
  <c r="C176"/>
  <c r="V49"/>
  <c r="U49"/>
  <c r="S49"/>
  <c r="R49"/>
  <c r="Q49"/>
  <c r="P49"/>
  <c r="O49"/>
  <c r="N49"/>
  <c r="M49"/>
  <c r="L49"/>
  <c r="K49"/>
  <c r="J49"/>
  <c r="I49"/>
  <c r="H49"/>
  <c r="G49"/>
  <c r="F49"/>
  <c r="E49"/>
  <c r="D49"/>
  <c r="C46"/>
  <c r="C45"/>
  <c r="C49"/>
  <c r="V38"/>
  <c r="U38"/>
  <c r="S38"/>
  <c r="R38"/>
  <c r="Q38"/>
  <c r="P38"/>
  <c r="O38"/>
  <c r="N38"/>
  <c r="M38"/>
  <c r="L38"/>
  <c r="K38"/>
  <c r="J38"/>
  <c r="I38"/>
  <c r="G38"/>
  <c r="F38"/>
  <c r="D38"/>
  <c r="C36"/>
  <c r="C34"/>
  <c r="C33"/>
  <c r="C30"/>
  <c r="C38"/>
  <c r="V28"/>
  <c r="U28"/>
  <c r="S28"/>
  <c r="R28"/>
  <c r="Q28"/>
  <c r="P28"/>
  <c r="O28"/>
  <c r="N28"/>
  <c r="M28"/>
  <c r="L28"/>
  <c r="K28"/>
  <c r="J28"/>
  <c r="I28"/>
  <c r="H28"/>
  <c r="G28"/>
  <c r="F28"/>
  <c r="D28"/>
  <c r="C28"/>
  <c r="V21"/>
  <c r="U21"/>
  <c r="S21"/>
  <c r="R21"/>
  <c r="Q21"/>
  <c r="P21"/>
  <c r="O21"/>
  <c r="N21"/>
  <c r="M21"/>
  <c r="L21"/>
  <c r="K21"/>
  <c r="J21"/>
  <c r="I21"/>
  <c r="H21"/>
  <c r="G21"/>
  <c r="F21"/>
  <c r="E21"/>
  <c r="W21"/>
  <c r="C21"/>
  <c r="U293" i="66"/>
  <c r="R293"/>
  <c r="P293"/>
  <c r="N293"/>
  <c r="K293"/>
  <c r="G293"/>
  <c r="C288"/>
  <c r="V281"/>
  <c r="U281"/>
  <c r="S281"/>
  <c r="R281"/>
  <c r="Q281"/>
  <c r="P281"/>
  <c r="O281"/>
  <c r="N281"/>
  <c r="M281"/>
  <c r="L281"/>
  <c r="K281"/>
  <c r="J281"/>
  <c r="I281"/>
  <c r="H281"/>
  <c r="G281"/>
  <c r="F281"/>
  <c r="E281"/>
  <c r="D281"/>
  <c r="W281"/>
  <c r="C281"/>
  <c r="V277"/>
  <c r="U277"/>
  <c r="S277"/>
  <c r="R277"/>
  <c r="Q277"/>
  <c r="P277"/>
  <c r="O277"/>
  <c r="N277"/>
  <c r="M277"/>
  <c r="L277"/>
  <c r="K277"/>
  <c r="J277"/>
  <c r="I277"/>
  <c r="H277"/>
  <c r="G277"/>
  <c r="F277"/>
  <c r="E277"/>
  <c r="D277"/>
  <c r="W277"/>
  <c r="C277"/>
  <c r="V273"/>
  <c r="U273"/>
  <c r="S273"/>
  <c r="R273"/>
  <c r="Q273"/>
  <c r="P273"/>
  <c r="O273"/>
  <c r="N273"/>
  <c r="M273"/>
  <c r="L273"/>
  <c r="K273"/>
  <c r="J273"/>
  <c r="I273"/>
  <c r="H273"/>
  <c r="G273"/>
  <c r="F273"/>
  <c r="E273"/>
  <c r="D273"/>
  <c r="C273"/>
  <c r="U263"/>
  <c r="R263"/>
  <c r="P263"/>
  <c r="N263"/>
  <c r="L263"/>
  <c r="J263"/>
  <c r="H263"/>
  <c r="F263"/>
  <c r="D263"/>
  <c r="C239"/>
  <c r="C232"/>
  <c r="C263"/>
  <c r="C225"/>
  <c r="V222"/>
  <c r="U222"/>
  <c r="S222"/>
  <c r="R222"/>
  <c r="Q222"/>
  <c r="P222"/>
  <c r="O222"/>
  <c r="N222"/>
  <c r="M222"/>
  <c r="L222"/>
  <c r="K222"/>
  <c r="J222"/>
  <c r="G222"/>
  <c r="E222"/>
  <c r="D222"/>
  <c r="C222"/>
  <c r="C210"/>
  <c r="C208"/>
  <c r="C207"/>
  <c r="C211"/>
  <c r="V205"/>
  <c r="U205"/>
  <c r="S205"/>
  <c r="R205"/>
  <c r="Q205"/>
  <c r="P205"/>
  <c r="O205"/>
  <c r="N205"/>
  <c r="K205"/>
  <c r="I205"/>
  <c r="G205"/>
  <c r="D205"/>
  <c r="C193"/>
  <c r="C190"/>
  <c r="C188"/>
  <c r="C186"/>
  <c r="C185"/>
  <c r="C183"/>
  <c r="C182"/>
  <c r="C181"/>
  <c r="C179"/>
  <c r="C205"/>
  <c r="R177"/>
  <c r="N177"/>
  <c r="K177"/>
  <c r="J177"/>
  <c r="G177"/>
  <c r="D177"/>
  <c r="C80"/>
  <c r="C64"/>
  <c r="C53"/>
  <c r="C52"/>
  <c r="C177"/>
  <c r="S50"/>
  <c r="R50"/>
  <c r="P50"/>
  <c r="O50"/>
  <c r="N50"/>
  <c r="D50"/>
  <c r="C47"/>
  <c r="C46"/>
  <c r="C50"/>
  <c r="Q39"/>
  <c r="D39"/>
  <c r="C36"/>
  <c r="C34"/>
  <c r="C33"/>
  <c r="C30"/>
  <c r="C39"/>
  <c r="V28"/>
  <c r="U28"/>
  <c r="S28"/>
  <c r="R28"/>
  <c r="Q28"/>
  <c r="P28"/>
  <c r="O28"/>
  <c r="N28"/>
  <c r="M28"/>
  <c r="L28"/>
  <c r="K28"/>
  <c r="J28"/>
  <c r="I28"/>
  <c r="H28"/>
  <c r="G28"/>
  <c r="F28"/>
  <c r="D28"/>
  <c r="C28"/>
  <c r="V21"/>
  <c r="U21"/>
  <c r="S21"/>
  <c r="R21"/>
  <c r="Q21"/>
  <c r="P21"/>
  <c r="O21"/>
  <c r="N21"/>
  <c r="M21"/>
  <c r="L21"/>
  <c r="K21"/>
  <c r="J21"/>
  <c r="I21"/>
  <c r="H21"/>
  <c r="G21"/>
  <c r="F21"/>
  <c r="E21"/>
  <c r="C21"/>
  <c r="D176" i="65"/>
  <c r="H289"/>
  <c r="C192"/>
  <c r="W190"/>
  <c r="C283"/>
  <c r="F38"/>
  <c r="E38"/>
  <c r="D21"/>
  <c r="V288"/>
  <c r="V290"/>
  <c r="U288"/>
  <c r="U290"/>
  <c r="S288"/>
  <c r="S290"/>
  <c r="R288"/>
  <c r="R290"/>
  <c r="Q288"/>
  <c r="P288"/>
  <c r="O288"/>
  <c r="N288"/>
  <c r="M288"/>
  <c r="L288"/>
  <c r="K288"/>
  <c r="J288"/>
  <c r="I288"/>
  <c r="H288"/>
  <c r="G288"/>
  <c r="F288"/>
  <c r="E288"/>
  <c r="D288"/>
  <c r="C278"/>
  <c r="C288"/>
  <c r="V276"/>
  <c r="U276"/>
  <c r="S276"/>
  <c r="R276"/>
  <c r="Q276"/>
  <c r="P276"/>
  <c r="O276"/>
  <c r="N276"/>
  <c r="M276"/>
  <c r="L276"/>
  <c r="K276"/>
  <c r="J276"/>
  <c r="I276"/>
  <c r="H276"/>
  <c r="G276"/>
  <c r="F276"/>
  <c r="E276"/>
  <c r="D276"/>
  <c r="W276"/>
  <c r="C276"/>
  <c r="V272"/>
  <c r="U272"/>
  <c r="S272"/>
  <c r="R272"/>
  <c r="Q272"/>
  <c r="P272"/>
  <c r="O272"/>
  <c r="N272"/>
  <c r="M272"/>
  <c r="L272"/>
  <c r="K272"/>
  <c r="J272"/>
  <c r="I272"/>
  <c r="H272"/>
  <c r="G272"/>
  <c r="F272"/>
  <c r="E272"/>
  <c r="D272"/>
  <c r="W272"/>
  <c r="C272"/>
  <c r="V268"/>
  <c r="V289"/>
  <c r="U268"/>
  <c r="U289"/>
  <c r="S268"/>
  <c r="S289"/>
  <c r="R268"/>
  <c r="R289"/>
  <c r="Q268"/>
  <c r="P268"/>
  <c r="O268"/>
  <c r="N268"/>
  <c r="M268"/>
  <c r="L268"/>
  <c r="K268"/>
  <c r="J268"/>
  <c r="I268"/>
  <c r="H268"/>
  <c r="G268"/>
  <c r="F268"/>
  <c r="E268"/>
  <c r="D268"/>
  <c r="W268"/>
  <c r="C268"/>
  <c r="V258"/>
  <c r="U258"/>
  <c r="S258"/>
  <c r="R258"/>
  <c r="Q258"/>
  <c r="P258"/>
  <c r="O258"/>
  <c r="N258"/>
  <c r="M258"/>
  <c r="L258"/>
  <c r="K258"/>
  <c r="J258"/>
  <c r="I258"/>
  <c r="H258"/>
  <c r="G258"/>
  <c r="F258"/>
  <c r="E258"/>
  <c r="D258"/>
  <c r="W258"/>
  <c r="C237"/>
  <c r="C231"/>
  <c r="C258"/>
  <c r="C224"/>
  <c r="V221"/>
  <c r="U221"/>
  <c r="S221"/>
  <c r="R221"/>
  <c r="Q221"/>
  <c r="P221"/>
  <c r="O221"/>
  <c r="N221"/>
  <c r="M221"/>
  <c r="L221"/>
  <c r="K221"/>
  <c r="J221"/>
  <c r="I221"/>
  <c r="H221"/>
  <c r="G221"/>
  <c r="F221"/>
  <c r="E221"/>
  <c r="D221"/>
  <c r="C221"/>
  <c r="C209"/>
  <c r="C207"/>
  <c r="C210"/>
  <c r="V204"/>
  <c r="U204"/>
  <c r="S204"/>
  <c r="R204"/>
  <c r="Q204"/>
  <c r="P204"/>
  <c r="O204"/>
  <c r="N204"/>
  <c r="M204"/>
  <c r="L204"/>
  <c r="K204"/>
  <c r="J204"/>
  <c r="I204"/>
  <c r="H204"/>
  <c r="G204"/>
  <c r="F204"/>
  <c r="E204"/>
  <c r="D204"/>
  <c r="C189"/>
  <c r="C187"/>
  <c r="C185"/>
  <c r="C182"/>
  <c r="C181"/>
  <c r="C180"/>
  <c r="C178"/>
  <c r="C204"/>
  <c r="V176"/>
  <c r="U176"/>
  <c r="S176"/>
  <c r="R176"/>
  <c r="Q176"/>
  <c r="P176"/>
  <c r="O176"/>
  <c r="N176"/>
  <c r="M176"/>
  <c r="L176"/>
  <c r="K176"/>
  <c r="J176"/>
  <c r="I176"/>
  <c r="H176"/>
  <c r="G176"/>
  <c r="F176"/>
  <c r="C79"/>
  <c r="E176"/>
  <c r="C63"/>
  <c r="C52"/>
  <c r="C176"/>
  <c r="V49"/>
  <c r="U49"/>
  <c r="S49"/>
  <c r="R49"/>
  <c r="Q49"/>
  <c r="P49"/>
  <c r="O49"/>
  <c r="N49"/>
  <c r="M49"/>
  <c r="L49"/>
  <c r="K49"/>
  <c r="J49"/>
  <c r="I49"/>
  <c r="H49"/>
  <c r="G49"/>
  <c r="F49"/>
  <c r="E49"/>
  <c r="D49"/>
  <c r="C45"/>
  <c r="C49"/>
  <c r="V38"/>
  <c r="U38"/>
  <c r="S38"/>
  <c r="R38"/>
  <c r="Q38"/>
  <c r="P38"/>
  <c r="O38"/>
  <c r="N38"/>
  <c r="M38"/>
  <c r="L38"/>
  <c r="K38"/>
  <c r="J38"/>
  <c r="I38"/>
  <c r="H38"/>
  <c r="G38"/>
  <c r="D38"/>
  <c r="C36"/>
  <c r="C34"/>
  <c r="C33"/>
  <c r="C38"/>
  <c r="V28"/>
  <c r="U28"/>
  <c r="S28"/>
  <c r="R28"/>
  <c r="Q28"/>
  <c r="P28"/>
  <c r="O28"/>
  <c r="N28"/>
  <c r="M28"/>
  <c r="L28"/>
  <c r="K28"/>
  <c r="J28"/>
  <c r="I28"/>
  <c r="H28"/>
  <c r="G28"/>
  <c r="F28"/>
  <c r="E28"/>
  <c r="D28"/>
  <c r="C28"/>
  <c r="V21"/>
  <c r="U21"/>
  <c r="S21"/>
  <c r="R21"/>
  <c r="Q21"/>
  <c r="P21"/>
  <c r="O21"/>
  <c r="N21"/>
  <c r="M21"/>
  <c r="L21"/>
  <c r="K21"/>
  <c r="J21"/>
  <c r="I21"/>
  <c r="H21"/>
  <c r="G21"/>
  <c r="F21"/>
  <c r="E21"/>
  <c r="W21"/>
  <c r="C21"/>
  <c r="C282" i="21"/>
  <c r="W292"/>
  <c r="E292"/>
  <c r="W280"/>
  <c r="E280"/>
  <c r="F280"/>
  <c r="G280"/>
  <c r="H280"/>
  <c r="I280"/>
  <c r="J280"/>
  <c r="K280"/>
  <c r="L280"/>
  <c r="M280"/>
  <c r="N280"/>
  <c r="O280"/>
  <c r="P280"/>
  <c r="Q280"/>
  <c r="R280"/>
  <c r="S280"/>
  <c r="U280"/>
  <c r="V280"/>
  <c r="D280"/>
  <c r="W276"/>
  <c r="E276"/>
  <c r="F276"/>
  <c r="G276"/>
  <c r="H276"/>
  <c r="I276"/>
  <c r="J276"/>
  <c r="K276"/>
  <c r="L276"/>
  <c r="M276"/>
  <c r="N276"/>
  <c r="O276"/>
  <c r="P276"/>
  <c r="Q276"/>
  <c r="R276"/>
  <c r="S276"/>
  <c r="U276"/>
  <c r="V276"/>
  <c r="D276"/>
  <c r="E272"/>
  <c r="F272"/>
  <c r="G272"/>
  <c r="H272"/>
  <c r="I272"/>
  <c r="J272"/>
  <c r="K272"/>
  <c r="L272"/>
  <c r="M272"/>
  <c r="N272"/>
  <c r="O272"/>
  <c r="P272"/>
  <c r="Q272"/>
  <c r="R272"/>
  <c r="S272"/>
  <c r="U272"/>
  <c r="V272"/>
  <c r="D272"/>
  <c r="W272"/>
  <c r="D262"/>
  <c r="W262"/>
  <c r="D221"/>
  <c r="W221"/>
  <c r="E204"/>
  <c r="F204"/>
  <c r="G204"/>
  <c r="H204"/>
  <c r="I204"/>
  <c r="J204"/>
  <c r="K204"/>
  <c r="L204"/>
  <c r="M204"/>
  <c r="N204"/>
  <c r="O204"/>
  <c r="P204"/>
  <c r="Q204"/>
  <c r="R204"/>
  <c r="S204"/>
  <c r="U204"/>
  <c r="V204"/>
  <c r="D204"/>
  <c r="W204"/>
  <c r="F176"/>
  <c r="G176"/>
  <c r="H176"/>
  <c r="I176"/>
  <c r="J176"/>
  <c r="K176"/>
  <c r="L176"/>
  <c r="M176"/>
  <c r="N176"/>
  <c r="O176"/>
  <c r="P176"/>
  <c r="Q176"/>
  <c r="R176"/>
  <c r="S176"/>
  <c r="U176"/>
  <c r="V176"/>
  <c r="D176"/>
  <c r="E49"/>
  <c r="F49"/>
  <c r="G49"/>
  <c r="H49"/>
  <c r="I49"/>
  <c r="J49"/>
  <c r="K49"/>
  <c r="L49"/>
  <c r="M49"/>
  <c r="N49"/>
  <c r="O49"/>
  <c r="P49"/>
  <c r="Q49"/>
  <c r="R49"/>
  <c r="S49"/>
  <c r="U49"/>
  <c r="V49"/>
  <c r="D49"/>
  <c r="W49"/>
  <c r="E38"/>
  <c r="F38"/>
  <c r="G38"/>
  <c r="H38"/>
  <c r="I38"/>
  <c r="J38"/>
  <c r="K38"/>
  <c r="L38"/>
  <c r="M38"/>
  <c r="N38"/>
  <c r="O38"/>
  <c r="P38"/>
  <c r="Q38"/>
  <c r="R38"/>
  <c r="S38"/>
  <c r="U38"/>
  <c r="V38"/>
  <c r="D38"/>
  <c r="W38"/>
  <c r="E28"/>
  <c r="D21"/>
  <c r="W21"/>
  <c r="D292"/>
  <c r="D294"/>
  <c r="E262"/>
  <c r="F262"/>
  <c r="G262"/>
  <c r="H262"/>
  <c r="I262"/>
  <c r="J262"/>
  <c r="K262"/>
  <c r="L262"/>
  <c r="M262"/>
  <c r="N262"/>
  <c r="O262"/>
  <c r="P262"/>
  <c r="Q262"/>
  <c r="R262"/>
  <c r="S262"/>
  <c r="U262"/>
  <c r="V262"/>
  <c r="E221"/>
  <c r="F221"/>
  <c r="G221"/>
  <c r="H221"/>
  <c r="I221"/>
  <c r="J221"/>
  <c r="K221"/>
  <c r="L221"/>
  <c r="M221"/>
  <c r="N221"/>
  <c r="O221"/>
  <c r="P221"/>
  <c r="Q221"/>
  <c r="R221"/>
  <c r="S221"/>
  <c r="U221"/>
  <c r="V221"/>
  <c r="F292"/>
  <c r="F294"/>
  <c r="H292"/>
  <c r="H294"/>
  <c r="M292"/>
  <c r="M294"/>
  <c r="G292"/>
  <c r="I292"/>
  <c r="J292"/>
  <c r="K292"/>
  <c r="L292"/>
  <c r="N292"/>
  <c r="O292"/>
  <c r="P292"/>
  <c r="Q292"/>
  <c r="R292"/>
  <c r="S292"/>
  <c r="U292"/>
  <c r="V292"/>
  <c r="C292"/>
  <c r="C280"/>
  <c r="C276"/>
  <c r="C272"/>
  <c r="C238"/>
  <c r="C231"/>
  <c r="C262"/>
  <c r="C224"/>
  <c r="C221"/>
  <c r="C209"/>
  <c r="C207"/>
  <c r="C206"/>
  <c r="C210"/>
  <c r="C189"/>
  <c r="C187"/>
  <c r="C185"/>
  <c r="C182"/>
  <c r="C181"/>
  <c r="C180"/>
  <c r="C178"/>
  <c r="C79"/>
  <c r="C63"/>
  <c r="C52"/>
  <c r="C51"/>
  <c r="C46"/>
  <c r="C45"/>
  <c r="C36"/>
  <c r="C34"/>
  <c r="C33"/>
  <c r="C30"/>
  <c r="C28"/>
  <c r="C21"/>
  <c r="E63"/>
  <c r="W294"/>
  <c r="H199" i="64"/>
  <c r="I199" s="1"/>
  <c r="H200"/>
  <c r="I200" s="1"/>
  <c r="H201"/>
  <c r="I201" s="1"/>
  <c r="H202"/>
  <c r="I202" s="1"/>
  <c r="H203"/>
  <c r="I203" s="1"/>
  <c r="D224"/>
  <c r="E224"/>
  <c r="F224"/>
  <c r="G224"/>
  <c r="H224"/>
  <c r="I224"/>
  <c r="G272"/>
  <c r="G276"/>
  <c r="E21" i="21"/>
  <c r="E293"/>
  <c r="F21"/>
  <c r="F293"/>
  <c r="G21"/>
  <c r="G293"/>
  <c r="H21"/>
  <c r="H293"/>
  <c r="I21"/>
  <c r="I293"/>
  <c r="J21"/>
  <c r="J293"/>
  <c r="K21"/>
  <c r="K293"/>
  <c r="L21"/>
  <c r="L293"/>
  <c r="M21"/>
  <c r="M293"/>
  <c r="N21"/>
  <c r="N293"/>
  <c r="O21"/>
  <c r="O293"/>
  <c r="P21"/>
  <c r="P293"/>
  <c r="Q21"/>
  <c r="Q293"/>
  <c r="R21"/>
  <c r="R293"/>
  <c r="S21"/>
  <c r="S293"/>
  <c r="U21"/>
  <c r="U293"/>
  <c r="V21"/>
  <c r="V293"/>
  <c r="D28"/>
  <c r="W28"/>
  <c r="F28"/>
  <c r="G28"/>
  <c r="G294"/>
  <c r="H28"/>
  <c r="I28"/>
  <c r="I294"/>
  <c r="J28"/>
  <c r="J294"/>
  <c r="K28"/>
  <c r="K294"/>
  <c r="L28"/>
  <c r="L294"/>
  <c r="M28"/>
  <c r="N28"/>
  <c r="N294"/>
  <c r="O28"/>
  <c r="O294"/>
  <c r="P28"/>
  <c r="P294"/>
  <c r="Q28"/>
  <c r="Q294"/>
  <c r="R28"/>
  <c r="R294"/>
  <c r="S28"/>
  <c r="S294"/>
  <c r="U28"/>
  <c r="U294"/>
  <c r="V28"/>
  <c r="V294"/>
  <c r="D10" i="7"/>
  <c r="D18"/>
  <c r="E10"/>
  <c r="E18"/>
  <c r="D11"/>
  <c r="E11"/>
  <c r="H11" s="1"/>
  <c r="I11" s="1"/>
  <c r="C12"/>
  <c r="D12"/>
  <c r="H12" s="1"/>
  <c r="I12" s="1"/>
  <c r="E12"/>
  <c r="D13"/>
  <c r="H13" s="1"/>
  <c r="I13" s="1"/>
  <c r="E13"/>
  <c r="C14"/>
  <c r="D14"/>
  <c r="E14"/>
  <c r="H14" s="1"/>
  <c r="I14" s="1"/>
  <c r="D15"/>
  <c r="E15"/>
  <c r="C16"/>
  <c r="D16"/>
  <c r="H16" s="1"/>
  <c r="I16" s="1"/>
  <c r="E16"/>
  <c r="C17"/>
  <c r="D17"/>
  <c r="E17"/>
  <c r="H17" s="1"/>
  <c r="I17" s="1"/>
  <c r="C18"/>
  <c r="F18"/>
  <c r="G18"/>
  <c r="H19"/>
  <c r="I19"/>
  <c r="D20"/>
  <c r="D25" s="1"/>
  <c r="E20"/>
  <c r="E25" s="1"/>
  <c r="D21"/>
  <c r="H21" s="1"/>
  <c r="I21" s="1"/>
  <c r="E21"/>
  <c r="D22"/>
  <c r="E22"/>
  <c r="D23"/>
  <c r="H23" s="1"/>
  <c r="I23" s="1"/>
  <c r="E23"/>
  <c r="C24"/>
  <c r="D24"/>
  <c r="E24"/>
  <c r="C25"/>
  <c r="F25"/>
  <c r="G25"/>
  <c r="C27"/>
  <c r="D27"/>
  <c r="D36" s="1"/>
  <c r="E27"/>
  <c r="H27" s="1"/>
  <c r="C28"/>
  <c r="D28"/>
  <c r="H28" s="1"/>
  <c r="I28" s="1"/>
  <c r="E28"/>
  <c r="C29"/>
  <c r="D29"/>
  <c r="E29"/>
  <c r="H29" s="1"/>
  <c r="I29" s="1"/>
  <c r="D30"/>
  <c r="E30"/>
  <c r="D31"/>
  <c r="E31"/>
  <c r="H31" s="1"/>
  <c r="I31" s="1"/>
  <c r="C32"/>
  <c r="D32"/>
  <c r="E32"/>
  <c r="C33"/>
  <c r="D33"/>
  <c r="E33"/>
  <c r="H33" s="1"/>
  <c r="I33" s="1"/>
  <c r="C34"/>
  <c r="D34"/>
  <c r="H34" s="1"/>
  <c r="I34" s="1"/>
  <c r="E34"/>
  <c r="C35"/>
  <c r="D35"/>
  <c r="E35"/>
  <c r="C36"/>
  <c r="F36"/>
  <c r="G36"/>
  <c r="H37"/>
  <c r="I37"/>
  <c r="C38"/>
  <c r="D38"/>
  <c r="D47"/>
  <c r="E38"/>
  <c r="E47"/>
  <c r="C39"/>
  <c r="D39"/>
  <c r="H39" s="1"/>
  <c r="I39" s="1"/>
  <c r="E39"/>
  <c r="D40"/>
  <c r="H40" s="1"/>
  <c r="I40" s="1"/>
  <c r="E40"/>
  <c r="D41"/>
  <c r="H41" s="1"/>
  <c r="I41" s="1"/>
  <c r="E41"/>
  <c r="C42"/>
  <c r="D42"/>
  <c r="E42"/>
  <c r="H42" s="1"/>
  <c r="I42" s="1"/>
  <c r="C43"/>
  <c r="D43"/>
  <c r="H43" s="1"/>
  <c r="I43" s="1"/>
  <c r="E43"/>
  <c r="C44"/>
  <c r="D44"/>
  <c r="E44"/>
  <c r="H44" s="1"/>
  <c r="I44" s="1"/>
  <c r="C45"/>
  <c r="D45"/>
  <c r="H45" s="1"/>
  <c r="I45" s="1"/>
  <c r="E45"/>
  <c r="D46"/>
  <c r="H46" s="1"/>
  <c r="I46" s="1"/>
  <c r="E46"/>
  <c r="C47"/>
  <c r="F47"/>
  <c r="G47"/>
  <c r="H48"/>
  <c r="I48"/>
  <c r="C49"/>
  <c r="D49"/>
  <c r="D100" s="1"/>
  <c r="E49"/>
  <c r="E100" s="1"/>
  <c r="C50"/>
  <c r="D50"/>
  <c r="E50"/>
  <c r="C51"/>
  <c r="D51"/>
  <c r="H51" s="1"/>
  <c r="I51" s="1"/>
  <c r="E51"/>
  <c r="C52"/>
  <c r="D52"/>
  <c r="E52"/>
  <c r="H52" s="1"/>
  <c r="I52" s="1"/>
  <c r="C53"/>
  <c r="D53"/>
  <c r="H53" s="1"/>
  <c r="I53" s="1"/>
  <c r="E53"/>
  <c r="D54"/>
  <c r="E54"/>
  <c r="C55"/>
  <c r="D55"/>
  <c r="E55"/>
  <c r="H55" s="1"/>
  <c r="I55" s="1"/>
  <c r="C56"/>
  <c r="D56"/>
  <c r="H56" s="1"/>
  <c r="I56" s="1"/>
  <c r="E56"/>
  <c r="C57"/>
  <c r="D57"/>
  <c r="E57"/>
  <c r="H57" s="1"/>
  <c r="I57" s="1"/>
  <c r="C58"/>
  <c r="D58"/>
  <c r="H58" s="1"/>
  <c r="I58" s="1"/>
  <c r="E58"/>
  <c r="D59"/>
  <c r="E59"/>
  <c r="D60"/>
  <c r="H60" s="1"/>
  <c r="I60" s="1"/>
  <c r="E60"/>
  <c r="C61"/>
  <c r="D61"/>
  <c r="E61"/>
  <c r="H61" s="1"/>
  <c r="I61" s="1"/>
  <c r="D62"/>
  <c r="E62"/>
  <c r="H62" s="1"/>
  <c r="I62" s="1"/>
  <c r="C63"/>
  <c r="D63"/>
  <c r="E63"/>
  <c r="C64"/>
  <c r="D64"/>
  <c r="E64"/>
  <c r="H64" s="1"/>
  <c r="I64" s="1"/>
  <c r="C65"/>
  <c r="D65"/>
  <c r="E65"/>
  <c r="C66"/>
  <c r="D66"/>
  <c r="E66"/>
  <c r="H66" s="1"/>
  <c r="I66" s="1"/>
  <c r="D67"/>
  <c r="E67"/>
  <c r="H67" s="1"/>
  <c r="I67" s="1"/>
  <c r="D68"/>
  <c r="E68"/>
  <c r="H68" s="1"/>
  <c r="I68" s="1"/>
  <c r="D69"/>
  <c r="E69"/>
  <c r="H69" s="1"/>
  <c r="I69" s="1"/>
  <c r="C70"/>
  <c r="D70"/>
  <c r="H70" s="1"/>
  <c r="I70" s="1"/>
  <c r="E70"/>
  <c r="C71"/>
  <c r="D71"/>
  <c r="E71"/>
  <c r="H71" s="1"/>
  <c r="I71" s="1"/>
  <c r="C72"/>
  <c r="D72"/>
  <c r="H72" s="1"/>
  <c r="I72" s="1"/>
  <c r="E72"/>
  <c r="C73"/>
  <c r="D73"/>
  <c r="E73"/>
  <c r="H73" s="1"/>
  <c r="I73" s="1"/>
  <c r="D74"/>
  <c r="E74"/>
  <c r="H74" s="1"/>
  <c r="I74" s="1"/>
  <c r="D75"/>
  <c r="E75"/>
  <c r="H75" s="1"/>
  <c r="I75" s="1"/>
  <c r="D76"/>
  <c r="E76"/>
  <c r="H76" s="1"/>
  <c r="I76" s="1"/>
  <c r="C77"/>
  <c r="D77"/>
  <c r="E77"/>
  <c r="C78"/>
  <c r="D78"/>
  <c r="E78"/>
  <c r="H78" s="1"/>
  <c r="I78" s="1"/>
  <c r="D79"/>
  <c r="E79"/>
  <c r="H79" s="1"/>
  <c r="I79" s="1"/>
  <c r="C80"/>
  <c r="D80"/>
  <c r="H80" s="1"/>
  <c r="I80" s="1"/>
  <c r="E80"/>
  <c r="C81"/>
  <c r="D81"/>
  <c r="E81"/>
  <c r="H81" s="1"/>
  <c r="I81" s="1"/>
  <c r="C82"/>
  <c r="D82"/>
  <c r="E82"/>
  <c r="D83"/>
  <c r="H83" s="1"/>
  <c r="I83" s="1"/>
  <c r="E83"/>
  <c r="D84"/>
  <c r="E84"/>
  <c r="C85"/>
  <c r="D85"/>
  <c r="E85"/>
  <c r="H85" s="1"/>
  <c r="I85" s="1"/>
  <c r="C86"/>
  <c r="D86"/>
  <c r="E86"/>
  <c r="C87"/>
  <c r="D87"/>
  <c r="E87"/>
  <c r="H87" s="1"/>
  <c r="I87" s="1"/>
  <c r="C88"/>
  <c r="D88"/>
  <c r="H88" s="1"/>
  <c r="I88" s="1"/>
  <c r="E88"/>
  <c r="D89"/>
  <c r="E89"/>
  <c r="D90"/>
  <c r="H90" s="1"/>
  <c r="I90" s="1"/>
  <c r="E90"/>
  <c r="C91"/>
  <c r="D91"/>
  <c r="E91"/>
  <c r="H91" s="1"/>
  <c r="I91" s="1"/>
  <c r="C92"/>
  <c r="D92"/>
  <c r="H92" s="1"/>
  <c r="I92" s="1"/>
  <c r="E92"/>
  <c r="D93"/>
  <c r="E93"/>
  <c r="D94"/>
  <c r="H94" s="1"/>
  <c r="I94" s="1"/>
  <c r="E94"/>
  <c r="C95"/>
  <c r="D95"/>
  <c r="E95"/>
  <c r="H95" s="1"/>
  <c r="I95" s="1"/>
  <c r="D96"/>
  <c r="E96"/>
  <c r="H96" s="1"/>
  <c r="I96" s="1"/>
  <c r="D97"/>
  <c r="E97"/>
  <c r="H97" s="1"/>
  <c r="I97" s="1"/>
  <c r="D98"/>
  <c r="E98"/>
  <c r="H98" s="1"/>
  <c r="I98" s="1"/>
  <c r="D99"/>
  <c r="E99"/>
  <c r="H99" s="1"/>
  <c r="I99" s="1"/>
  <c r="C100"/>
  <c r="F100"/>
  <c r="G100"/>
  <c r="C102"/>
  <c r="D102"/>
  <c r="D117"/>
  <c r="E102"/>
  <c r="C103"/>
  <c r="D103"/>
  <c r="E103"/>
  <c r="H103" s="1"/>
  <c r="I103" s="1"/>
  <c r="C104"/>
  <c r="D104"/>
  <c r="H104" s="1"/>
  <c r="I104" s="1"/>
  <c r="E104"/>
  <c r="C105"/>
  <c r="D105"/>
  <c r="E105"/>
  <c r="H105" s="1"/>
  <c r="I105" s="1"/>
  <c r="C106"/>
  <c r="D106"/>
  <c r="E106"/>
  <c r="E117"/>
  <c r="C107"/>
  <c r="D107"/>
  <c r="E107"/>
  <c r="C108"/>
  <c r="D108"/>
  <c r="E108"/>
  <c r="H108" s="1"/>
  <c r="I108" s="1"/>
  <c r="C109"/>
  <c r="D109"/>
  <c r="H109" s="1"/>
  <c r="I109" s="1"/>
  <c r="E109"/>
  <c r="C110"/>
  <c r="D110"/>
  <c r="E110"/>
  <c r="D111"/>
  <c r="E111"/>
  <c r="H111" s="1"/>
  <c r="I111" s="1"/>
  <c r="C112"/>
  <c r="D112"/>
  <c r="H112" s="1"/>
  <c r="I112" s="1"/>
  <c r="E112"/>
  <c r="C113"/>
  <c r="D113"/>
  <c r="E113"/>
  <c r="C114"/>
  <c r="D114"/>
  <c r="H114" s="1"/>
  <c r="I114" s="1"/>
  <c r="E114"/>
  <c r="D115"/>
  <c r="H115" s="1"/>
  <c r="I115" s="1"/>
  <c r="E115"/>
  <c r="D116"/>
  <c r="H116" s="1"/>
  <c r="I116" s="1"/>
  <c r="E116"/>
  <c r="C117"/>
  <c r="F117"/>
  <c r="G117"/>
  <c r="C119"/>
  <c r="D119"/>
  <c r="D123" s="1"/>
  <c r="H123" s="1"/>
  <c r="I123" s="1"/>
  <c r="E119"/>
  <c r="E123" s="1"/>
  <c r="D120"/>
  <c r="E120"/>
  <c r="D121"/>
  <c r="H121" s="1"/>
  <c r="I121" s="1"/>
  <c r="E121"/>
  <c r="D122"/>
  <c r="H122" s="1"/>
  <c r="I122" s="1"/>
  <c r="E122"/>
  <c r="C123"/>
  <c r="F123"/>
  <c r="G123"/>
  <c r="H124"/>
  <c r="I124"/>
  <c r="D125"/>
  <c r="D130"/>
  <c r="E125"/>
  <c r="D126"/>
  <c r="H126" s="1"/>
  <c r="I126" s="1"/>
  <c r="E126"/>
  <c r="E130"/>
  <c r="D127"/>
  <c r="E127"/>
  <c r="H127" s="1"/>
  <c r="I127" s="1"/>
  <c r="D128"/>
  <c r="E128"/>
  <c r="D129"/>
  <c r="E129"/>
  <c r="C130"/>
  <c r="F130"/>
  <c r="G130"/>
  <c r="H132"/>
  <c r="I132"/>
  <c r="C133"/>
  <c r="D133"/>
  <c r="F133"/>
  <c r="G133"/>
  <c r="H133"/>
  <c r="I133"/>
  <c r="D135"/>
  <c r="H135" s="1"/>
  <c r="D136"/>
  <c r="H136" s="1"/>
  <c r="I136" s="1"/>
  <c r="C137"/>
  <c r="D137"/>
  <c r="H137" s="1"/>
  <c r="I137" s="1"/>
  <c r="D138"/>
  <c r="H138" s="1"/>
  <c r="I138" s="1"/>
  <c r="D139"/>
  <c r="H139" s="1"/>
  <c r="I139" s="1"/>
  <c r="D140"/>
  <c r="H140"/>
  <c r="I140" s="1"/>
  <c r="D141"/>
  <c r="H141" s="1"/>
  <c r="I141" s="1"/>
  <c r="D142"/>
  <c r="H142" s="1"/>
  <c r="I142" s="1"/>
  <c r="C143"/>
  <c r="D143"/>
  <c r="H143"/>
  <c r="I143" s="1"/>
  <c r="D144"/>
  <c r="H144" s="1"/>
  <c r="I144" s="1"/>
  <c r="D145"/>
  <c r="H145" s="1"/>
  <c r="I145" s="1"/>
  <c r="C146"/>
  <c r="I146"/>
  <c r="C147"/>
  <c r="F147"/>
  <c r="G147"/>
  <c r="D149"/>
  <c r="H149"/>
  <c r="D150"/>
  <c r="H150"/>
  <c r="I150" s="1"/>
  <c r="D151"/>
  <c r="H151" s="1"/>
  <c r="I151" s="1"/>
  <c r="D152"/>
  <c r="H152" s="1"/>
  <c r="I152" s="1"/>
  <c r="D153"/>
  <c r="H153" s="1"/>
  <c r="I153" s="1"/>
  <c r="D154"/>
  <c r="H154"/>
  <c r="I154" s="1"/>
  <c r="D155"/>
  <c r="H155" s="1"/>
  <c r="I155" s="1"/>
  <c r="C156"/>
  <c r="D158"/>
  <c r="H158" s="1"/>
  <c r="E159"/>
  <c r="H159" s="1"/>
  <c r="I159" s="1"/>
  <c r="E160"/>
  <c r="H160"/>
  <c r="I160" s="1"/>
  <c r="E161"/>
  <c r="H161" s="1"/>
  <c r="I161" s="1"/>
  <c r="H162"/>
  <c r="I162"/>
  <c r="C163"/>
  <c r="F163"/>
  <c r="G163"/>
  <c r="I164"/>
  <c r="C165"/>
  <c r="D165"/>
  <c r="D173" s="1"/>
  <c r="E165"/>
  <c r="C166"/>
  <c r="D166"/>
  <c r="H166" s="1"/>
  <c r="I166" s="1"/>
  <c r="E166"/>
  <c r="D167"/>
  <c r="H167" s="1"/>
  <c r="I167" s="1"/>
  <c r="E167"/>
  <c r="C168"/>
  <c r="D168"/>
  <c r="E168"/>
  <c r="D169"/>
  <c r="E169"/>
  <c r="H169" s="1"/>
  <c r="I169" s="1"/>
  <c r="D170"/>
  <c r="E170"/>
  <c r="H170" s="1"/>
  <c r="I170" s="1"/>
  <c r="E171"/>
  <c r="H171"/>
  <c r="I171" s="1"/>
  <c r="I173" s="1"/>
  <c r="D172"/>
  <c r="E172"/>
  <c r="C173"/>
  <c r="F173"/>
  <c r="G173"/>
  <c r="D175"/>
  <c r="H175" s="1"/>
  <c r="D176"/>
  <c r="H176" s="1"/>
  <c r="I176" s="1"/>
  <c r="D177"/>
  <c r="H177" s="1"/>
  <c r="I177" s="1"/>
  <c r="D178"/>
  <c r="H178" s="1"/>
  <c r="I178" s="1"/>
  <c r="C179"/>
  <c r="E179"/>
  <c r="F179"/>
  <c r="G179"/>
  <c r="C180"/>
  <c r="F180"/>
  <c r="F181"/>
  <c r="G180"/>
  <c r="G181"/>
  <c r="C181"/>
  <c r="F276" i="64"/>
  <c r="E272"/>
  <c r="H110" i="7"/>
  <c r="I110" s="1"/>
  <c r="H93"/>
  <c r="I93" s="1"/>
  <c r="H86"/>
  <c r="I86" s="1"/>
  <c r="H77"/>
  <c r="I77" s="1"/>
  <c r="H63"/>
  <c r="I63" s="1"/>
  <c r="H59"/>
  <c r="I59" s="1"/>
  <c r="H54"/>
  <c r="I54" s="1"/>
  <c r="H50"/>
  <c r="K50" s="1"/>
  <c r="E36"/>
  <c r="F272" i="64"/>
  <c r="D272"/>
  <c r="E173" i="7"/>
  <c r="H22"/>
  <c r="I22" s="1"/>
  <c r="H15"/>
  <c r="I15" s="1"/>
  <c r="E133"/>
  <c r="E147" s="1"/>
  <c r="H107"/>
  <c r="I107" s="1"/>
  <c r="H102"/>
  <c r="I102" s="1"/>
  <c r="H89"/>
  <c r="I89" s="1"/>
  <c r="H84"/>
  <c r="I84" s="1"/>
  <c r="H82"/>
  <c r="I82" s="1"/>
  <c r="H65"/>
  <c r="I65" s="1"/>
  <c r="H35"/>
  <c r="I35" s="1"/>
  <c r="H30"/>
  <c r="I30" s="1"/>
  <c r="D156"/>
  <c r="H125"/>
  <c r="H130"/>
  <c r="I130" s="1"/>
  <c r="H38"/>
  <c r="I38" s="1"/>
  <c r="H32"/>
  <c r="I32" s="1"/>
  <c r="D276" i="64"/>
  <c r="H10" i="7"/>
  <c r="I10"/>
  <c r="C38" i="21"/>
  <c r="C49"/>
  <c r="C176"/>
  <c r="C294"/>
  <c r="C204"/>
  <c r="C293"/>
  <c r="W297"/>
  <c r="D293"/>
  <c r="W221" i="65"/>
  <c r="W210"/>
  <c r="W290"/>
  <c r="W204"/>
  <c r="W49"/>
  <c r="P289"/>
  <c r="O290"/>
  <c r="Q290"/>
  <c r="O289"/>
  <c r="Q289"/>
  <c r="P290"/>
  <c r="W38"/>
  <c r="F289"/>
  <c r="J289"/>
  <c r="L289"/>
  <c r="N289"/>
  <c r="G290"/>
  <c r="I290"/>
  <c r="K290"/>
  <c r="M290"/>
  <c r="G289"/>
  <c r="I289"/>
  <c r="K289"/>
  <c r="M289"/>
  <c r="F290"/>
  <c r="H290"/>
  <c r="J290"/>
  <c r="L290"/>
  <c r="N290"/>
  <c r="W28"/>
  <c r="D290"/>
  <c r="C290"/>
  <c r="E290"/>
  <c r="W176"/>
  <c r="C289"/>
  <c r="W293"/>
  <c r="E289"/>
  <c r="D289"/>
  <c r="S289" i="67"/>
  <c r="S290"/>
  <c r="W49"/>
  <c r="M289"/>
  <c r="M290"/>
  <c r="H290"/>
  <c r="F290"/>
  <c r="W204"/>
  <c r="W176"/>
  <c r="W178"/>
  <c r="W290"/>
  <c r="W38"/>
  <c r="W28"/>
  <c r="E289"/>
  <c r="E290"/>
  <c r="D290"/>
  <c r="C289"/>
  <c r="W293"/>
  <c r="C290"/>
  <c r="W268"/>
  <c r="D289"/>
  <c r="F289"/>
  <c r="H289"/>
  <c r="J289"/>
  <c r="C294" i="66"/>
  <c r="W298"/>
  <c r="W273"/>
  <c r="I290" i="67"/>
  <c r="W289"/>
  <c r="E294" i="21"/>
  <c r="D290" i="68"/>
  <c r="W288"/>
  <c r="W38"/>
  <c r="W176"/>
  <c r="W221"/>
  <c r="C289"/>
  <c r="W293"/>
  <c r="W28"/>
  <c r="W49"/>
  <c r="W204"/>
  <c r="D289"/>
  <c r="C290"/>
  <c r="W268"/>
  <c r="D21" i="66"/>
  <c r="D294" s="1"/>
  <c r="D35" i="64"/>
  <c r="D48"/>
  <c r="D44"/>
  <c r="D206"/>
  <c r="D36"/>
  <c r="D45"/>
  <c r="D213"/>
  <c r="E257" i="69"/>
  <c r="E289" s="1"/>
  <c r="I257"/>
  <c r="I289" s="1"/>
  <c r="M257"/>
  <c r="M289" s="1"/>
  <c r="Q257"/>
  <c r="Q289" s="1"/>
  <c r="V257"/>
  <c r="V289" s="1"/>
  <c r="D208" i="64"/>
  <c r="M39" i="66"/>
  <c r="M50"/>
  <c r="S177"/>
  <c r="M177"/>
  <c r="H205"/>
  <c r="I222"/>
  <c r="D291" i="64"/>
  <c r="M293" i="66"/>
  <c r="D287" i="64"/>
  <c r="N39" i="66"/>
  <c r="U39"/>
  <c r="L39"/>
  <c r="F39"/>
  <c r="F50"/>
  <c r="H177"/>
  <c r="F177"/>
  <c r="M205"/>
  <c r="D294" i="64"/>
  <c r="D290"/>
  <c r="H293" i="66"/>
  <c r="E50"/>
  <c r="E293"/>
  <c r="E177"/>
  <c r="E28"/>
  <c r="W28" s="1"/>
  <c r="J257" i="69"/>
  <c r="J288" s="1"/>
  <c r="N257"/>
  <c r="N288" s="1"/>
  <c r="P257"/>
  <c r="P289" s="1"/>
  <c r="U257"/>
  <c r="U288" s="1"/>
  <c r="W203"/>
  <c r="W209"/>
  <c r="W175"/>
  <c r="W48"/>
  <c r="W38"/>
  <c r="W28"/>
  <c r="D288"/>
  <c r="D289"/>
  <c r="C288"/>
  <c r="E288"/>
  <c r="M288"/>
  <c r="V288"/>
  <c r="P288"/>
  <c r="W267"/>
  <c r="B292"/>
  <c r="W292"/>
  <c r="W203" i="70"/>
  <c r="W209"/>
  <c r="W175"/>
  <c r="W48"/>
  <c r="D293"/>
  <c r="W267"/>
  <c r="W292"/>
  <c r="C293"/>
  <c r="B298"/>
  <c r="W297"/>
  <c r="W38"/>
  <c r="C293" i="71"/>
  <c r="B298"/>
  <c r="W297"/>
  <c r="C288" i="72"/>
  <c r="B293"/>
  <c r="W209"/>
  <c r="W48"/>
  <c r="W38"/>
  <c r="W28"/>
  <c r="D289"/>
  <c r="W287"/>
  <c r="D288"/>
  <c r="W292"/>
  <c r="G287" i="73"/>
  <c r="C27"/>
  <c r="C287"/>
  <c r="B292"/>
  <c r="W48" i="74"/>
  <c r="W220"/>
  <c r="W203"/>
  <c r="W175"/>
  <c r="W38"/>
  <c r="W28"/>
  <c r="V49" i="71"/>
  <c r="Q49"/>
  <c r="K49"/>
  <c r="G49"/>
  <c r="M49"/>
  <c r="K176"/>
  <c r="H204"/>
  <c r="F204"/>
  <c r="S292"/>
  <c r="K292"/>
  <c r="E34" i="64"/>
  <c r="K39" i="71"/>
  <c r="I39"/>
  <c r="P49"/>
  <c r="M39"/>
  <c r="G39"/>
  <c r="N176"/>
  <c r="E280" i="73"/>
  <c r="U292" i="71"/>
  <c r="J292"/>
  <c r="H227"/>
  <c r="L227"/>
  <c r="N227"/>
  <c r="P227"/>
  <c r="U227"/>
  <c r="G228"/>
  <c r="K228"/>
  <c r="O228"/>
  <c r="S228"/>
  <c r="F229"/>
  <c r="J229"/>
  <c r="N229"/>
  <c r="R229"/>
  <c r="E230"/>
  <c r="I230"/>
  <c r="M230"/>
  <c r="Q230"/>
  <c r="V230"/>
  <c r="H231"/>
  <c r="L231"/>
  <c r="P231"/>
  <c r="U231"/>
  <c r="G232"/>
  <c r="K232"/>
  <c r="O232"/>
  <c r="S232"/>
  <c r="F233"/>
  <c r="J233"/>
  <c r="N233"/>
  <c r="R233"/>
  <c r="E234"/>
  <c r="I234"/>
  <c r="M234"/>
  <c r="Q234"/>
  <c r="V234"/>
  <c r="E238" i="81"/>
  <c r="J237" i="71"/>
  <c r="N237"/>
  <c r="R237"/>
  <c r="G238"/>
  <c r="K238"/>
  <c r="O238"/>
  <c r="S238"/>
  <c r="H39"/>
  <c r="E167" i="73"/>
  <c r="E155"/>
  <c r="E143"/>
  <c r="E127"/>
  <c r="E111"/>
  <c r="E99"/>
  <c r="E95"/>
  <c r="E91"/>
  <c r="E89" i="64"/>
  <c r="E85"/>
  <c r="E81"/>
  <c r="E71" i="73"/>
  <c r="E67"/>
  <c r="E63"/>
  <c r="E51"/>
  <c r="E196" i="64"/>
  <c r="E192"/>
  <c r="E186" i="73"/>
  <c r="E182"/>
  <c r="E180" i="64"/>
  <c r="E204" i="73"/>
  <c r="E283"/>
  <c r="E279"/>
  <c r="L292" i="71"/>
  <c r="F292"/>
  <c r="E277" i="73"/>
  <c r="E284"/>
  <c r="E19" i="64"/>
  <c r="E15"/>
  <c r="E13"/>
  <c r="E11"/>
  <c r="E23"/>
  <c r="E48"/>
  <c r="E178"/>
  <c r="E195"/>
  <c r="E191"/>
  <c r="E187"/>
  <c r="E183"/>
  <c r="E179"/>
  <c r="E207"/>
  <c r="E275"/>
  <c r="H275" s="1"/>
  <c r="E294"/>
  <c r="E292"/>
  <c r="E290"/>
  <c r="E288"/>
  <c r="E51"/>
  <c r="E165"/>
  <c r="E157"/>
  <c r="E149"/>
  <c r="E133"/>
  <c r="E117"/>
  <c r="E101"/>
  <c r="E97"/>
  <c r="E93"/>
  <c r="E88"/>
  <c r="E84"/>
  <c r="E80"/>
  <c r="E76"/>
  <c r="E72"/>
  <c r="E68"/>
  <c r="E64"/>
  <c r="E59"/>
  <c r="E215"/>
  <c r="E10" i="73"/>
  <c r="E12"/>
  <c r="E14"/>
  <c r="E18"/>
  <c r="E33"/>
  <c r="E52"/>
  <c r="E58"/>
  <c r="E81"/>
  <c r="E85"/>
  <c r="E88"/>
  <c r="E92"/>
  <c r="E132"/>
  <c r="E138"/>
  <c r="E142"/>
  <c r="E146"/>
  <c r="E150"/>
  <c r="E162"/>
  <c r="E166"/>
  <c r="E178"/>
  <c r="E184"/>
  <c r="E190"/>
  <c r="E194"/>
  <c r="E206"/>
  <c r="D276" i="71"/>
  <c r="W276"/>
  <c r="E25" i="64"/>
  <c r="E36"/>
  <c r="E188"/>
  <c r="E184"/>
  <c r="E206"/>
  <c r="E274"/>
  <c r="E287"/>
  <c r="E293"/>
  <c r="E291"/>
  <c r="H291"/>
  <c r="I291" s="1"/>
  <c r="E289"/>
  <c r="E295"/>
  <c r="H295" s="1"/>
  <c r="I295" s="1"/>
  <c r="E162"/>
  <c r="E160"/>
  <c r="E158"/>
  <c r="E154"/>
  <c r="E136"/>
  <c r="E130"/>
  <c r="E128"/>
  <c r="E126"/>
  <c r="E124"/>
  <c r="E122"/>
  <c r="E120"/>
  <c r="E118"/>
  <c r="E116"/>
  <c r="E114"/>
  <c r="E112"/>
  <c r="E110"/>
  <c r="E108"/>
  <c r="E106"/>
  <c r="E104"/>
  <c r="E102"/>
  <c r="E100"/>
  <c r="E98"/>
  <c r="E96"/>
  <c r="E71"/>
  <c r="E69"/>
  <c r="E67"/>
  <c r="E56"/>
  <c r="E212"/>
  <c r="E214"/>
  <c r="D17"/>
  <c r="K258" i="68"/>
  <c r="K289" s="1"/>
  <c r="L258"/>
  <c r="L290" s="1"/>
  <c r="M258"/>
  <c r="M290" s="1"/>
  <c r="N258"/>
  <c r="N289"/>
  <c r="O258"/>
  <c r="P258"/>
  <c r="P290" s="1"/>
  <c r="Q258"/>
  <c r="Q290" s="1"/>
  <c r="R258"/>
  <c r="R289" s="1"/>
  <c r="S258"/>
  <c r="S289" s="1"/>
  <c r="U258"/>
  <c r="U290" s="1"/>
  <c r="V258"/>
  <c r="V290" s="1"/>
  <c r="D13" i="64"/>
  <c r="D19"/>
  <c r="D15"/>
  <c r="D35" i="73"/>
  <c r="S39" i="66"/>
  <c r="O39"/>
  <c r="G39"/>
  <c r="D44" i="73"/>
  <c r="D167"/>
  <c r="D163"/>
  <c r="D157"/>
  <c r="D52" i="64"/>
  <c r="D195" i="73"/>
  <c r="D191"/>
  <c r="D189" i="64"/>
  <c r="D183" i="73"/>
  <c r="D181"/>
  <c r="D180" i="64"/>
  <c r="D213" i="73"/>
  <c r="E234"/>
  <c r="H234" s="1"/>
  <c r="I234" s="1"/>
  <c r="E237" i="64"/>
  <c r="E242" i="73"/>
  <c r="H242" s="1"/>
  <c r="I242" s="1"/>
  <c r="E247" i="64"/>
  <c r="D280" i="73"/>
  <c r="D276"/>
  <c r="E258" i="68"/>
  <c r="E290" s="1"/>
  <c r="F258"/>
  <c r="F290" s="1"/>
  <c r="G258"/>
  <c r="G290" s="1"/>
  <c r="H258"/>
  <c r="H289" s="1"/>
  <c r="I258"/>
  <c r="I290" s="1"/>
  <c r="J258"/>
  <c r="J289" s="1"/>
  <c r="E240" i="73"/>
  <c r="H240" s="1"/>
  <c r="I240" s="1"/>
  <c r="E244" i="64"/>
  <c r="E245" s="1"/>
  <c r="E243" i="73"/>
  <c r="H243" s="1"/>
  <c r="I243" s="1"/>
  <c r="E248" i="64"/>
  <c r="E249" s="1"/>
  <c r="J289" i="69"/>
  <c r="D18" i="64"/>
  <c r="D14"/>
  <c r="D11"/>
  <c r="D27"/>
  <c r="D25"/>
  <c r="H25" s="1"/>
  <c r="I25" s="1"/>
  <c r="D30"/>
  <c r="D34" i="73"/>
  <c r="D32"/>
  <c r="D30"/>
  <c r="D45"/>
  <c r="D41"/>
  <c r="D170" i="64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3"/>
  <c r="D131"/>
  <c r="D129"/>
  <c r="D127"/>
  <c r="D125"/>
  <c r="D123"/>
  <c r="D121"/>
  <c r="D119"/>
  <c r="D117"/>
  <c r="D115"/>
  <c r="D113"/>
  <c r="D111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5"/>
  <c r="D178"/>
  <c r="D196"/>
  <c r="D193"/>
  <c r="D191"/>
  <c r="D187"/>
  <c r="D182"/>
  <c r="D283" i="73"/>
  <c r="D279"/>
  <c r="F246"/>
  <c r="W209" i="74"/>
  <c r="D289"/>
  <c r="C288"/>
  <c r="W287"/>
  <c r="D288"/>
  <c r="S290" i="68"/>
  <c r="Q289"/>
  <c r="O290"/>
  <c r="O289"/>
  <c r="K290"/>
  <c r="R290"/>
  <c r="N290"/>
  <c r="J290"/>
  <c r="H290"/>
  <c r="F289"/>
  <c r="E289"/>
  <c r="W292" i="74"/>
  <c r="B293"/>
  <c r="W221" i="76"/>
  <c r="W210"/>
  <c r="C293"/>
  <c r="W292"/>
  <c r="C288" i="75"/>
  <c r="B293"/>
  <c r="W220"/>
  <c r="W203"/>
  <c r="W175"/>
  <c r="W48"/>
  <c r="W38"/>
  <c r="W28"/>
  <c r="D289"/>
  <c r="W287"/>
  <c r="D288"/>
  <c r="W297" i="76"/>
  <c r="B298"/>
  <c r="W292" i="75"/>
  <c r="W204" i="76"/>
  <c r="F243" i="78"/>
  <c r="E39" i="76"/>
  <c r="F36" i="64"/>
  <c r="F34"/>
  <c r="F47"/>
  <c r="F51"/>
  <c r="W280" i="76"/>
  <c r="F37" i="64"/>
  <c r="F35"/>
  <c r="L39" i="76"/>
  <c r="J39"/>
  <c r="F39"/>
  <c r="F48" i="64"/>
  <c r="F173"/>
  <c r="F171"/>
  <c r="F169"/>
  <c r="F167"/>
  <c r="F165"/>
  <c r="F163"/>
  <c r="F161"/>
  <c r="F159"/>
  <c r="F157"/>
  <c r="F155"/>
  <c r="F153"/>
  <c r="F151"/>
  <c r="F149"/>
  <c r="F147"/>
  <c r="F145"/>
  <c r="F143"/>
  <c r="F141"/>
  <c r="F139"/>
  <c r="F137"/>
  <c r="F135"/>
  <c r="F133"/>
  <c r="F131"/>
  <c r="F129"/>
  <c r="F127"/>
  <c r="F125"/>
  <c r="F123"/>
  <c r="F121"/>
  <c r="F119"/>
  <c r="F117"/>
  <c r="F115"/>
  <c r="F113"/>
  <c r="F111"/>
  <c r="F109"/>
  <c r="F107"/>
  <c r="F105"/>
  <c r="F103"/>
  <c r="F101"/>
  <c r="F99"/>
  <c r="F97"/>
  <c r="F95"/>
  <c r="F93"/>
  <c r="F91"/>
  <c r="F89"/>
  <c r="F87"/>
  <c r="F85"/>
  <c r="F83"/>
  <c r="F81"/>
  <c r="F79"/>
  <c r="F77"/>
  <c r="F75"/>
  <c r="F73"/>
  <c r="F71"/>
  <c r="F69"/>
  <c r="F67"/>
  <c r="F65"/>
  <c r="F61"/>
  <c r="F59"/>
  <c r="F57"/>
  <c r="F55"/>
  <c r="F53"/>
  <c r="F215"/>
  <c r="F213"/>
  <c r="F209"/>
  <c r="F207"/>
  <c r="F198"/>
  <c r="F196"/>
  <c r="F194"/>
  <c r="F192"/>
  <c r="F190"/>
  <c r="F188"/>
  <c r="F186"/>
  <c r="F184"/>
  <c r="F182"/>
  <c r="F180"/>
  <c r="V39" i="76"/>
  <c r="S39"/>
  <c r="Q39"/>
  <c r="O39"/>
  <c r="M39"/>
  <c r="G39"/>
  <c r="V49"/>
  <c r="S49"/>
  <c r="Q49"/>
  <c r="O49"/>
  <c r="M49"/>
  <c r="K49"/>
  <c r="I49"/>
  <c r="G49"/>
  <c r="F172" i="64"/>
  <c r="F170"/>
  <c r="F168"/>
  <c r="F166"/>
  <c r="F164"/>
  <c r="F162"/>
  <c r="F160"/>
  <c r="F158"/>
  <c r="F156"/>
  <c r="V176" i="76"/>
  <c r="S176"/>
  <c r="Q176"/>
  <c r="O176"/>
  <c r="M176"/>
  <c r="K176"/>
  <c r="I176"/>
  <c r="G176"/>
  <c r="F154" i="64"/>
  <c r="F152"/>
  <c r="F150"/>
  <c r="F148"/>
  <c r="F146"/>
  <c r="F144"/>
  <c r="F142"/>
  <c r="F140"/>
  <c r="F138"/>
  <c r="F136"/>
  <c r="F134"/>
  <c r="F132"/>
  <c r="F130"/>
  <c r="F128"/>
  <c r="F126"/>
  <c r="F124"/>
  <c r="F122"/>
  <c r="F120"/>
  <c r="F118"/>
  <c r="F116"/>
  <c r="F114"/>
  <c r="F112"/>
  <c r="F110"/>
  <c r="F108"/>
  <c r="F106"/>
  <c r="F104"/>
  <c r="F102"/>
  <c r="F100"/>
  <c r="F98"/>
  <c r="F96"/>
  <c r="F94"/>
  <c r="F92"/>
  <c r="F90"/>
  <c r="F88"/>
  <c r="F86"/>
  <c r="F84"/>
  <c r="F82"/>
  <c r="F80"/>
  <c r="F78"/>
  <c r="F76"/>
  <c r="F74"/>
  <c r="F72"/>
  <c r="F70"/>
  <c r="F68"/>
  <c r="F66"/>
  <c r="F64"/>
  <c r="F63"/>
  <c r="F62"/>
  <c r="F60"/>
  <c r="F58"/>
  <c r="F56"/>
  <c r="F54"/>
  <c r="F52"/>
  <c r="F214"/>
  <c r="F212"/>
  <c r="F221" s="1"/>
  <c r="F208"/>
  <c r="F206"/>
  <c r="F210" s="1"/>
  <c r="F197"/>
  <c r="F195"/>
  <c r="F193"/>
  <c r="F191"/>
  <c r="F189"/>
  <c r="F187"/>
  <c r="F185"/>
  <c r="F183"/>
  <c r="F181"/>
  <c r="F179"/>
  <c r="E49" i="76"/>
  <c r="E176"/>
  <c r="E28"/>
  <c r="W28" s="1"/>
  <c r="D21"/>
  <c r="E156" i="64"/>
  <c r="E122" i="73"/>
  <c r="E92" i="64"/>
  <c r="E60"/>
  <c r="E37" i="78"/>
  <c r="E48"/>
  <c r="E164" i="64"/>
  <c r="E148"/>
  <c r="E132"/>
  <c r="E114" i="73"/>
  <c r="E98"/>
  <c r="E82"/>
  <c r="E66"/>
  <c r="E52" i="64"/>
  <c r="E212" i="73"/>
  <c r="E207"/>
  <c r="E294" i="78"/>
  <c r="E292"/>
  <c r="E290"/>
  <c r="E288"/>
  <c r="E295"/>
  <c r="E47"/>
  <c r="S49" i="71"/>
  <c r="O49"/>
  <c r="E49" i="73"/>
  <c r="E168" i="64"/>
  <c r="E158" i="73"/>
  <c r="E152" i="64"/>
  <c r="E144"/>
  <c r="E134" i="73"/>
  <c r="E126"/>
  <c r="E118"/>
  <c r="E110"/>
  <c r="E102"/>
  <c r="E94"/>
  <c r="E86"/>
  <c r="E78"/>
  <c r="E70"/>
  <c r="E62"/>
  <c r="E54"/>
  <c r="E195"/>
  <c r="H195" s="1"/>
  <c r="I195" s="1"/>
  <c r="E187"/>
  <c r="E179"/>
  <c r="E293" i="78"/>
  <c r="E291"/>
  <c r="E289"/>
  <c r="E287"/>
  <c r="E10" i="64"/>
  <c r="E18"/>
  <c r="E16"/>
  <c r="E15" i="73"/>
  <c r="E14" i="64"/>
  <c r="E13" i="73"/>
  <c r="E12" i="64"/>
  <c r="E11" i="73"/>
  <c r="E22"/>
  <c r="E27" i="64"/>
  <c r="E25" i="73"/>
  <c r="E24"/>
  <c r="E23"/>
  <c r="E170" i="64"/>
  <c r="E166"/>
  <c r="E160" i="73"/>
  <c r="E156"/>
  <c r="E152"/>
  <c r="E150" i="64"/>
  <c r="E146"/>
  <c r="E142"/>
  <c r="E138"/>
  <c r="E134"/>
  <c r="E128" i="73"/>
  <c r="E124"/>
  <c r="E120"/>
  <c r="E116"/>
  <c r="E112"/>
  <c r="E108"/>
  <c r="E104"/>
  <c r="E100"/>
  <c r="E96"/>
  <c r="E94" i="64"/>
  <c r="E90"/>
  <c r="E84" i="73"/>
  <c r="E80"/>
  <c r="E76"/>
  <c r="E72"/>
  <c r="E68"/>
  <c r="E64"/>
  <c r="E62" i="64"/>
  <c r="E58"/>
  <c r="E54"/>
  <c r="E176" i="73"/>
  <c r="E193"/>
  <c r="E189"/>
  <c r="E185"/>
  <c r="E181"/>
  <c r="H181" s="1"/>
  <c r="I181" s="1"/>
  <c r="E177"/>
  <c r="E205"/>
  <c r="E213"/>
  <c r="H213"/>
  <c r="E211"/>
  <c r="E268"/>
  <c r="H268" s="1"/>
  <c r="E269"/>
  <c r="H269"/>
  <c r="N294" i="66"/>
  <c r="D33" i="73"/>
  <c r="H33" s="1"/>
  <c r="I33" s="1"/>
  <c r="D31"/>
  <c r="R39" i="66"/>
  <c r="R295" s="1"/>
  <c r="P39"/>
  <c r="J39"/>
  <c r="H39"/>
  <c r="D29" i="73"/>
  <c r="D47" i="64"/>
  <c r="D43" i="73"/>
  <c r="H50" i="66"/>
  <c r="D39" i="73"/>
  <c r="D169" i="64"/>
  <c r="D165" i="73"/>
  <c r="D165" i="64"/>
  <c r="D132"/>
  <c r="D130"/>
  <c r="D128"/>
  <c r="D126"/>
  <c r="D124"/>
  <c r="D122"/>
  <c r="D120"/>
  <c r="D118"/>
  <c r="D116"/>
  <c r="D114"/>
  <c r="D112"/>
  <c r="D56"/>
  <c r="D54"/>
  <c r="V177" i="66"/>
  <c r="Q177"/>
  <c r="O177"/>
  <c r="I177"/>
  <c r="D198" i="64"/>
  <c r="D190"/>
  <c r="D186" i="73"/>
  <c r="H186" s="1"/>
  <c r="I186" s="1"/>
  <c r="D184"/>
  <c r="H184" s="1"/>
  <c r="I184" s="1"/>
  <c r="D182"/>
  <c r="H182" s="1"/>
  <c r="I182" s="1"/>
  <c r="L205" i="66"/>
  <c r="J205"/>
  <c r="F205"/>
  <c r="D214" i="64"/>
  <c r="H214" s="1"/>
  <c r="I214" s="1"/>
  <c r="H222" i="66"/>
  <c r="F222"/>
  <c r="E263"/>
  <c r="V263"/>
  <c r="S263"/>
  <c r="S294" s="1"/>
  <c r="Q263"/>
  <c r="O263"/>
  <c r="O294" s="1"/>
  <c r="M263"/>
  <c r="M294" s="1"/>
  <c r="K263"/>
  <c r="I263"/>
  <c r="G263"/>
  <c r="D293" i="64"/>
  <c r="H293" s="1"/>
  <c r="I293" s="1"/>
  <c r="D292"/>
  <c r="H292" s="1"/>
  <c r="I292" s="1"/>
  <c r="D289"/>
  <c r="H289" s="1"/>
  <c r="I289" s="1"/>
  <c r="V293" i="66"/>
  <c r="S293"/>
  <c r="Q293"/>
  <c r="O293"/>
  <c r="I293"/>
  <c r="D288" i="64"/>
  <c r="L293" i="66"/>
  <c r="J293"/>
  <c r="C283"/>
  <c r="C293" s="1"/>
  <c r="C295" s="1"/>
  <c r="F294"/>
  <c r="O295"/>
  <c r="D277" i="73"/>
  <c r="D281"/>
  <c r="D207" i="64"/>
  <c r="D186"/>
  <c r="D188"/>
  <c r="D195"/>
  <c r="D197"/>
  <c r="D57"/>
  <c r="D59"/>
  <c r="D61"/>
  <c r="D63"/>
  <c r="D65"/>
  <c r="D67"/>
  <c r="D69"/>
  <c r="D71"/>
  <c r="D73"/>
  <c r="D75"/>
  <c r="D77"/>
  <c r="D79"/>
  <c r="D81"/>
  <c r="D83"/>
  <c r="D85"/>
  <c r="D87"/>
  <c r="D89"/>
  <c r="D91"/>
  <c r="D93"/>
  <c r="D95"/>
  <c r="D97"/>
  <c r="D99"/>
  <c r="D101"/>
  <c r="D103"/>
  <c r="D105"/>
  <c r="D107"/>
  <c r="D109"/>
  <c r="D135"/>
  <c r="D137"/>
  <c r="D139"/>
  <c r="D141"/>
  <c r="D143"/>
  <c r="D145"/>
  <c r="D147"/>
  <c r="D149"/>
  <c r="D151"/>
  <c r="D153"/>
  <c r="D155"/>
  <c r="D157"/>
  <c r="D159"/>
  <c r="D161"/>
  <c r="D163"/>
  <c r="D167"/>
  <c r="D51"/>
  <c r="D34"/>
  <c r="D36" i="73"/>
  <c r="D24" i="64"/>
  <c r="D26"/>
  <c r="D23"/>
  <c r="D12"/>
  <c r="D16"/>
  <c r="D278" i="73"/>
  <c r="D282"/>
  <c r="D179" i="64"/>
  <c r="D181"/>
  <c r="D176" i="73"/>
  <c r="H176" s="1"/>
  <c r="D53" i="64"/>
  <c r="D159" i="73"/>
  <c r="D161"/>
  <c r="D42"/>
  <c r="D209" i="64"/>
  <c r="E39" i="66"/>
  <c r="E211"/>
  <c r="D10" i="64"/>
  <c r="D21" s="1"/>
  <c r="E205" i="66"/>
  <c r="W21"/>
  <c r="F293"/>
  <c r="D212" i="64"/>
  <c r="H212" s="1"/>
  <c r="I212" s="1"/>
  <c r="D42"/>
  <c r="D51" i="78"/>
  <c r="D70"/>
  <c r="D68"/>
  <c r="D66"/>
  <c r="D64"/>
  <c r="D62"/>
  <c r="D60"/>
  <c r="D58"/>
  <c r="D56"/>
  <c r="D54"/>
  <c r="D52"/>
  <c r="D190"/>
  <c r="L50" i="66"/>
  <c r="J50"/>
  <c r="J295" s="1"/>
  <c r="N289" i="69"/>
  <c r="M295" i="66"/>
  <c r="D30" i="78"/>
  <c r="D36"/>
  <c r="D34"/>
  <c r="D32" i="64"/>
  <c r="D41"/>
  <c r="D43" i="78"/>
  <c r="D169"/>
  <c r="D167"/>
  <c r="D165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196" i="73"/>
  <c r="D196" i="78"/>
  <c r="D192" i="73"/>
  <c r="D190"/>
  <c r="H190" s="1"/>
  <c r="I190" s="1"/>
  <c r="D188"/>
  <c r="D187"/>
  <c r="H187" s="1"/>
  <c r="I187" s="1"/>
  <c r="D188" i="78"/>
  <c r="D186"/>
  <c r="D184"/>
  <c r="D182"/>
  <c r="D180"/>
  <c r="D204" i="73"/>
  <c r="H204" s="1"/>
  <c r="D206"/>
  <c r="H206" s="1"/>
  <c r="I206" s="1"/>
  <c r="D212" i="78"/>
  <c r="D212" i="73"/>
  <c r="H212" s="1"/>
  <c r="I212" s="1"/>
  <c r="E227" i="71"/>
  <c r="G227"/>
  <c r="I227"/>
  <c r="K227"/>
  <c r="M227"/>
  <c r="P228"/>
  <c r="R228"/>
  <c r="U228"/>
  <c r="F251"/>
  <c r="H251"/>
  <c r="J251"/>
  <c r="L251"/>
  <c r="N251"/>
  <c r="P251"/>
  <c r="R251"/>
  <c r="U251"/>
  <c r="E252"/>
  <c r="G252"/>
  <c r="I252"/>
  <c r="K252"/>
  <c r="M252"/>
  <c r="O252"/>
  <c r="Q252"/>
  <c r="S252"/>
  <c r="V252"/>
  <c r="F253"/>
  <c r="H253"/>
  <c r="J253"/>
  <c r="L253"/>
  <c r="N253"/>
  <c r="N253" i="80" s="1"/>
  <c r="P253" i="71"/>
  <c r="R253"/>
  <c r="U253"/>
  <c r="E254"/>
  <c r="G254"/>
  <c r="I254"/>
  <c r="K254"/>
  <c r="M254"/>
  <c r="O254"/>
  <c r="Q254"/>
  <c r="S254"/>
  <c r="V254"/>
  <c r="F255"/>
  <c r="H255"/>
  <c r="J255"/>
  <c r="L255"/>
  <c r="N255"/>
  <c r="N255" i="80"/>
  <c r="P255" i="71"/>
  <c r="R255"/>
  <c r="U255"/>
  <c r="E256"/>
  <c r="G256"/>
  <c r="I256"/>
  <c r="K256"/>
  <c r="M256"/>
  <c r="O256"/>
  <c r="Q256"/>
  <c r="S256"/>
  <c r="V256"/>
  <c r="F257"/>
  <c r="H257"/>
  <c r="J257"/>
  <c r="L257"/>
  <c r="N257"/>
  <c r="N257" i="80"/>
  <c r="P257" i="71"/>
  <c r="R257"/>
  <c r="U257"/>
  <c r="E258"/>
  <c r="G258"/>
  <c r="I258"/>
  <c r="K258"/>
  <c r="M258"/>
  <c r="O258"/>
  <c r="Q258"/>
  <c r="S258"/>
  <c r="V258"/>
  <c r="F259"/>
  <c r="H259"/>
  <c r="J259"/>
  <c r="L259"/>
  <c r="N259"/>
  <c r="N259" i="80"/>
  <c r="P259" i="71"/>
  <c r="R259"/>
  <c r="U259"/>
  <c r="E260"/>
  <c r="G260"/>
  <c r="I260"/>
  <c r="K260"/>
  <c r="M260"/>
  <c r="M260" i="80" s="1"/>
  <c r="O260" i="71"/>
  <c r="Q260"/>
  <c r="S260"/>
  <c r="V260"/>
  <c r="V260" i="80" s="1"/>
  <c r="F261" i="71"/>
  <c r="H261"/>
  <c r="J261"/>
  <c r="L261"/>
  <c r="N261"/>
  <c r="P261"/>
  <c r="R261"/>
  <c r="U261"/>
  <c r="F257" i="69"/>
  <c r="H257"/>
  <c r="H288" s="1"/>
  <c r="L257"/>
  <c r="L288" s="1"/>
  <c r="S257"/>
  <c r="S289" s="1"/>
  <c r="F257" i="70"/>
  <c r="H257"/>
  <c r="H293" s="1"/>
  <c r="J257"/>
  <c r="J293" s="1"/>
  <c r="L257"/>
  <c r="L294" s="1"/>
  <c r="F254" i="73"/>
  <c r="O257" i="72"/>
  <c r="O289" s="1"/>
  <c r="Q257"/>
  <c r="Q289" s="1"/>
  <c r="S257"/>
  <c r="S289" s="1"/>
  <c r="V257"/>
  <c r="V289" s="1"/>
  <c r="F250" i="73"/>
  <c r="F255"/>
  <c r="D37"/>
  <c r="W205" i="66"/>
  <c r="O288" i="72"/>
  <c r="S288"/>
  <c r="V288"/>
  <c r="D10" i="73"/>
  <c r="D19"/>
  <c r="D18"/>
  <c r="H18" s="1"/>
  <c r="I18" s="1"/>
  <c r="D17"/>
  <c r="D16"/>
  <c r="D15"/>
  <c r="H15" s="1"/>
  <c r="I15" s="1"/>
  <c r="D14"/>
  <c r="H14" s="1"/>
  <c r="I14" s="1"/>
  <c r="D13"/>
  <c r="H13"/>
  <c r="I13" s="1"/>
  <c r="D12"/>
  <c r="H12" s="1"/>
  <c r="I12" s="1"/>
  <c r="D11"/>
  <c r="H11" s="1"/>
  <c r="D22"/>
  <c r="D26"/>
  <c r="D25"/>
  <c r="H25" s="1"/>
  <c r="I25" s="1"/>
  <c r="D24"/>
  <c r="H24" s="1"/>
  <c r="I24" s="1"/>
  <c r="D23"/>
  <c r="H23" s="1"/>
  <c r="D48" i="78"/>
  <c r="D46"/>
  <c r="D166" i="73"/>
  <c r="H166" s="1"/>
  <c r="I166" s="1"/>
  <c r="D158"/>
  <c r="H158" s="1"/>
  <c r="I158" s="1"/>
  <c r="D185" i="64"/>
  <c r="D184"/>
  <c r="D183"/>
  <c r="D180" i="73"/>
  <c r="D179"/>
  <c r="H179" s="1"/>
  <c r="D178"/>
  <c r="H178" s="1"/>
  <c r="I178" s="1"/>
  <c r="D177"/>
  <c r="D213" i="78"/>
  <c r="O257" i="69"/>
  <c r="H211" i="66"/>
  <c r="F248" i="73"/>
  <c r="F252"/>
  <c r="S288" i="69"/>
  <c r="J294" i="70"/>
  <c r="G228" i="76"/>
  <c r="I228"/>
  <c r="K228"/>
  <c r="M228"/>
  <c r="O228"/>
  <c r="Q228"/>
  <c r="S228"/>
  <c r="S228" i="80" s="1"/>
  <c r="V228" i="76"/>
  <c r="G229"/>
  <c r="I229"/>
  <c r="K229"/>
  <c r="M229"/>
  <c r="O229"/>
  <c r="Q229"/>
  <c r="S229"/>
  <c r="V229"/>
  <c r="F230"/>
  <c r="H230"/>
  <c r="J230"/>
  <c r="L230"/>
  <c r="N230"/>
  <c r="P230"/>
  <c r="R230"/>
  <c r="U230"/>
  <c r="G231"/>
  <c r="I231"/>
  <c r="K231"/>
  <c r="M231"/>
  <c r="O231"/>
  <c r="Q231"/>
  <c r="S231"/>
  <c r="V231"/>
  <c r="F232"/>
  <c r="H232"/>
  <c r="J232"/>
  <c r="L232"/>
  <c r="N232"/>
  <c r="P232"/>
  <c r="R232"/>
  <c r="U232"/>
  <c r="G233"/>
  <c r="I233"/>
  <c r="K233"/>
  <c r="M233"/>
  <c r="O233"/>
  <c r="Q233"/>
  <c r="S233"/>
  <c r="V233"/>
  <c r="F234"/>
  <c r="H234"/>
  <c r="J234"/>
  <c r="L234"/>
  <c r="N234"/>
  <c r="P234"/>
  <c r="R234"/>
  <c r="U234"/>
  <c r="G237"/>
  <c r="I237"/>
  <c r="K237"/>
  <c r="M237"/>
  <c r="O237"/>
  <c r="Q237"/>
  <c r="S237"/>
  <c r="V237"/>
  <c r="F238"/>
  <c r="J238"/>
  <c r="L238"/>
  <c r="N238"/>
  <c r="P238"/>
  <c r="R238"/>
  <c r="U238"/>
  <c r="G239"/>
  <c r="I239"/>
  <c r="K239"/>
  <c r="M239"/>
  <c r="O239"/>
  <c r="Q239"/>
  <c r="S239"/>
  <c r="V239"/>
  <c r="F240"/>
  <c r="J240"/>
  <c r="L240"/>
  <c r="N240"/>
  <c r="P240"/>
  <c r="R240"/>
  <c r="U240"/>
  <c r="G241"/>
  <c r="I241"/>
  <c r="K241"/>
  <c r="M241"/>
  <c r="O241"/>
  <c r="Q241"/>
  <c r="S241"/>
  <c r="V241"/>
  <c r="F244"/>
  <c r="H244"/>
  <c r="J244"/>
  <c r="L244"/>
  <c r="N244"/>
  <c r="P244"/>
  <c r="R244"/>
  <c r="U244"/>
  <c r="G247"/>
  <c r="I247"/>
  <c r="K247"/>
  <c r="M247"/>
  <c r="O247"/>
  <c r="Q247"/>
  <c r="S247"/>
  <c r="V247"/>
  <c r="F248"/>
  <c r="H248"/>
  <c r="J248"/>
  <c r="L248"/>
  <c r="N248"/>
  <c r="P248"/>
  <c r="R248"/>
  <c r="U248"/>
  <c r="F251"/>
  <c r="F251" i="80" s="1"/>
  <c r="H251" i="76"/>
  <c r="J251"/>
  <c r="L251"/>
  <c r="N251"/>
  <c r="P251"/>
  <c r="P251" i="80" s="1"/>
  <c r="R251" i="76"/>
  <c r="R251" i="80" s="1"/>
  <c r="U251" i="76"/>
  <c r="G252"/>
  <c r="I252"/>
  <c r="I252" i="80" s="1"/>
  <c r="K252" i="76"/>
  <c r="M252"/>
  <c r="O252"/>
  <c r="Q252"/>
  <c r="Q252" i="80" s="1"/>
  <c r="S252" i="76"/>
  <c r="S252" i="80" s="1"/>
  <c r="V252" i="76"/>
  <c r="V252" i="80" s="1"/>
  <c r="G253" i="76"/>
  <c r="I253"/>
  <c r="K253"/>
  <c r="M253"/>
  <c r="P253"/>
  <c r="R253"/>
  <c r="R253" i="80" s="1"/>
  <c r="O254" i="76"/>
  <c r="D294" i="78"/>
  <c r="D292"/>
  <c r="D290"/>
  <c r="D288"/>
  <c r="E261" i="76"/>
  <c r="E259"/>
  <c r="E257"/>
  <c r="E255"/>
  <c r="E253"/>
  <c r="E251"/>
  <c r="E248"/>
  <c r="E240"/>
  <c r="E238"/>
  <c r="E233"/>
  <c r="E231"/>
  <c r="V261"/>
  <c r="S261"/>
  <c r="Q261"/>
  <c r="O261"/>
  <c r="M261"/>
  <c r="K261"/>
  <c r="I261"/>
  <c r="G261"/>
  <c r="V260"/>
  <c r="S260"/>
  <c r="S260" i="80" s="1"/>
  <c r="Q260" i="76"/>
  <c r="Q260" i="80" s="1"/>
  <c r="O260" i="76"/>
  <c r="O260" i="80" s="1"/>
  <c r="M260" i="76"/>
  <c r="K260"/>
  <c r="K260" i="80" s="1"/>
  <c r="I260" i="76"/>
  <c r="G260"/>
  <c r="G260" i="80" s="1"/>
  <c r="V259" i="76"/>
  <c r="S259"/>
  <c r="Q259"/>
  <c r="O259"/>
  <c r="M259"/>
  <c r="K259"/>
  <c r="I259"/>
  <c r="G259"/>
  <c r="V258"/>
  <c r="V258" i="80" s="1"/>
  <c r="S258" i="76"/>
  <c r="S258" i="80" s="1"/>
  <c r="Q258" i="76"/>
  <c r="O258"/>
  <c r="O258" i="80" s="1"/>
  <c r="M258" i="76"/>
  <c r="M258" i="80" s="1"/>
  <c r="K258" i="76"/>
  <c r="K258" i="80" s="1"/>
  <c r="I258" i="76"/>
  <c r="G258"/>
  <c r="G258" i="80" s="1"/>
  <c r="V257" i="76"/>
  <c r="S257"/>
  <c r="Q257"/>
  <c r="O257"/>
  <c r="M257"/>
  <c r="K257"/>
  <c r="I257"/>
  <c r="G257"/>
  <c r="V256"/>
  <c r="V256" i="80" s="1"/>
  <c r="S256" i="76"/>
  <c r="S256" i="80" s="1"/>
  <c r="Q256" i="76"/>
  <c r="O256"/>
  <c r="M256"/>
  <c r="K256"/>
  <c r="I256"/>
  <c r="G256"/>
  <c r="V255"/>
  <c r="S255"/>
  <c r="Q255"/>
  <c r="O255"/>
  <c r="M255"/>
  <c r="K255"/>
  <c r="I255"/>
  <c r="G255"/>
  <c r="V254"/>
  <c r="S254"/>
  <c r="Q254"/>
  <c r="J254"/>
  <c r="F254"/>
  <c r="F227"/>
  <c r="G227"/>
  <c r="H227"/>
  <c r="I227"/>
  <c r="J227"/>
  <c r="K227"/>
  <c r="L227"/>
  <c r="M227"/>
  <c r="M227" i="80" s="1"/>
  <c r="N227" i="76"/>
  <c r="N227" i="80" s="1"/>
  <c r="O227" i="76"/>
  <c r="P227"/>
  <c r="P227" i="80" s="1"/>
  <c r="Q227" i="76"/>
  <c r="R227"/>
  <c r="S227"/>
  <c r="U227"/>
  <c r="U227" i="80" s="1"/>
  <c r="V227" i="76"/>
  <c r="F228"/>
  <c r="H228"/>
  <c r="J228"/>
  <c r="L228"/>
  <c r="N228"/>
  <c r="P228"/>
  <c r="P228" i="80" s="1"/>
  <c r="R228" i="76"/>
  <c r="R228" i="80" s="1"/>
  <c r="U228" i="76"/>
  <c r="U228" i="80" s="1"/>
  <c r="F229" i="76"/>
  <c r="H229"/>
  <c r="J229"/>
  <c r="L229"/>
  <c r="N229"/>
  <c r="P229"/>
  <c r="R229"/>
  <c r="R229" i="80" s="1"/>
  <c r="U229" i="76"/>
  <c r="G230"/>
  <c r="I230"/>
  <c r="K230"/>
  <c r="M230"/>
  <c r="O230"/>
  <c r="Q230"/>
  <c r="S230"/>
  <c r="V230"/>
  <c r="F231"/>
  <c r="H231"/>
  <c r="J231"/>
  <c r="L231"/>
  <c r="N231"/>
  <c r="P231"/>
  <c r="R231"/>
  <c r="U231"/>
  <c r="G232"/>
  <c r="I232"/>
  <c r="K232"/>
  <c r="M232"/>
  <c r="O232"/>
  <c r="Q232"/>
  <c r="S232"/>
  <c r="V232"/>
  <c r="F233"/>
  <c r="H233"/>
  <c r="J233"/>
  <c r="L233"/>
  <c r="N233"/>
  <c r="N233" i="80" s="1"/>
  <c r="P233" i="76"/>
  <c r="R233"/>
  <c r="U233"/>
  <c r="G234"/>
  <c r="I234"/>
  <c r="K234"/>
  <c r="M234"/>
  <c r="M234" i="80" s="1"/>
  <c r="O234" i="76"/>
  <c r="Q234"/>
  <c r="S234"/>
  <c r="V234"/>
  <c r="F237"/>
  <c r="H237"/>
  <c r="J237"/>
  <c r="J237" i="80" s="1"/>
  <c r="L237" i="76"/>
  <c r="N237"/>
  <c r="N237" i="80" s="1"/>
  <c r="P237" i="76"/>
  <c r="R237"/>
  <c r="R237" i="80" s="1"/>
  <c r="U237" i="76"/>
  <c r="G238"/>
  <c r="G238" i="80" s="1"/>
  <c r="I238" i="76"/>
  <c r="K238"/>
  <c r="K238" i="80" s="1"/>
  <c r="M238" i="76"/>
  <c r="O238"/>
  <c r="O238" i="80" s="1"/>
  <c r="Q238" i="76"/>
  <c r="S238"/>
  <c r="S238" i="80" s="1"/>
  <c r="V238" i="76"/>
  <c r="F239"/>
  <c r="J239"/>
  <c r="L239"/>
  <c r="N239"/>
  <c r="P239"/>
  <c r="R239"/>
  <c r="U239"/>
  <c r="G240"/>
  <c r="I240"/>
  <c r="K240"/>
  <c r="M240"/>
  <c r="O240"/>
  <c r="Q240"/>
  <c r="S240"/>
  <c r="V240"/>
  <c r="F241"/>
  <c r="J241"/>
  <c r="L241"/>
  <c r="N241"/>
  <c r="P241"/>
  <c r="R241"/>
  <c r="U241"/>
  <c r="G244"/>
  <c r="I244"/>
  <c r="K244"/>
  <c r="M244"/>
  <c r="O244"/>
  <c r="Q244"/>
  <c r="S244"/>
  <c r="V244"/>
  <c r="F247"/>
  <c r="H247"/>
  <c r="J247"/>
  <c r="L247"/>
  <c r="N247"/>
  <c r="P247"/>
  <c r="R247"/>
  <c r="U247"/>
  <c r="G248"/>
  <c r="I248"/>
  <c r="K248"/>
  <c r="M248"/>
  <c r="O248"/>
  <c r="Q248"/>
  <c r="S248"/>
  <c r="V248"/>
  <c r="G251"/>
  <c r="I251"/>
  <c r="K251"/>
  <c r="M251"/>
  <c r="O251"/>
  <c r="Q251"/>
  <c r="S251"/>
  <c r="V251"/>
  <c r="F252"/>
  <c r="H252"/>
  <c r="J252"/>
  <c r="L252"/>
  <c r="N252"/>
  <c r="P252"/>
  <c r="R252"/>
  <c r="U252"/>
  <c r="F253"/>
  <c r="F253" i="80" s="1"/>
  <c r="H253" i="76"/>
  <c r="J253"/>
  <c r="J253" i="80" s="1"/>
  <c r="L253" i="76"/>
  <c r="L253" i="80" s="1"/>
  <c r="O253" i="76"/>
  <c r="Q253"/>
  <c r="S253"/>
  <c r="V253"/>
  <c r="G254"/>
  <c r="G254" i="80" s="1"/>
  <c r="I254" i="76"/>
  <c r="I254" i="80" s="1"/>
  <c r="K254" i="76"/>
  <c r="K254" i="80" s="1"/>
  <c r="M254" i="76"/>
  <c r="D37" i="78"/>
  <c r="D35"/>
  <c r="D33"/>
  <c r="D32"/>
  <c r="D31"/>
  <c r="D41"/>
  <c r="D47"/>
  <c r="D45"/>
  <c r="D43" i="64"/>
  <c r="D40" i="73"/>
  <c r="D49"/>
  <c r="D168"/>
  <c r="D164"/>
  <c r="D160"/>
  <c r="H160" s="1"/>
  <c r="I160" s="1"/>
  <c r="D156"/>
  <c r="H156" s="1"/>
  <c r="I156" s="1"/>
  <c r="D155"/>
  <c r="H155" s="1"/>
  <c r="I155" s="1"/>
  <c r="D154"/>
  <c r="D153"/>
  <c r="D152"/>
  <c r="H152" s="1"/>
  <c r="I152" s="1"/>
  <c r="D151"/>
  <c r="D150"/>
  <c r="H150" s="1"/>
  <c r="I150" s="1"/>
  <c r="D149"/>
  <c r="D148"/>
  <c r="D147"/>
  <c r="D146"/>
  <c r="H146" s="1"/>
  <c r="I146" s="1"/>
  <c r="D145"/>
  <c r="D144"/>
  <c r="D143"/>
  <c r="H143" s="1"/>
  <c r="I143" s="1"/>
  <c r="D142"/>
  <c r="H142" s="1"/>
  <c r="I142" s="1"/>
  <c r="D141"/>
  <c r="D140"/>
  <c r="D139"/>
  <c r="D138"/>
  <c r="H138" s="1"/>
  <c r="I138" s="1"/>
  <c r="D137"/>
  <c r="D136"/>
  <c r="D135"/>
  <c r="D134"/>
  <c r="H134" s="1"/>
  <c r="I134" s="1"/>
  <c r="D133"/>
  <c r="D132"/>
  <c r="H132" s="1"/>
  <c r="I132" s="1"/>
  <c r="D131"/>
  <c r="D130"/>
  <c r="D129"/>
  <c r="D128"/>
  <c r="H128" s="1"/>
  <c r="I128" s="1"/>
  <c r="D127"/>
  <c r="H127" s="1"/>
  <c r="I127" s="1"/>
  <c r="D126"/>
  <c r="H126" s="1"/>
  <c r="I126" s="1"/>
  <c r="D125"/>
  <c r="D124"/>
  <c r="H124" s="1"/>
  <c r="I124" s="1"/>
  <c r="D123"/>
  <c r="D122"/>
  <c r="H122" s="1"/>
  <c r="I122" s="1"/>
  <c r="D121"/>
  <c r="D120"/>
  <c r="H120"/>
  <c r="I120" s="1"/>
  <c r="D119"/>
  <c r="D118"/>
  <c r="H118" s="1"/>
  <c r="I118" s="1"/>
  <c r="D117"/>
  <c r="D116"/>
  <c r="H116" s="1"/>
  <c r="I116" s="1"/>
  <c r="D115"/>
  <c r="D114"/>
  <c r="H114" s="1"/>
  <c r="I114" s="1"/>
  <c r="D113"/>
  <c r="D112"/>
  <c r="H112"/>
  <c r="I112" s="1"/>
  <c r="D111"/>
  <c r="H111" s="1"/>
  <c r="I111" s="1"/>
  <c r="D110"/>
  <c r="H110" s="1"/>
  <c r="I110" s="1"/>
  <c r="D109"/>
  <c r="D108"/>
  <c r="H108" s="1"/>
  <c r="I108" s="1"/>
  <c r="D107"/>
  <c r="D106"/>
  <c r="D105"/>
  <c r="D104"/>
  <c r="H104" s="1"/>
  <c r="I104" s="1"/>
  <c r="D103"/>
  <c r="D102"/>
  <c r="H102" s="1"/>
  <c r="I102" s="1"/>
  <c r="D101"/>
  <c r="D100"/>
  <c r="H100" s="1"/>
  <c r="I100" s="1"/>
  <c r="D99"/>
  <c r="H99" s="1"/>
  <c r="I99" s="1"/>
  <c r="D98"/>
  <c r="H98" s="1"/>
  <c r="I98" s="1"/>
  <c r="D97"/>
  <c r="D96"/>
  <c r="H96"/>
  <c r="I96" s="1"/>
  <c r="D95"/>
  <c r="H95" s="1"/>
  <c r="I95" s="1"/>
  <c r="D94"/>
  <c r="H94" s="1"/>
  <c r="I94" s="1"/>
  <c r="D93"/>
  <c r="D92"/>
  <c r="H92" s="1"/>
  <c r="I92" s="1"/>
  <c r="D91"/>
  <c r="H91" s="1"/>
  <c r="I91" s="1"/>
  <c r="D90"/>
  <c r="D89"/>
  <c r="D88"/>
  <c r="H88" s="1"/>
  <c r="I88" s="1"/>
  <c r="D87"/>
  <c r="D86"/>
  <c r="H86" s="1"/>
  <c r="I86" s="1"/>
  <c r="D85"/>
  <c r="H85" s="1"/>
  <c r="I85" s="1"/>
  <c r="D84"/>
  <c r="H84" s="1"/>
  <c r="I84" s="1"/>
  <c r="D83"/>
  <c r="D82"/>
  <c r="H82" s="1"/>
  <c r="I82" s="1"/>
  <c r="D81"/>
  <c r="H81" s="1"/>
  <c r="I81" s="1"/>
  <c r="D80"/>
  <c r="H80" s="1"/>
  <c r="I80" s="1"/>
  <c r="D79"/>
  <c r="D78"/>
  <c r="H78" s="1"/>
  <c r="I78" s="1"/>
  <c r="D77"/>
  <c r="D76"/>
  <c r="H76" s="1"/>
  <c r="I76" s="1"/>
  <c r="D75"/>
  <c r="D74"/>
  <c r="D73"/>
  <c r="D72"/>
  <c r="H72"/>
  <c r="I72" s="1"/>
  <c r="D71"/>
  <c r="H71" s="1"/>
  <c r="I71" s="1"/>
  <c r="D70"/>
  <c r="H70" s="1"/>
  <c r="I70" s="1"/>
  <c r="D69"/>
  <c r="D68"/>
  <c r="H68" s="1"/>
  <c r="I68" s="1"/>
  <c r="D67"/>
  <c r="H67" s="1"/>
  <c r="I67" s="1"/>
  <c r="D66"/>
  <c r="H66" s="1"/>
  <c r="I66" s="1"/>
  <c r="D65"/>
  <c r="D64"/>
  <c r="H64" s="1"/>
  <c r="I64" s="1"/>
  <c r="D63"/>
  <c r="H63" s="1"/>
  <c r="I63" s="1"/>
  <c r="D62"/>
  <c r="H62" s="1"/>
  <c r="I62" s="1"/>
  <c r="D61"/>
  <c r="D60"/>
  <c r="D59"/>
  <c r="D58"/>
  <c r="H58" s="1"/>
  <c r="I58" s="1"/>
  <c r="D57"/>
  <c r="D56"/>
  <c r="D55"/>
  <c r="D54"/>
  <c r="H54" s="1"/>
  <c r="I54" s="1"/>
  <c r="D53"/>
  <c r="D52"/>
  <c r="H52" s="1"/>
  <c r="I52" s="1"/>
  <c r="D51"/>
  <c r="H51" s="1"/>
  <c r="I51" s="1"/>
  <c r="D50"/>
  <c r="D198" i="78"/>
  <c r="D194" i="73"/>
  <c r="H194" s="1"/>
  <c r="I194" s="1"/>
  <c r="D195" i="78"/>
  <c r="D191"/>
  <c r="D185" i="73"/>
  <c r="H185" s="1"/>
  <c r="I185" s="1"/>
  <c r="D206" i="78"/>
  <c r="D209"/>
  <c r="D208"/>
  <c r="D207"/>
  <c r="D210" s="1"/>
  <c r="D210" i="73"/>
  <c r="H210" s="1"/>
  <c r="D215" i="78"/>
  <c r="D214"/>
  <c r="D293"/>
  <c r="D291"/>
  <c r="D289"/>
  <c r="D287"/>
  <c r="D297" s="1"/>
  <c r="F247" i="73"/>
  <c r="F249"/>
  <c r="F251"/>
  <c r="F253"/>
  <c r="E227" i="76"/>
  <c r="F228" i="81" s="1"/>
  <c r="E260" i="76"/>
  <c r="E260" i="80" s="1"/>
  <c r="E258" i="76"/>
  <c r="E258" i="80" s="1"/>
  <c r="E256" i="76"/>
  <c r="E256" i="80" s="1"/>
  <c r="E254" i="76"/>
  <c r="E254" i="80" s="1"/>
  <c r="E252" i="76"/>
  <c r="F253" i="81" s="1"/>
  <c r="E247" i="76"/>
  <c r="F248" i="81" s="1"/>
  <c r="E244" i="76"/>
  <c r="F245" i="81" s="1"/>
  <c r="E241" i="76"/>
  <c r="F242" i="81"/>
  <c r="E239" i="76"/>
  <c r="F240" i="81"/>
  <c r="E237" i="76"/>
  <c r="F238" i="81"/>
  <c r="E234" i="76"/>
  <c r="F235" i="81"/>
  <c r="E232" i="76"/>
  <c r="F233" i="81"/>
  <c r="E230" i="76"/>
  <c r="F231" i="81"/>
  <c r="E228" i="76"/>
  <c r="F229" i="81"/>
  <c r="U261" i="76"/>
  <c r="U261" i="80" s="1"/>
  <c r="R261" i="76"/>
  <c r="R261" i="80" s="1"/>
  <c r="P261" i="76"/>
  <c r="P261" i="80" s="1"/>
  <c r="N261" i="76"/>
  <c r="L261"/>
  <c r="J261"/>
  <c r="H261"/>
  <c r="F261"/>
  <c r="F262" i="81" s="1"/>
  <c r="U260" i="76"/>
  <c r="R260"/>
  <c r="P260"/>
  <c r="L260"/>
  <c r="J260"/>
  <c r="H260"/>
  <c r="F260"/>
  <c r="U259"/>
  <c r="U259" i="80" s="1"/>
  <c r="R259" i="76"/>
  <c r="R259" i="80" s="1"/>
  <c r="P259" i="76"/>
  <c r="P259" i="80" s="1"/>
  <c r="L259" i="76"/>
  <c r="L259" i="80" s="1"/>
  <c r="J259" i="76"/>
  <c r="J259" i="80" s="1"/>
  <c r="H259" i="76"/>
  <c r="H259" i="80" s="1"/>
  <c r="F259" i="76"/>
  <c r="F259" i="80" s="1"/>
  <c r="U258" i="76"/>
  <c r="R258"/>
  <c r="P258"/>
  <c r="L258"/>
  <c r="J258"/>
  <c r="H258"/>
  <c r="F258"/>
  <c r="U257"/>
  <c r="U257" i="80" s="1"/>
  <c r="R257" i="76"/>
  <c r="R257" i="80" s="1"/>
  <c r="P257" i="76"/>
  <c r="P257" i="80" s="1"/>
  <c r="L257" i="76"/>
  <c r="L257" i="80" s="1"/>
  <c r="J257" i="76"/>
  <c r="J257" i="80" s="1"/>
  <c r="H257" i="76"/>
  <c r="H257" i="80" s="1"/>
  <c r="F257" i="76"/>
  <c r="F257" i="80" s="1"/>
  <c r="U256" i="76"/>
  <c r="R256"/>
  <c r="P256"/>
  <c r="L256"/>
  <c r="J256"/>
  <c r="H256"/>
  <c r="F256"/>
  <c r="U255"/>
  <c r="U255" i="80" s="1"/>
  <c r="R255" i="76"/>
  <c r="R255" i="80" s="1"/>
  <c r="P255" i="76"/>
  <c r="P255" i="80" s="1"/>
  <c r="L255" i="76"/>
  <c r="L255" i="80" s="1"/>
  <c r="J255" i="76"/>
  <c r="J255" i="80" s="1"/>
  <c r="H255" i="76"/>
  <c r="H255" i="80" s="1"/>
  <c r="F255" i="76"/>
  <c r="F255" i="80" s="1"/>
  <c r="U254" i="76"/>
  <c r="R254"/>
  <c r="P254"/>
  <c r="P262" s="1"/>
  <c r="L254"/>
  <c r="H254"/>
  <c r="U253"/>
  <c r="U253" i="80" s="1"/>
  <c r="E163" i="7"/>
  <c r="H106"/>
  <c r="I106" s="1"/>
  <c r="F236" i="78"/>
  <c r="F244"/>
  <c r="F245" s="1"/>
  <c r="F250"/>
  <c r="C293" i="77"/>
  <c r="B298"/>
  <c r="V272"/>
  <c r="G299" i="78"/>
  <c r="G298"/>
  <c r="D293" i="76"/>
  <c r="W21"/>
  <c r="D286" i="73"/>
  <c r="F288" i="69"/>
  <c r="F289"/>
  <c r="F230" i="64"/>
  <c r="F252"/>
  <c r="H295" i="66"/>
  <c r="O288" i="69"/>
  <c r="D27" i="73"/>
  <c r="H10"/>
  <c r="I10" s="1"/>
  <c r="D20"/>
  <c r="F232" i="64"/>
  <c r="F241"/>
  <c r="H294" i="66"/>
  <c r="O289" i="69"/>
  <c r="V262" i="76"/>
  <c r="V294" s="1"/>
  <c r="Q262"/>
  <c r="Q294" s="1"/>
  <c r="M262"/>
  <c r="M294" s="1"/>
  <c r="I262"/>
  <c r="I294" s="1"/>
  <c r="F233" i="64"/>
  <c r="H49" i="73"/>
  <c r="I49" s="1"/>
  <c r="F256" i="64"/>
  <c r="F229"/>
  <c r="N262" i="76"/>
  <c r="N294" s="1"/>
  <c r="F262"/>
  <c r="F293" s="1"/>
  <c r="F238" i="64"/>
  <c r="Q293" i="76"/>
  <c r="V293"/>
  <c r="T174" i="77"/>
  <c r="R174"/>
  <c r="N174"/>
  <c r="F174"/>
  <c r="P172"/>
  <c r="N172"/>
  <c r="L172"/>
  <c r="J172"/>
  <c r="H172"/>
  <c r="F172"/>
  <c r="F30" i="64"/>
  <c r="F32"/>
  <c r="F41"/>
  <c r="F45"/>
  <c r="F43"/>
  <c r="E288" i="75"/>
  <c r="E289"/>
  <c r="G289"/>
  <c r="G288"/>
  <c r="I288"/>
  <c r="I289"/>
  <c r="M288"/>
  <c r="M289"/>
  <c r="O289"/>
  <c r="O288"/>
  <c r="Q288"/>
  <c r="Q289"/>
  <c r="V288"/>
  <c r="V289"/>
  <c r="H206" i="64"/>
  <c r="I206" s="1"/>
  <c r="D294" i="76"/>
  <c r="W276"/>
  <c r="F20" i="64"/>
  <c r="H20" s="1"/>
  <c r="I20" s="1"/>
  <c r="T276" i="77"/>
  <c r="R276"/>
  <c r="P276"/>
  <c r="N276"/>
  <c r="L276"/>
  <c r="J276"/>
  <c r="H276"/>
  <c r="F276"/>
  <c r="C288" i="73"/>
  <c r="D278" i="77"/>
  <c r="D278" i="80"/>
  <c r="D280" s="1"/>
  <c r="F256" i="73"/>
  <c r="M298" i="79"/>
  <c r="I298"/>
  <c r="E171" i="78"/>
  <c r="E140" i="64"/>
  <c r="E74" i="73"/>
  <c r="E257" i="70"/>
  <c r="E294" s="1"/>
  <c r="G257"/>
  <c r="G294" s="1"/>
  <c r="I257"/>
  <c r="I293" s="1"/>
  <c r="K257"/>
  <c r="K293" s="1"/>
  <c r="M257"/>
  <c r="M294" s="1"/>
  <c r="O257"/>
  <c r="O293" s="1"/>
  <c r="Q257"/>
  <c r="Q293" s="1"/>
  <c r="S257"/>
  <c r="S293" s="1"/>
  <c r="V257"/>
  <c r="V293" s="1"/>
  <c r="E183" i="73"/>
  <c r="H183" s="1"/>
  <c r="I183" s="1"/>
  <c r="H294" i="64"/>
  <c r="I294"/>
  <c r="E274" i="78"/>
  <c r="E275"/>
  <c r="H275" s="1"/>
  <c r="E174" i="77"/>
  <c r="H290" i="64"/>
  <c r="I290" s="1"/>
  <c r="H238" i="77"/>
  <c r="D24" i="78"/>
  <c r="D141"/>
  <c r="D109"/>
  <c r="D77"/>
  <c r="D197"/>
  <c r="D181"/>
  <c r="O294" i="70"/>
  <c r="V294"/>
  <c r="F288" i="72"/>
  <c r="F289"/>
  <c r="H288"/>
  <c r="H289"/>
  <c r="J288"/>
  <c r="J289"/>
  <c r="L288"/>
  <c r="L289"/>
  <c r="N289"/>
  <c r="N288"/>
  <c r="E289"/>
  <c r="E288"/>
  <c r="G288"/>
  <c r="G289"/>
  <c r="I289"/>
  <c r="I288"/>
  <c r="K288"/>
  <c r="K289"/>
  <c r="M289"/>
  <c r="M288"/>
  <c r="E294" i="66"/>
  <c r="D46" i="73"/>
  <c r="D149" i="78"/>
  <c r="D133"/>
  <c r="D117"/>
  <c r="D101"/>
  <c r="D85"/>
  <c r="D69"/>
  <c r="D53"/>
  <c r="W263" i="66"/>
  <c r="W222"/>
  <c r="D10" i="78"/>
  <c r="D19"/>
  <c r="D18"/>
  <c r="D17"/>
  <c r="D16"/>
  <c r="D15"/>
  <c r="D14"/>
  <c r="D13"/>
  <c r="D12"/>
  <c r="D11"/>
  <c r="D21" s="1"/>
  <c r="D23"/>
  <c r="D27"/>
  <c r="D26"/>
  <c r="D25"/>
  <c r="E237" i="73"/>
  <c r="H237" s="1"/>
  <c r="I237" s="1"/>
  <c r="R288" i="72"/>
  <c r="R289"/>
  <c r="E295" i="66"/>
  <c r="W258" i="68"/>
  <c r="G289"/>
  <c r="D33" i="64"/>
  <c r="D44" i="78"/>
  <c r="D166"/>
  <c r="D161"/>
  <c r="D153"/>
  <c r="D145"/>
  <c r="D137"/>
  <c r="D129"/>
  <c r="D121"/>
  <c r="D113"/>
  <c r="D105"/>
  <c r="D97"/>
  <c r="D89"/>
  <c r="D81"/>
  <c r="D73"/>
  <c r="D65"/>
  <c r="D57"/>
  <c r="H240" i="77"/>
  <c r="K257" i="69"/>
  <c r="F257" i="64"/>
  <c r="D193" i="78"/>
  <c r="D185"/>
  <c r="D207" i="73"/>
  <c r="H207" s="1"/>
  <c r="I207" s="1"/>
  <c r="I210" i="77"/>
  <c r="D293" i="66"/>
  <c r="D295" s="1"/>
  <c r="F10" i="78"/>
  <c r="E227" i="73"/>
  <c r="H227"/>
  <c r="I227" s="1"/>
  <c r="E234" i="64"/>
  <c r="K289" i="69"/>
  <c r="K288"/>
  <c r="M293" i="70"/>
  <c r="O49" i="77"/>
  <c r="E230" i="64"/>
  <c r="H230"/>
  <c r="I230" s="1"/>
  <c r="E230" i="73"/>
  <c r="H230" s="1"/>
  <c r="I230" s="1"/>
  <c r="E232" i="78"/>
  <c r="E238" i="73"/>
  <c r="H238" s="1"/>
  <c r="I238" s="1"/>
  <c r="E238" i="78"/>
  <c r="E235" i="73"/>
  <c r="H235" s="1"/>
  <c r="I235" s="1"/>
  <c r="E238" i="64"/>
  <c r="I294" i="70"/>
  <c r="H178" i="64"/>
  <c r="I178"/>
  <c r="D37"/>
  <c r="D31"/>
  <c r="D46"/>
  <c r="D42" i="78"/>
  <c r="D49" s="1"/>
  <c r="D168"/>
  <c r="D162" i="73"/>
  <c r="H162" s="1"/>
  <c r="I162" s="1"/>
  <c r="D163" i="78"/>
  <c r="D159"/>
  <c r="D155"/>
  <c r="D151"/>
  <c r="D147"/>
  <c r="D143"/>
  <c r="D139"/>
  <c r="D135"/>
  <c r="D131"/>
  <c r="D127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178"/>
  <c r="D193" i="73"/>
  <c r="H193" s="1"/>
  <c r="I193" s="1"/>
  <c r="D189"/>
  <c r="D187" i="78"/>
  <c r="D183"/>
  <c r="D179"/>
  <c r="D205" i="73"/>
  <c r="H205" s="1"/>
  <c r="I205" s="1"/>
  <c r="D211"/>
  <c r="D219" s="1"/>
  <c r="E231" i="77"/>
  <c r="E229"/>
  <c r="S234"/>
  <c r="O234"/>
  <c r="M234"/>
  <c r="K234"/>
  <c r="G234"/>
  <c r="U233"/>
  <c r="S233"/>
  <c r="Q233"/>
  <c r="O233"/>
  <c r="M233"/>
  <c r="K233"/>
  <c r="I233"/>
  <c r="G233"/>
  <c r="U232"/>
  <c r="S232"/>
  <c r="Q232"/>
  <c r="O232"/>
  <c r="M232"/>
  <c r="K232"/>
  <c r="I232"/>
  <c r="G232"/>
  <c r="U231"/>
  <c r="S231"/>
  <c r="O231"/>
  <c r="M231"/>
  <c r="K231"/>
  <c r="G231"/>
  <c r="U230"/>
  <c r="S230"/>
  <c r="O230"/>
  <c r="M230"/>
  <c r="K230"/>
  <c r="G230"/>
  <c r="U229"/>
  <c r="Q229"/>
  <c r="O229"/>
  <c r="M229"/>
  <c r="I229"/>
  <c r="G229"/>
  <c r="U228"/>
  <c r="S228"/>
  <c r="Q228"/>
  <c r="M228"/>
  <c r="I228"/>
  <c r="Q227"/>
  <c r="E237"/>
  <c r="E240"/>
  <c r="R241"/>
  <c r="N241"/>
  <c r="J241"/>
  <c r="F241"/>
  <c r="T240"/>
  <c r="R240"/>
  <c r="P240"/>
  <c r="N240"/>
  <c r="L240"/>
  <c r="J240"/>
  <c r="T239"/>
  <c r="R239"/>
  <c r="P239"/>
  <c r="L239"/>
  <c r="J239"/>
  <c r="H239"/>
  <c r="P238"/>
  <c r="N238"/>
  <c r="L238"/>
  <c r="J238"/>
  <c r="F238"/>
  <c r="T237"/>
  <c r="P237"/>
  <c r="N237"/>
  <c r="L237"/>
  <c r="H237"/>
  <c r="F237"/>
  <c r="E247"/>
  <c r="E247" i="80" s="1"/>
  <c r="U248" i="77"/>
  <c r="U248" i="80" s="1"/>
  <c r="S248" i="77"/>
  <c r="S248" i="80" s="1"/>
  <c r="Q248" i="77"/>
  <c r="Q248" i="80" s="1"/>
  <c r="O248" i="77"/>
  <c r="O248" i="80" s="1"/>
  <c r="M248" i="77"/>
  <c r="M248" i="80" s="1"/>
  <c r="K248" i="77"/>
  <c r="K248" i="80" s="1"/>
  <c r="I248" i="77"/>
  <c r="I248" i="80" s="1"/>
  <c r="G248" i="77"/>
  <c r="G248" i="80" s="1"/>
  <c r="U247" i="77"/>
  <c r="U247" i="80" s="1"/>
  <c r="U249" s="1"/>
  <c r="S247" i="77"/>
  <c r="S247" i="80" s="1"/>
  <c r="S249" s="1"/>
  <c r="Q247" i="77"/>
  <c r="Q247" i="80" s="1"/>
  <c r="Q249" s="1"/>
  <c r="O247" i="77"/>
  <c r="O247" i="80"/>
  <c r="O249" s="1"/>
  <c r="M247" i="77"/>
  <c r="M247" i="80" s="1"/>
  <c r="M249" s="1"/>
  <c r="K247" i="77"/>
  <c r="K247" i="80" s="1"/>
  <c r="K249" s="1"/>
  <c r="I247" i="77"/>
  <c r="I247" i="80" s="1"/>
  <c r="I249" s="1"/>
  <c r="G247" i="77"/>
  <c r="G247" i="80"/>
  <c r="G249" s="1"/>
  <c r="E251" i="77"/>
  <c r="E256"/>
  <c r="J261"/>
  <c r="T260"/>
  <c r="R260"/>
  <c r="P260"/>
  <c r="N260"/>
  <c r="L260"/>
  <c r="J260"/>
  <c r="H260"/>
  <c r="F260"/>
  <c r="N259"/>
  <c r="F259"/>
  <c r="P258"/>
  <c r="L258"/>
  <c r="F258"/>
  <c r="T257"/>
  <c r="L257"/>
  <c r="P256"/>
  <c r="J256"/>
  <c r="F256"/>
  <c r="N255"/>
  <c r="F255"/>
  <c r="R254"/>
  <c r="L254"/>
  <c r="H254"/>
  <c r="T253"/>
  <c r="L253"/>
  <c r="T252"/>
  <c r="R252"/>
  <c r="P252"/>
  <c r="N252"/>
  <c r="L252"/>
  <c r="J252"/>
  <c r="H252"/>
  <c r="F252"/>
  <c r="P251"/>
  <c r="E232"/>
  <c r="E228"/>
  <c r="R234"/>
  <c r="P234"/>
  <c r="L234"/>
  <c r="J234"/>
  <c r="H234"/>
  <c r="T233"/>
  <c r="P233"/>
  <c r="L233"/>
  <c r="H233"/>
  <c r="F233"/>
  <c r="T232"/>
  <c r="R232"/>
  <c r="P232"/>
  <c r="N232"/>
  <c r="L232"/>
  <c r="J232"/>
  <c r="H232"/>
  <c r="F232"/>
  <c r="T231"/>
  <c r="R231"/>
  <c r="N231"/>
  <c r="L231"/>
  <c r="J231"/>
  <c r="F231"/>
  <c r="T230"/>
  <c r="P230"/>
  <c r="N230"/>
  <c r="L230"/>
  <c r="H230"/>
  <c r="F230"/>
  <c r="T229"/>
  <c r="R229"/>
  <c r="P229"/>
  <c r="L229"/>
  <c r="H229"/>
  <c r="T228"/>
  <c r="R228"/>
  <c r="P228"/>
  <c r="L228"/>
  <c r="F228"/>
  <c r="T227"/>
  <c r="P227"/>
  <c r="N227"/>
  <c r="J227"/>
  <c r="H227"/>
  <c r="F227"/>
  <c r="E239"/>
  <c r="S241"/>
  <c r="O241"/>
  <c r="K241"/>
  <c r="G241"/>
  <c r="U239"/>
  <c r="S239"/>
  <c r="Q239"/>
  <c r="O239"/>
  <c r="M239"/>
  <c r="K239"/>
  <c r="I239"/>
  <c r="G239"/>
  <c r="U238"/>
  <c r="S238"/>
  <c r="Q238"/>
  <c r="O238"/>
  <c r="M238"/>
  <c r="K238"/>
  <c r="I238"/>
  <c r="G238"/>
  <c r="U237"/>
  <c r="Q237"/>
  <c r="O237"/>
  <c r="M237"/>
  <c r="I237"/>
  <c r="G237"/>
  <c r="E248"/>
  <c r="E248" i="80" s="1"/>
  <c r="T248" i="77"/>
  <c r="T248" i="80" s="1"/>
  <c r="R248" i="77"/>
  <c r="R248" i="80" s="1"/>
  <c r="P248" i="77"/>
  <c r="P248" i="80" s="1"/>
  <c r="N248" i="77"/>
  <c r="N248" i="80" s="1"/>
  <c r="L248" i="77"/>
  <c r="L248" i="80" s="1"/>
  <c r="J248" i="77"/>
  <c r="J248" i="80" s="1"/>
  <c r="H248" i="77"/>
  <c r="H248" i="80" s="1"/>
  <c r="F248" i="77"/>
  <c r="F248" i="80" s="1"/>
  <c r="T247" i="77"/>
  <c r="R247"/>
  <c r="R247" i="80" s="1"/>
  <c r="R249" i="77"/>
  <c r="P247"/>
  <c r="P247" i="80"/>
  <c r="N247" i="77"/>
  <c r="N247" i="80" s="1"/>
  <c r="L247" i="77"/>
  <c r="L247" i="80" s="1"/>
  <c r="L249" s="1"/>
  <c r="J247" i="77"/>
  <c r="J247" i="80" s="1"/>
  <c r="J249" s="1"/>
  <c r="H247" i="77"/>
  <c r="H247" i="80" s="1"/>
  <c r="H249" s="1"/>
  <c r="F247" i="77"/>
  <c r="F247" i="80" s="1"/>
  <c r="E261" i="77"/>
  <c r="E259"/>
  <c r="E257"/>
  <c r="E253"/>
  <c r="U261"/>
  <c r="S261"/>
  <c r="Q261"/>
  <c r="O261"/>
  <c r="M261"/>
  <c r="K261"/>
  <c r="I261"/>
  <c r="G261"/>
  <c r="U260"/>
  <c r="M260"/>
  <c r="U259"/>
  <c r="S259"/>
  <c r="Q259"/>
  <c r="O259"/>
  <c r="M259"/>
  <c r="O258"/>
  <c r="G258"/>
  <c r="Q257"/>
  <c r="M257"/>
  <c r="K256"/>
  <c r="Q255"/>
  <c r="K255"/>
  <c r="G255"/>
  <c r="Q254"/>
  <c r="M253"/>
  <c r="K253"/>
  <c r="I253"/>
  <c r="G253"/>
  <c r="S252"/>
  <c r="U251"/>
  <c r="Q251"/>
  <c r="O251"/>
  <c r="M251"/>
  <c r="I251"/>
  <c r="G251"/>
  <c r="H298" i="79"/>
  <c r="F298"/>
  <c r="W204"/>
  <c r="H172" i="7"/>
  <c r="I172"/>
  <c r="W28" i="79"/>
  <c r="W176"/>
  <c r="E299"/>
  <c r="G299"/>
  <c r="I299"/>
  <c r="K299"/>
  <c r="M299"/>
  <c r="O299"/>
  <c r="Q299"/>
  <c r="S299"/>
  <c r="W39"/>
  <c r="W49"/>
  <c r="W221"/>
  <c r="C298"/>
  <c r="W285"/>
  <c r="D299"/>
  <c r="F299"/>
  <c r="H299"/>
  <c r="J299"/>
  <c r="L299"/>
  <c r="N299"/>
  <c r="P299"/>
  <c r="R299"/>
  <c r="W297"/>
  <c r="D298"/>
  <c r="H74" i="73"/>
  <c r="I74" s="1"/>
  <c r="H274" i="78"/>
  <c r="I274" s="1"/>
  <c r="D47" i="73"/>
  <c r="W293" i="66"/>
  <c r="D208" i="73"/>
  <c r="H189"/>
  <c r="I189" s="1"/>
  <c r="D202"/>
  <c r="D174"/>
  <c r="F247" i="78"/>
  <c r="W302" i="79"/>
  <c r="B303"/>
  <c r="I125" i="7"/>
  <c r="H168"/>
  <c r="I168" s="1"/>
  <c r="D282" i="81"/>
  <c r="H282" s="1"/>
  <c r="I282" s="1"/>
  <c r="C49" i="80"/>
  <c r="C176"/>
  <c r="C204"/>
  <c r="H117" i="7"/>
  <c r="I117"/>
  <c r="E58" i="78"/>
  <c r="W221" i="82"/>
  <c r="W204"/>
  <c r="W49"/>
  <c r="S299"/>
  <c r="S298"/>
  <c r="W176"/>
  <c r="W39"/>
  <c r="F298"/>
  <c r="J298"/>
  <c r="L298"/>
  <c r="N298"/>
  <c r="P298"/>
  <c r="G299"/>
  <c r="I299"/>
  <c r="M299"/>
  <c r="O299"/>
  <c r="G298"/>
  <c r="I298"/>
  <c r="M298"/>
  <c r="O298"/>
  <c r="F299"/>
  <c r="J299"/>
  <c r="L299"/>
  <c r="N299"/>
  <c r="P299"/>
  <c r="W28"/>
  <c r="D299"/>
  <c r="H113" i="7"/>
  <c r="I113" s="1"/>
  <c r="H129"/>
  <c r="I129" s="1"/>
  <c r="H128"/>
  <c r="I128" s="1"/>
  <c r="H120"/>
  <c r="I120" s="1"/>
  <c r="C298" i="82"/>
  <c r="W297"/>
  <c r="D298"/>
  <c r="W302"/>
  <c r="B303"/>
  <c r="V297" i="77"/>
  <c r="F248" i="78"/>
  <c r="Q39" i="77"/>
  <c r="S39"/>
  <c r="U39"/>
  <c r="O210" i="80"/>
  <c r="Q210"/>
  <c r="S210"/>
  <c r="D204" i="77"/>
  <c r="F294" i="76"/>
  <c r="N278" i="80"/>
  <c r="N280"/>
  <c r="N280" i="77"/>
  <c r="F278" i="80"/>
  <c r="F280" s="1"/>
  <c r="F280" i="77"/>
  <c r="U276"/>
  <c r="S276"/>
  <c r="Q276"/>
  <c r="O276"/>
  <c r="M276"/>
  <c r="K276"/>
  <c r="I276"/>
  <c r="G276"/>
  <c r="E276"/>
  <c r="F254" i="64"/>
  <c r="F237"/>
  <c r="F247"/>
  <c r="F227"/>
  <c r="F244"/>
  <c r="F234"/>
  <c r="F10"/>
  <c r="D20" i="77"/>
  <c r="F19" i="64"/>
  <c r="F18"/>
  <c r="F17"/>
  <c r="F16"/>
  <c r="F15"/>
  <c r="F14"/>
  <c r="H14" s="1"/>
  <c r="I14" s="1"/>
  <c r="F13"/>
  <c r="H13" s="1"/>
  <c r="I13" s="1"/>
  <c r="F12"/>
  <c r="H12" s="1"/>
  <c r="I12" s="1"/>
  <c r="F11"/>
  <c r="H11" s="1"/>
  <c r="I11" s="1"/>
  <c r="F23"/>
  <c r="F179" i="81"/>
  <c r="F31" i="64"/>
  <c r="F44"/>
  <c r="F243"/>
  <c r="D278"/>
  <c r="D285" s="1"/>
  <c r="R280" i="77"/>
  <c r="J280"/>
  <c r="E246" i="81"/>
  <c r="E24" i="78"/>
  <c r="E167" i="81"/>
  <c r="E166" i="78"/>
  <c r="E165" i="81"/>
  <c r="E164" i="78"/>
  <c r="E157" i="81"/>
  <c r="E156" i="78"/>
  <c r="E155" i="81"/>
  <c r="E154" i="78"/>
  <c r="E153" i="81"/>
  <c r="E152" i="78"/>
  <c r="E151" i="81"/>
  <c r="E150" i="78"/>
  <c r="E149" i="81"/>
  <c r="E148" i="78"/>
  <c r="E147" i="81"/>
  <c r="E146" i="78"/>
  <c r="E145" i="81"/>
  <c r="E144" i="78"/>
  <c r="E141" i="81"/>
  <c r="E140" i="78"/>
  <c r="E139" i="81"/>
  <c r="E138" i="78"/>
  <c r="E131" i="81"/>
  <c r="E130" i="78"/>
  <c r="E129" i="81"/>
  <c r="E128" i="78"/>
  <c r="E127" i="81"/>
  <c r="E126" i="78"/>
  <c r="E125" i="81"/>
  <c r="E124" i="78"/>
  <c r="E123" i="81"/>
  <c r="E122" i="78"/>
  <c r="E121" i="81"/>
  <c r="E120" i="78"/>
  <c r="E119" i="81"/>
  <c r="E118" i="78"/>
  <c r="E117" i="81"/>
  <c r="E116" i="78"/>
  <c r="E115" i="81"/>
  <c r="E114" i="78"/>
  <c r="E113" i="81"/>
  <c r="E112" i="78"/>
  <c r="E111" i="81"/>
  <c r="E110" i="78"/>
  <c r="G172" i="77"/>
  <c r="E215" i="81"/>
  <c r="E214" i="78"/>
  <c r="P278" i="80"/>
  <c r="P280" s="1"/>
  <c r="P280" i="77"/>
  <c r="H278" i="80"/>
  <c r="H280" s="1"/>
  <c r="H280" i="77"/>
  <c r="P39" i="80"/>
  <c r="P39" i="77"/>
  <c r="H27" i="64"/>
  <c r="I27" s="1"/>
  <c r="E237" i="78"/>
  <c r="E106" i="73"/>
  <c r="E198" i="78"/>
  <c r="E196"/>
  <c r="E194"/>
  <c r="E194" i="81"/>
  <c r="E193"/>
  <c r="E192"/>
  <c r="E191"/>
  <c r="E190"/>
  <c r="E187"/>
  <c r="E186"/>
  <c r="E184"/>
  <c r="E183"/>
  <c r="E181"/>
  <c r="E290"/>
  <c r="E288"/>
  <c r="E286"/>
  <c r="E284"/>
  <c r="R39" i="77"/>
  <c r="T39"/>
  <c r="E135" i="81"/>
  <c r="E154"/>
  <c r="E169"/>
  <c r="E171"/>
  <c r="E179"/>
  <c r="E166"/>
  <c r="E158"/>
  <c r="E157" i="78"/>
  <c r="E140" i="81"/>
  <c r="E136"/>
  <c r="E130"/>
  <c r="E124"/>
  <c r="E120"/>
  <c r="E116"/>
  <c r="E112"/>
  <c r="E292"/>
  <c r="H292" s="1"/>
  <c r="I292" s="1"/>
  <c r="E290" i="77"/>
  <c r="T278" i="80"/>
  <c r="T280" i="77"/>
  <c r="L278" i="80"/>
  <c r="L280"/>
  <c r="L280" i="77"/>
  <c r="O39" i="80"/>
  <c r="O39" i="77"/>
  <c r="K206" i="80"/>
  <c r="K210" s="1"/>
  <c r="K210" i="77"/>
  <c r="M206" i="80"/>
  <c r="M210" s="1"/>
  <c r="M210" i="77"/>
  <c r="J207" i="80"/>
  <c r="J210" i="77"/>
  <c r="L207" i="80"/>
  <c r="L210" s="1"/>
  <c r="L210" i="77"/>
  <c r="F249"/>
  <c r="H249"/>
  <c r="J249"/>
  <c r="L249"/>
  <c r="E230" i="81"/>
  <c r="E191" i="73"/>
  <c r="H191" s="1"/>
  <c r="I191" s="1"/>
  <c r="E133" i="81"/>
  <c r="E137"/>
  <c r="E143"/>
  <c r="E159"/>
  <c r="E161"/>
  <c r="E163"/>
  <c r="E195"/>
  <c r="E196"/>
  <c r="E197"/>
  <c r="E198"/>
  <c r="E199"/>
  <c r="J210" i="80"/>
  <c r="N210"/>
  <c r="P210"/>
  <c r="R210"/>
  <c r="K39"/>
  <c r="I39"/>
  <c r="D280" i="77"/>
  <c r="E93"/>
  <c r="E80"/>
  <c r="E76"/>
  <c r="E72"/>
  <c r="E71"/>
  <c r="E66"/>
  <c r="E64"/>
  <c r="E60"/>
  <c r="E58"/>
  <c r="E54"/>
  <c r="T176" i="80"/>
  <c r="G249" i="77"/>
  <c r="I249"/>
  <c r="K249"/>
  <c r="M249"/>
  <c r="O249"/>
  <c r="Q249"/>
  <c r="S249"/>
  <c r="U249"/>
  <c r="D15"/>
  <c r="D13"/>
  <c r="F13" i="78" s="1"/>
  <c r="H13" s="1"/>
  <c r="I13" s="1"/>
  <c r="D11" i="77"/>
  <c r="F11" i="78" s="1"/>
  <c r="H11" s="1"/>
  <c r="E23" i="77"/>
  <c r="F23" i="78" s="1"/>
  <c r="H23" s="1"/>
  <c r="I23" s="1"/>
  <c r="E24" i="77"/>
  <c r="F24" i="78" s="1"/>
  <c r="H24" s="1"/>
  <c r="I24" s="1"/>
  <c r="E30" i="77"/>
  <c r="E37"/>
  <c r="E36"/>
  <c r="E35"/>
  <c r="E34"/>
  <c r="D32" i="81"/>
  <c r="E41" i="77"/>
  <c r="E47"/>
  <c r="E45"/>
  <c r="E43"/>
  <c r="E170"/>
  <c r="E167"/>
  <c r="E166"/>
  <c r="E163"/>
  <c r="E162"/>
  <c r="E161"/>
  <c r="E160"/>
  <c r="E159"/>
  <c r="E158"/>
  <c r="E150"/>
  <c r="E148"/>
  <c r="E140"/>
  <c r="E136"/>
  <c r="E132"/>
  <c r="E130"/>
  <c r="E128"/>
  <c r="E124"/>
  <c r="E122"/>
  <c r="E120"/>
  <c r="E116"/>
  <c r="E114"/>
  <c r="E112"/>
  <c r="E110"/>
  <c r="F110" i="78" s="1"/>
  <c r="H110" s="1"/>
  <c r="I110" s="1"/>
  <c r="E108" i="77"/>
  <c r="F108" i="78" s="1"/>
  <c r="E106" i="77"/>
  <c r="E104"/>
  <c r="E103"/>
  <c r="E102"/>
  <c r="E101"/>
  <c r="E100"/>
  <c r="E99"/>
  <c r="E98"/>
  <c r="E97"/>
  <c r="D209" i="81"/>
  <c r="E208" i="77"/>
  <c r="E245"/>
  <c r="R245"/>
  <c r="N245"/>
  <c r="J245"/>
  <c r="F245"/>
  <c r="D199" i="81"/>
  <c r="E193" i="77"/>
  <c r="E189"/>
  <c r="E184"/>
  <c r="E183"/>
  <c r="F183" i="78" s="1"/>
  <c r="E182" i="77"/>
  <c r="E181"/>
  <c r="F181" i="78" s="1"/>
  <c r="E180" i="77"/>
  <c r="F180" i="78" s="1"/>
  <c r="E179" i="77"/>
  <c r="F179" i="78"/>
  <c r="R221" i="80"/>
  <c r="L221"/>
  <c r="H221"/>
  <c r="D210" i="81"/>
  <c r="E209" i="77"/>
  <c r="T245" i="80"/>
  <c r="T245" i="77"/>
  <c r="P245"/>
  <c r="L245"/>
  <c r="H245"/>
  <c r="G210" i="80"/>
  <c r="U221"/>
  <c r="S221"/>
  <c r="Q221"/>
  <c r="O221"/>
  <c r="M221"/>
  <c r="D213" i="81"/>
  <c r="E215" i="77"/>
  <c r="E214"/>
  <c r="E213"/>
  <c r="U245"/>
  <c r="S245"/>
  <c r="Q245"/>
  <c r="O245"/>
  <c r="M245"/>
  <c r="K245"/>
  <c r="I245"/>
  <c r="G245"/>
  <c r="F20" i="78"/>
  <c r="H20" s="1"/>
  <c r="I20" s="1"/>
  <c r="U276" i="80"/>
  <c r="T276"/>
  <c r="S276"/>
  <c r="R276"/>
  <c r="Q276"/>
  <c r="P276"/>
  <c r="O276"/>
  <c r="N276"/>
  <c r="M276"/>
  <c r="L276"/>
  <c r="K276"/>
  <c r="J276"/>
  <c r="I276"/>
  <c r="H276"/>
  <c r="G276"/>
  <c r="F276"/>
  <c r="E276"/>
  <c r="U280" i="77"/>
  <c r="S280"/>
  <c r="Q280"/>
  <c r="O280"/>
  <c r="M280"/>
  <c r="K280"/>
  <c r="I280"/>
  <c r="G280"/>
  <c r="E280"/>
  <c r="D291" i="81"/>
  <c r="D290"/>
  <c r="H290" s="1"/>
  <c r="I290" s="1"/>
  <c r="D289"/>
  <c r="D288"/>
  <c r="H288" s="1"/>
  <c r="I288" s="1"/>
  <c r="D287"/>
  <c r="D286"/>
  <c r="H286" s="1"/>
  <c r="I286" s="1"/>
  <c r="D285"/>
  <c r="D284"/>
  <c r="H284" s="1"/>
  <c r="I284" s="1"/>
  <c r="H248" i="78"/>
  <c r="I248"/>
  <c r="F21" i="64"/>
  <c r="H237"/>
  <c r="I237" s="1"/>
  <c r="H278"/>
  <c r="H285" s="1"/>
  <c r="I285" s="1"/>
  <c r="F245"/>
  <c r="H244"/>
  <c r="H245" s="1"/>
  <c r="H247"/>
  <c r="F182" i="78"/>
  <c r="F184"/>
  <c r="V280" i="77"/>
  <c r="F209" i="78"/>
  <c r="D211" i="81"/>
  <c r="F15" i="78"/>
  <c r="I247" i="64"/>
  <c r="I244"/>
  <c r="I245"/>
  <c r="C39" i="81"/>
  <c r="C296"/>
  <c r="C295"/>
  <c r="B300"/>
  <c r="U210" i="83"/>
  <c r="P298"/>
  <c r="R298"/>
  <c r="O299"/>
  <c r="Q299"/>
  <c r="O298"/>
  <c r="Q298"/>
  <c r="P299"/>
  <c r="R299"/>
  <c r="E231" i="73"/>
  <c r="H231" s="1"/>
  <c r="I231" s="1"/>
  <c r="E233" i="77"/>
  <c r="E233" i="64"/>
  <c r="H233" s="1"/>
  <c r="I233" s="1"/>
  <c r="E233" i="78"/>
  <c r="E229" i="73"/>
  <c r="H229" s="1"/>
  <c r="I229" s="1"/>
  <c r="E231" i="78"/>
  <c r="I231" i="77"/>
  <c r="E10" i="78"/>
  <c r="E92"/>
  <c r="E84"/>
  <c r="E83"/>
  <c r="E82"/>
  <c r="E81"/>
  <c r="E70"/>
  <c r="E60"/>
  <c r="E206"/>
  <c r="D274" i="77"/>
  <c r="D275"/>
  <c r="T247" i="80"/>
  <c r="T249" i="77"/>
  <c r="K39" i="66"/>
  <c r="D16" i="77"/>
  <c r="F16" i="78" s="1"/>
  <c r="D30" i="81"/>
  <c r="D36"/>
  <c r="D34"/>
  <c r="D44"/>
  <c r="E51" i="77"/>
  <c r="D170" i="78"/>
  <c r="E168" i="77"/>
  <c r="D168" i="81"/>
  <c r="E164" i="77"/>
  <c r="D164" i="81"/>
  <c r="D162"/>
  <c r="D160"/>
  <c r="D157" i="78"/>
  <c r="D157" i="81"/>
  <c r="D155"/>
  <c r="D153"/>
  <c r="D197"/>
  <c r="D191"/>
  <c r="G39" i="80"/>
  <c r="D95" i="81"/>
  <c r="E94" i="77"/>
  <c r="D96" i="81"/>
  <c r="E95" i="77"/>
  <c r="F257" i="81"/>
  <c r="F259"/>
  <c r="F261"/>
  <c r="D18" i="77"/>
  <c r="F18" i="78" s="1"/>
  <c r="D12" i="77"/>
  <c r="F12" i="78" s="1"/>
  <c r="H12" s="1"/>
  <c r="I12" s="1"/>
  <c r="E27" i="77"/>
  <c r="F27" i="78" s="1"/>
  <c r="H27" s="1"/>
  <c r="I27" s="1"/>
  <c r="D33" i="81"/>
  <c r="D31"/>
  <c r="E157" i="77"/>
  <c r="E156"/>
  <c r="E155"/>
  <c r="E154"/>
  <c r="E153"/>
  <c r="E152"/>
  <c r="E151"/>
  <c r="E146"/>
  <c r="E145"/>
  <c r="E144"/>
  <c r="E143"/>
  <c r="E142"/>
  <c r="E141"/>
  <c r="E138"/>
  <c r="E137"/>
  <c r="E134"/>
  <c r="E133"/>
  <c r="E126"/>
  <c r="D125" i="78"/>
  <c r="E96" i="77"/>
  <c r="F239" i="71"/>
  <c r="E244" i="78"/>
  <c r="E245"/>
  <c r="E206" i="77"/>
  <c r="E207"/>
  <c r="E257" i="74"/>
  <c r="G257"/>
  <c r="I257"/>
  <c r="K257"/>
  <c r="M257"/>
  <c r="O257"/>
  <c r="Q257"/>
  <c r="S257"/>
  <c r="V257"/>
  <c r="U262" i="76"/>
  <c r="L262"/>
  <c r="L294" s="1"/>
  <c r="F255" i="64"/>
  <c r="F259"/>
  <c r="F260"/>
  <c r="F240"/>
  <c r="F234" i="81"/>
  <c r="F241"/>
  <c r="F252"/>
  <c r="F256"/>
  <c r="F260"/>
  <c r="E233"/>
  <c r="H233" s="1"/>
  <c r="I233" s="1"/>
  <c r="N249" i="77"/>
  <c r="N293" i="76"/>
  <c r="R262"/>
  <c r="J262"/>
  <c r="O262"/>
  <c r="O294" s="1"/>
  <c r="F231" i="64"/>
  <c r="S262" i="76"/>
  <c r="S294" s="1"/>
  <c r="K262"/>
  <c r="G262"/>
  <c r="G293" s="1"/>
  <c r="F232" i="81"/>
  <c r="F239"/>
  <c r="F249"/>
  <c r="H249"/>
  <c r="I249" s="1"/>
  <c r="F254"/>
  <c r="F258"/>
  <c r="D14" i="77"/>
  <c r="F14" i="78"/>
  <c r="E25" i="77"/>
  <c r="F25" i="78"/>
  <c r="D37" i="81"/>
  <c r="D35"/>
  <c r="D48"/>
  <c r="D46"/>
  <c r="D41"/>
  <c r="D47"/>
  <c r="D45"/>
  <c r="D43"/>
  <c r="D50" s="1"/>
  <c r="D42"/>
  <c r="D93" i="78"/>
  <c r="E92" i="77"/>
  <c r="E91"/>
  <c r="E90"/>
  <c r="E89"/>
  <c r="E88"/>
  <c r="E87"/>
  <c r="E86"/>
  <c r="E85"/>
  <c r="E84"/>
  <c r="E83"/>
  <c r="E82"/>
  <c r="E81"/>
  <c r="E78"/>
  <c r="E74"/>
  <c r="E70"/>
  <c r="E69"/>
  <c r="E68"/>
  <c r="E62"/>
  <c r="E248" i="81"/>
  <c r="E247" i="78"/>
  <c r="E249" s="1"/>
  <c r="F257" i="75"/>
  <c r="H257"/>
  <c r="J257"/>
  <c r="L257"/>
  <c r="N257"/>
  <c r="P257"/>
  <c r="R257"/>
  <c r="U257"/>
  <c r="S227" i="71"/>
  <c r="S227" i="80" s="1"/>
  <c r="J228" i="71"/>
  <c r="J228" i="80" s="1"/>
  <c r="G240" i="71"/>
  <c r="I240"/>
  <c r="K240"/>
  <c r="K240" i="80" s="1"/>
  <c r="M240" i="71"/>
  <c r="O240"/>
  <c r="Q240"/>
  <c r="Q240" i="80" s="1"/>
  <c r="S240" i="71"/>
  <c r="V240"/>
  <c r="O253"/>
  <c r="O253" i="80" s="1"/>
  <c r="F254" i="71"/>
  <c r="N254"/>
  <c r="N254" i="80" s="1"/>
  <c r="E255" i="71"/>
  <c r="M255"/>
  <c r="M255" i="80"/>
  <c r="V255" i="71"/>
  <c r="V255" i="80"/>
  <c r="L256" i="71"/>
  <c r="L256" i="80"/>
  <c r="U256" i="71"/>
  <c r="K257"/>
  <c r="K257" i="80" s="1"/>
  <c r="S257" i="71"/>
  <c r="S257" i="80" s="1"/>
  <c r="J258" i="71"/>
  <c r="J258" i="80" s="1"/>
  <c r="R258" i="71"/>
  <c r="R258" i="80" s="1"/>
  <c r="I259" i="71"/>
  <c r="I259" i="80" s="1"/>
  <c r="G257" i="69"/>
  <c r="G289" s="1"/>
  <c r="U257" i="70"/>
  <c r="U294" s="1"/>
  <c r="U257" i="72"/>
  <c r="F257" i="74"/>
  <c r="H257"/>
  <c r="J257"/>
  <c r="L257"/>
  <c r="N257"/>
  <c r="P257"/>
  <c r="R257"/>
  <c r="U257"/>
  <c r="O293" i="76"/>
  <c r="S293"/>
  <c r="K293"/>
  <c r="K294"/>
  <c r="G294"/>
  <c r="U294"/>
  <c r="U293"/>
  <c r="L293"/>
  <c r="F243" i="81"/>
  <c r="H238"/>
  <c r="I238"/>
  <c r="P249" i="77"/>
  <c r="H262" i="76"/>
  <c r="F258" i="64"/>
  <c r="F261"/>
  <c r="F230" i="81"/>
  <c r="H230" s="1"/>
  <c r="I230" s="1"/>
  <c r="E197" i="77"/>
  <c r="E196"/>
  <c r="E195"/>
  <c r="E191"/>
  <c r="E190"/>
  <c r="D215" i="64"/>
  <c r="H215" s="1"/>
  <c r="I215" s="1"/>
  <c r="E234" i="81"/>
  <c r="H234" s="1"/>
  <c r="I234" s="1"/>
  <c r="D294"/>
  <c r="W204" i="83"/>
  <c r="W49"/>
  <c r="W285"/>
  <c r="W221"/>
  <c r="S299"/>
  <c r="S298"/>
  <c r="W176"/>
  <c r="W39"/>
  <c r="F298"/>
  <c r="H298"/>
  <c r="J298"/>
  <c r="L298"/>
  <c r="N298"/>
  <c r="G299"/>
  <c r="I299"/>
  <c r="K299"/>
  <c r="M299"/>
  <c r="G298"/>
  <c r="I298"/>
  <c r="K298"/>
  <c r="M298"/>
  <c r="F299"/>
  <c r="H299"/>
  <c r="J299"/>
  <c r="L299"/>
  <c r="N299"/>
  <c r="W28"/>
  <c r="E299"/>
  <c r="E298"/>
  <c r="D299"/>
  <c r="U298"/>
  <c r="C299"/>
  <c r="V299"/>
  <c r="W210"/>
  <c r="C298"/>
  <c r="V298"/>
  <c r="U299"/>
  <c r="W299" s="1"/>
  <c r="W297"/>
  <c r="D298"/>
  <c r="V288" i="74"/>
  <c r="V289"/>
  <c r="Q289"/>
  <c r="Q288"/>
  <c r="M289"/>
  <c r="M288"/>
  <c r="I289"/>
  <c r="I288"/>
  <c r="E289"/>
  <c r="E288"/>
  <c r="E239" i="64"/>
  <c r="S288" i="74"/>
  <c r="S289"/>
  <c r="O288"/>
  <c r="O289"/>
  <c r="K288"/>
  <c r="K289"/>
  <c r="G288"/>
  <c r="G289"/>
  <c r="U288"/>
  <c r="U289"/>
  <c r="P288"/>
  <c r="P289"/>
  <c r="L288"/>
  <c r="L289"/>
  <c r="H288"/>
  <c r="H289"/>
  <c r="U289" i="72"/>
  <c r="U288"/>
  <c r="G288" i="69"/>
  <c r="F262" i="71"/>
  <c r="M262"/>
  <c r="U288" i="75"/>
  <c r="U289"/>
  <c r="P288"/>
  <c r="P289"/>
  <c r="L288"/>
  <c r="L289"/>
  <c r="H288"/>
  <c r="H289"/>
  <c r="D39" i="81"/>
  <c r="R289" i="74"/>
  <c r="R288"/>
  <c r="N289"/>
  <c r="N288"/>
  <c r="J289"/>
  <c r="J288"/>
  <c r="F289"/>
  <c r="W289" s="1"/>
  <c r="W257"/>
  <c r="F288"/>
  <c r="U293" i="70"/>
  <c r="I259" i="77"/>
  <c r="K240"/>
  <c r="R288" i="75"/>
  <c r="R289"/>
  <c r="N288"/>
  <c r="N289"/>
  <c r="J288"/>
  <c r="J289"/>
  <c r="F288"/>
  <c r="F289"/>
  <c r="E250" i="81"/>
  <c r="W298" i="83"/>
  <c r="B303"/>
  <c r="W288" i="74"/>
  <c r="C298" i="78"/>
  <c r="B303"/>
  <c r="C299"/>
  <c r="D28"/>
  <c r="H244"/>
  <c r="D39"/>
  <c r="H247"/>
  <c r="D221"/>
  <c r="D163" i="7"/>
  <c r="F204" i="64"/>
  <c r="W276" i="84"/>
  <c r="W262"/>
  <c r="C299"/>
  <c r="C298"/>
  <c r="B303"/>
  <c r="J298"/>
  <c r="L298"/>
  <c r="N298"/>
  <c r="P298"/>
  <c r="R298"/>
  <c r="G299"/>
  <c r="O299"/>
  <c r="S299"/>
  <c r="W235"/>
  <c r="G298"/>
  <c r="O298"/>
  <c r="Q298"/>
  <c r="S298"/>
  <c r="J299"/>
  <c r="L299"/>
  <c r="N299"/>
  <c r="P299"/>
  <c r="R299"/>
  <c r="N221" i="80"/>
  <c r="N39"/>
  <c r="V49"/>
  <c r="U210"/>
  <c r="U210" i="79"/>
  <c r="G177" i="81"/>
  <c r="G263"/>
  <c r="U298" i="79"/>
  <c r="U299"/>
  <c r="V210"/>
  <c r="V210" i="82"/>
  <c r="V299" s="1"/>
  <c r="U210"/>
  <c r="U299" s="1"/>
  <c r="V298"/>
  <c r="I149" i="7"/>
  <c r="I156"/>
  <c r="H156"/>
  <c r="W204" i="84"/>
  <c r="W272"/>
  <c r="W297"/>
  <c r="H245" i="78"/>
  <c r="I244"/>
  <c r="I245" s="1"/>
  <c r="I247"/>
  <c r="I249" s="1"/>
  <c r="H249"/>
  <c r="V298" i="79"/>
  <c r="W298" s="1"/>
  <c r="V299"/>
  <c r="W210"/>
  <c r="U298" i="82"/>
  <c r="W298" s="1"/>
  <c r="H287" i="64"/>
  <c r="I287" s="1"/>
  <c r="D298" i="84"/>
  <c r="D299"/>
  <c r="H288" i="64"/>
  <c r="I288" s="1"/>
  <c r="H15"/>
  <c r="I15" s="1"/>
  <c r="W297" i="80"/>
  <c r="W272"/>
  <c r="H18" i="7"/>
  <c r="I18" s="1"/>
  <c r="D176" i="64"/>
  <c r="D204"/>
  <c r="D39"/>
  <c r="E297"/>
  <c r="H297"/>
  <c r="D210"/>
  <c r="D49"/>
  <c r="D221"/>
  <c r="F176"/>
  <c r="D297"/>
  <c r="I278"/>
  <c r="C299"/>
  <c r="I275"/>
  <c r="C298"/>
  <c r="B303"/>
  <c r="D276" i="80"/>
  <c r="E276" i="78"/>
  <c r="J228" i="77"/>
  <c r="Q240"/>
  <c r="R258"/>
  <c r="H10" i="78"/>
  <c r="I10" s="1"/>
  <c r="E231" i="81"/>
  <c r="H231" s="1"/>
  <c r="I231" s="1"/>
  <c r="K258" i="77"/>
  <c r="S258"/>
  <c r="I260"/>
  <c r="Q260"/>
  <c r="J229"/>
  <c r="H231"/>
  <c r="P231"/>
  <c r="P235" s="1"/>
  <c r="N233"/>
  <c r="E234"/>
  <c r="H253"/>
  <c r="P253"/>
  <c r="J255"/>
  <c r="R255"/>
  <c r="H257"/>
  <c r="P257"/>
  <c r="J259"/>
  <c r="R259"/>
  <c r="E252"/>
  <c r="E260"/>
  <c r="J237"/>
  <c r="R237"/>
  <c r="K228"/>
  <c r="I230"/>
  <c r="Q230"/>
  <c r="U234"/>
  <c r="I49" i="71"/>
  <c r="E72" i="81"/>
  <c r="E71"/>
  <c r="E69" i="78"/>
  <c r="E68"/>
  <c r="E54" i="81"/>
  <c r="E52" i="78"/>
  <c r="Q174" i="77"/>
  <c r="G221" i="80"/>
  <c r="F221"/>
  <c r="F231" i="78"/>
  <c r="H231" s="1"/>
  <c r="I231" s="1"/>
  <c r="E99" i="81"/>
  <c r="E97" i="78"/>
  <c r="E96"/>
  <c r="E92" i="81"/>
  <c r="E90" i="78"/>
  <c r="E89"/>
  <c r="E208"/>
  <c r="E221" i="80"/>
  <c r="F239"/>
  <c r="E239" i="78"/>
  <c r="H238" i="64"/>
  <c r="I238" s="1"/>
  <c r="F293" i="70"/>
  <c r="F294"/>
  <c r="N261" i="80"/>
  <c r="N261" i="77"/>
  <c r="F261" i="80"/>
  <c r="F261" i="77"/>
  <c r="E262" i="81"/>
  <c r="H262" s="1"/>
  <c r="I262" s="1"/>
  <c r="O256" i="80"/>
  <c r="O256" i="77"/>
  <c r="G256" i="80"/>
  <c r="G256" i="77"/>
  <c r="V254" i="80"/>
  <c r="U254" i="77"/>
  <c r="M254" i="80"/>
  <c r="M254" i="77"/>
  <c r="O252" i="80"/>
  <c r="O252" i="77"/>
  <c r="K252" i="80"/>
  <c r="E253" i="81"/>
  <c r="H253" s="1"/>
  <c r="I253" s="1"/>
  <c r="G252" i="80"/>
  <c r="G252" i="77"/>
  <c r="U251" i="80"/>
  <c r="T251" i="77"/>
  <c r="L251" i="80"/>
  <c r="L251" i="77"/>
  <c r="H251" i="80"/>
  <c r="E252" i="81"/>
  <c r="H252"/>
  <c r="I252" s="1"/>
  <c r="K227" i="80"/>
  <c r="K227" i="77"/>
  <c r="G227" i="80"/>
  <c r="G227" i="77"/>
  <c r="H22" i="73"/>
  <c r="I22" s="1"/>
  <c r="D19" i="80"/>
  <c r="E19" i="73"/>
  <c r="H19"/>
  <c r="I19" s="1"/>
  <c r="D19" i="77"/>
  <c r="F19" i="78" s="1"/>
  <c r="D17" i="80"/>
  <c r="E17" i="64"/>
  <c r="E17" i="73"/>
  <c r="H17" s="1"/>
  <c r="I17" s="1"/>
  <c r="E26" i="80"/>
  <c r="E26" i="78"/>
  <c r="E26" i="64"/>
  <c r="H26"/>
  <c r="I26" s="1"/>
  <c r="E26" i="77"/>
  <c r="F26" i="78" s="1"/>
  <c r="E24" i="80"/>
  <c r="E28" i="71"/>
  <c r="W28"/>
  <c r="E24" i="64"/>
  <c r="E24" i="81"/>
  <c r="H24" s="1"/>
  <c r="I24" s="1"/>
  <c r="E35" i="80"/>
  <c r="E34" i="73"/>
  <c r="H34" s="1"/>
  <c r="I34" s="1"/>
  <c r="E35" i="64"/>
  <c r="H35" s="1"/>
  <c r="I35" s="1"/>
  <c r="E35" i="78"/>
  <c r="E33" i="80"/>
  <c r="E32" i="73"/>
  <c r="H32"/>
  <c r="I32" s="1"/>
  <c r="E33" i="64"/>
  <c r="E31" i="80"/>
  <c r="E30" i="73"/>
  <c r="H30" s="1"/>
  <c r="I30" s="1"/>
  <c r="E31" i="64"/>
  <c r="H31" s="1"/>
  <c r="I31" s="1"/>
  <c r="E39" i="71"/>
  <c r="E31" i="78"/>
  <c r="E31" i="77"/>
  <c r="L37" i="80"/>
  <c r="L37" i="77"/>
  <c r="J37" i="80"/>
  <c r="J37" i="77"/>
  <c r="H37" i="80"/>
  <c r="H37" i="77"/>
  <c r="F37" i="80"/>
  <c r="F37" i="77"/>
  <c r="L36" i="80"/>
  <c r="L36" i="77"/>
  <c r="J36" i="80"/>
  <c r="J36" i="77"/>
  <c r="F36" i="80"/>
  <c r="F36" i="77"/>
  <c r="E35" i="73"/>
  <c r="H35"/>
  <c r="I35" s="1"/>
  <c r="E36" i="78"/>
  <c r="L35" i="80"/>
  <c r="L35" i="77"/>
  <c r="J35" i="80"/>
  <c r="J35" i="77"/>
  <c r="H35" i="80"/>
  <c r="H35" i="77"/>
  <c r="F35" i="80"/>
  <c r="F35" i="77"/>
  <c r="F35" i="78" s="1"/>
  <c r="H35" s="1"/>
  <c r="I35" s="1"/>
  <c r="L34" i="80"/>
  <c r="L34" i="77"/>
  <c r="J34" i="80"/>
  <c r="J34" i="77"/>
  <c r="F34" i="80"/>
  <c r="F34" i="77"/>
  <c r="L33" i="80"/>
  <c r="L33" i="77"/>
  <c r="J33" i="80"/>
  <c r="J33" i="77"/>
  <c r="H33" i="80"/>
  <c r="H33" i="77"/>
  <c r="F33" i="80"/>
  <c r="F33" i="77"/>
  <c r="L32" i="80"/>
  <c r="L32" i="77"/>
  <c r="J32" i="80"/>
  <c r="J32" i="77"/>
  <c r="F32" i="80"/>
  <c r="F32" i="77"/>
  <c r="E32" i="64"/>
  <c r="E31" i="73"/>
  <c r="H31"/>
  <c r="I31" s="1"/>
  <c r="E32" i="78"/>
  <c r="L31" i="80"/>
  <c r="L31" i="77"/>
  <c r="J31" i="80"/>
  <c r="J31" i="77"/>
  <c r="H31" i="80"/>
  <c r="H31" i="77"/>
  <c r="F31" i="80"/>
  <c r="F31" i="77"/>
  <c r="L30" i="80"/>
  <c r="L30" i="77"/>
  <c r="L39" i="71"/>
  <c r="J30" i="80"/>
  <c r="J39" i="71"/>
  <c r="J30" i="77"/>
  <c r="F30" i="80"/>
  <c r="F30" i="77"/>
  <c r="F39" i="71"/>
  <c r="E30" i="64"/>
  <c r="E29" i="73"/>
  <c r="H29" s="1"/>
  <c r="E30" i="78"/>
  <c r="E46" i="73"/>
  <c r="H46" s="1"/>
  <c r="I46" s="1"/>
  <c r="E48" i="77"/>
  <c r="E44" i="73"/>
  <c r="H44" s="1"/>
  <c r="I44" s="1"/>
  <c r="E46" i="64"/>
  <c r="E46" i="78"/>
  <c r="E46" i="77"/>
  <c r="E44" i="64"/>
  <c r="E44" i="77"/>
  <c r="E40" i="73"/>
  <c r="H40" s="1"/>
  <c r="I40" s="1"/>
  <c r="E42" i="64"/>
  <c r="E42" i="77"/>
  <c r="E49" i="71"/>
  <c r="E42" i="78"/>
  <c r="U48" i="80"/>
  <c r="T48" i="77"/>
  <c r="R48" i="80"/>
  <c r="R48" i="77"/>
  <c r="P48" i="80"/>
  <c r="P48" i="77"/>
  <c r="N48" i="80"/>
  <c r="N48" i="77"/>
  <c r="L48" i="80"/>
  <c r="L48" i="77"/>
  <c r="J48" i="80"/>
  <c r="J48" i="77"/>
  <c r="H48" i="80"/>
  <c r="H48" i="77"/>
  <c r="F48" i="80"/>
  <c r="F48" i="77"/>
  <c r="U47" i="80"/>
  <c r="T47" i="77"/>
  <c r="R47" i="80"/>
  <c r="R47" i="77"/>
  <c r="P47" i="80"/>
  <c r="P47" i="77"/>
  <c r="N47" i="80"/>
  <c r="N47" i="77"/>
  <c r="L47" i="80"/>
  <c r="L47" i="77"/>
  <c r="J47" i="80"/>
  <c r="J47" i="77"/>
  <c r="H47" i="80"/>
  <c r="H47" i="77"/>
  <c r="F47" i="80"/>
  <c r="F47" i="77"/>
  <c r="E47" i="64"/>
  <c r="H47" s="1"/>
  <c r="I47" s="1"/>
  <c r="U46" i="80"/>
  <c r="T46" i="77"/>
  <c r="R46" i="80"/>
  <c r="R46" i="77"/>
  <c r="P46" i="80"/>
  <c r="P46" i="77"/>
  <c r="N46" i="80"/>
  <c r="N46" i="77"/>
  <c r="L46" i="80"/>
  <c r="L46" i="77"/>
  <c r="J46" i="80"/>
  <c r="J46" i="77"/>
  <c r="H46" i="80"/>
  <c r="H46" i="77"/>
  <c r="F46" i="80"/>
  <c r="F46" i="77"/>
  <c r="U45" i="80"/>
  <c r="T45" i="77"/>
  <c r="R45" i="80"/>
  <c r="R45" i="77"/>
  <c r="P45" i="80"/>
  <c r="P45" i="77"/>
  <c r="N45" i="80"/>
  <c r="N45" i="77"/>
  <c r="L45" i="80"/>
  <c r="L45" i="77"/>
  <c r="J45" i="80"/>
  <c r="J45" i="77"/>
  <c r="H45" i="80"/>
  <c r="H45" i="77"/>
  <c r="F45" i="80"/>
  <c r="E45" i="64"/>
  <c r="H45"/>
  <c r="I45" s="1"/>
  <c r="E43" i="73"/>
  <c r="H43" s="1"/>
  <c r="I43" s="1"/>
  <c r="F45" i="77"/>
  <c r="E45" i="78"/>
  <c r="U44" i="80"/>
  <c r="T44" i="77"/>
  <c r="R44" i="80"/>
  <c r="R44" i="77"/>
  <c r="P44" i="80"/>
  <c r="P44" i="77"/>
  <c r="N44" i="80"/>
  <c r="N44" i="77"/>
  <c r="L44" i="80"/>
  <c r="L44" i="77"/>
  <c r="J44" i="80"/>
  <c r="J44" i="77"/>
  <c r="H44" i="80"/>
  <c r="H44" i="77"/>
  <c r="F44" i="80"/>
  <c r="F44" i="77"/>
  <c r="U43" i="80"/>
  <c r="T43" i="77"/>
  <c r="R43" i="80"/>
  <c r="R43" i="77"/>
  <c r="P43" i="80"/>
  <c r="P43" i="77"/>
  <c r="N43" i="80"/>
  <c r="N43" i="77"/>
  <c r="L43" i="80"/>
  <c r="L43" i="77"/>
  <c r="J43" i="80"/>
  <c r="J43" i="77"/>
  <c r="H43" i="80"/>
  <c r="H43" i="77"/>
  <c r="F43" i="80"/>
  <c r="F43" i="77"/>
  <c r="E41" i="73"/>
  <c r="H41" s="1"/>
  <c r="I41" s="1"/>
  <c r="U42" i="80"/>
  <c r="T42" i="77"/>
  <c r="R42" i="80"/>
  <c r="R42" i="77"/>
  <c r="P42" i="80"/>
  <c r="P42" i="77"/>
  <c r="N42" i="80"/>
  <c r="N42" i="77"/>
  <c r="L42" i="80"/>
  <c r="L42" i="77"/>
  <c r="J42" i="80"/>
  <c r="J42" i="77"/>
  <c r="H42" i="80"/>
  <c r="H42" i="77"/>
  <c r="F42" i="80"/>
  <c r="F42" i="77"/>
  <c r="U41" i="80"/>
  <c r="T41" i="77"/>
  <c r="U49" i="71"/>
  <c r="R41" i="80"/>
  <c r="R49" i="71"/>
  <c r="R41" i="77"/>
  <c r="P41" i="80"/>
  <c r="P41" i="77"/>
  <c r="N41" i="80"/>
  <c r="N49" i="71"/>
  <c r="N41" i="77"/>
  <c r="L41" i="80"/>
  <c r="L41" i="77"/>
  <c r="L49" i="71"/>
  <c r="J41" i="80"/>
  <c r="J49" i="71"/>
  <c r="J41" i="77"/>
  <c r="H41" i="80"/>
  <c r="H41" i="77"/>
  <c r="F41" i="80"/>
  <c r="F49" i="71"/>
  <c r="E41" i="64"/>
  <c r="H41" s="1"/>
  <c r="E39" i="73"/>
  <c r="H39" s="1"/>
  <c r="I39" s="1"/>
  <c r="F41" i="77"/>
  <c r="E41" i="81"/>
  <c r="H41" s="1"/>
  <c r="I41" s="1"/>
  <c r="E173" i="80"/>
  <c r="E171" i="73"/>
  <c r="H171" s="1"/>
  <c r="I171" s="1"/>
  <c r="E173" i="64"/>
  <c r="E173" i="78"/>
  <c r="E174" i="81"/>
  <c r="E171" i="80"/>
  <c r="E169" i="73"/>
  <c r="H169"/>
  <c r="I169" s="1"/>
  <c r="E171" i="64"/>
  <c r="E169" i="80"/>
  <c r="E169" i="64"/>
  <c r="E169" i="78"/>
  <c r="E169" i="77"/>
  <c r="E167" i="80"/>
  <c r="E165" i="73"/>
  <c r="H165"/>
  <c r="I165" s="1"/>
  <c r="E167" i="64"/>
  <c r="E167" i="78"/>
  <c r="E165" i="80"/>
  <c r="E163" i="73"/>
  <c r="H163"/>
  <c r="I163" s="1"/>
  <c r="E165" i="78"/>
  <c r="E165" i="77"/>
  <c r="E163" i="80"/>
  <c r="E161" i="73"/>
  <c r="H161" s="1"/>
  <c r="I161" s="1"/>
  <c r="E163" i="64"/>
  <c r="E163" i="78"/>
  <c r="E161" i="80"/>
  <c r="E161" i="78"/>
  <c r="E161" i="64"/>
  <c r="E162" i="81"/>
  <c r="E159" i="80"/>
  <c r="E159" i="78"/>
  <c r="E157" i="73"/>
  <c r="H157" s="1"/>
  <c r="I157" s="1"/>
  <c r="E159" i="64"/>
  <c r="E160" i="81"/>
  <c r="E155" i="80"/>
  <c r="E155" i="78"/>
  <c r="E153" i="73"/>
  <c r="H153" s="1"/>
  <c r="I153" s="1"/>
  <c r="E155" i="64"/>
  <c r="E156" i="81"/>
  <c r="E153" i="80"/>
  <c r="E153" i="64"/>
  <c r="E151" i="80"/>
  <c r="E149" i="73"/>
  <c r="H149" s="1"/>
  <c r="I149" s="1"/>
  <c r="E151" i="64"/>
  <c r="E152" i="81"/>
  <c r="E149" i="80"/>
  <c r="E147" i="73"/>
  <c r="H147" s="1"/>
  <c r="I147" s="1"/>
  <c r="E150" i="81"/>
  <c r="E149" i="77"/>
  <c r="E147" i="80"/>
  <c r="E145" i="73"/>
  <c r="H145" s="1"/>
  <c r="I145" s="1"/>
  <c r="E147" i="64"/>
  <c r="E147" i="77"/>
  <c r="E145" i="80"/>
  <c r="E145" i="64"/>
  <c r="E143" i="80"/>
  <c r="E141" i="73"/>
  <c r="H141" s="1"/>
  <c r="I141" s="1"/>
  <c r="E143" i="64"/>
  <c r="E144" i="81"/>
  <c r="E141" i="80"/>
  <c r="E139" i="73"/>
  <c r="H139" s="1"/>
  <c r="I139" s="1"/>
  <c r="E142" i="81"/>
  <c r="E139" i="80"/>
  <c r="E137" i="73"/>
  <c r="H137" s="1"/>
  <c r="I137" s="1"/>
  <c r="E139" i="64"/>
  <c r="E139" i="78"/>
  <c r="E139" i="77"/>
  <c r="E137" i="80"/>
  <c r="E137" i="64"/>
  <c r="E137" i="78"/>
  <c r="E135" i="80"/>
  <c r="E133" i="73"/>
  <c r="H133" s="1"/>
  <c r="I133" s="1"/>
  <c r="E135" i="64"/>
  <c r="E135" i="78"/>
  <c r="E135" i="77"/>
  <c r="E133" i="80"/>
  <c r="E131" i="73"/>
  <c r="H131" s="1"/>
  <c r="I131" s="1"/>
  <c r="E133" i="78"/>
  <c r="E131" i="80"/>
  <c r="E129" i="73"/>
  <c r="H129"/>
  <c r="I129" s="1"/>
  <c r="E131" i="64"/>
  <c r="E131" i="77"/>
  <c r="E129" i="80"/>
  <c r="E129" i="64"/>
  <c r="E129" i="78"/>
  <c r="E129" i="77"/>
  <c r="E127" i="80"/>
  <c r="E125" i="73"/>
  <c r="H125" s="1"/>
  <c r="I125" s="1"/>
  <c r="E127" i="64"/>
  <c r="E127" i="77"/>
  <c r="E125" i="80"/>
  <c r="E123" i="73"/>
  <c r="H123" s="1"/>
  <c r="I123" s="1"/>
  <c r="E125" i="78"/>
  <c r="E123" i="80"/>
  <c r="E121" i="73"/>
  <c r="H121"/>
  <c r="I121" s="1"/>
  <c r="E123" i="64"/>
  <c r="E123" i="78"/>
  <c r="E121" i="80"/>
  <c r="E121" i="64"/>
  <c r="E121" i="78"/>
  <c r="E119" i="80"/>
  <c r="E119" i="77"/>
  <c r="E117" i="73"/>
  <c r="H117" s="1"/>
  <c r="I117" s="1"/>
  <c r="E119" i="64"/>
  <c r="E119" i="78"/>
  <c r="E117" i="80"/>
  <c r="E115" i="73"/>
  <c r="H115" s="1"/>
  <c r="I115" s="1"/>
  <c r="E117" i="78"/>
  <c r="E117" i="77"/>
  <c r="E115" i="80"/>
  <c r="E113" i="73"/>
  <c r="H113" s="1"/>
  <c r="I113" s="1"/>
  <c r="E115" i="64"/>
  <c r="E115" i="78"/>
  <c r="E115" i="77"/>
  <c r="E113" i="80"/>
  <c r="E113" i="64"/>
  <c r="E113" i="78"/>
  <c r="E113" i="77"/>
  <c r="E111" i="80"/>
  <c r="E109" i="73"/>
  <c r="H109" s="1"/>
  <c r="I109" s="1"/>
  <c r="E111" i="64"/>
  <c r="E111" i="78"/>
  <c r="E111" i="77"/>
  <c r="F111" i="78" s="1"/>
  <c r="E109" i="80"/>
  <c r="E107" i="73"/>
  <c r="H107" s="1"/>
  <c r="I107" s="1"/>
  <c r="E109" i="78"/>
  <c r="E109" i="77"/>
  <c r="F109" i="78" s="1"/>
  <c r="H109" s="1"/>
  <c r="I109" s="1"/>
  <c r="E107" i="80"/>
  <c r="E105" i="73"/>
  <c r="H105" s="1"/>
  <c r="I105" s="1"/>
  <c r="E107" i="64"/>
  <c r="E107" i="77"/>
  <c r="E105" i="80"/>
  <c r="E105" i="78"/>
  <c r="E105" i="64"/>
  <c r="E105" i="77"/>
  <c r="E79" i="80"/>
  <c r="E80" i="81"/>
  <c r="E79" i="64"/>
  <c r="E77" i="73"/>
  <c r="H77" s="1"/>
  <c r="I77" s="1"/>
  <c r="E79" i="77"/>
  <c r="E77" i="80"/>
  <c r="E77" i="78"/>
  <c r="E75" i="73"/>
  <c r="H75" s="1"/>
  <c r="I75" s="1"/>
  <c r="E77" i="64"/>
  <c r="E75" i="80"/>
  <c r="E73" i="73"/>
  <c r="H73" s="1"/>
  <c r="I73" s="1"/>
  <c r="E75" i="77"/>
  <c r="E73" i="80"/>
  <c r="E73" i="64"/>
  <c r="E67" i="80"/>
  <c r="E65" i="73"/>
  <c r="H65" s="1"/>
  <c r="I65" s="1"/>
  <c r="E65" i="80"/>
  <c r="E65" i="64"/>
  <c r="E65" i="77"/>
  <c r="E63" i="80"/>
  <c r="E63" i="64"/>
  <c r="E61" i="73"/>
  <c r="H61" s="1"/>
  <c r="I61" s="1"/>
  <c r="E63" i="77"/>
  <c r="E61" i="80"/>
  <c r="E61" i="78"/>
  <c r="E61" i="64"/>
  <c r="E59" i="73"/>
  <c r="H59" s="1"/>
  <c r="I59" s="1"/>
  <c r="E59" i="80"/>
  <c r="E57" i="73"/>
  <c r="H57" s="1"/>
  <c r="I57" s="1"/>
  <c r="E59" i="78"/>
  <c r="E57" i="80"/>
  <c r="E57" i="64"/>
  <c r="E55" i="80"/>
  <c r="E53" i="73"/>
  <c r="H53" s="1"/>
  <c r="I53" s="1"/>
  <c r="E176" i="71"/>
  <c r="E55" i="64"/>
  <c r="E55" i="77"/>
  <c r="Q175" i="80"/>
  <c r="Q176" i="71"/>
  <c r="S174" i="80"/>
  <c r="S176" i="71"/>
  <c r="P174" i="80"/>
  <c r="P174" i="77"/>
  <c r="L174" i="80"/>
  <c r="L174" i="77"/>
  <c r="H174" i="80"/>
  <c r="H174" i="77"/>
  <c r="F174" i="80"/>
  <c r="E172" i="73"/>
  <c r="H172" s="1"/>
  <c r="I172" s="1"/>
  <c r="E174" i="78"/>
  <c r="J173" i="80"/>
  <c r="J176" i="71"/>
  <c r="U172" i="80"/>
  <c r="T172" i="77"/>
  <c r="R172" i="80"/>
  <c r="R176" i="71"/>
  <c r="E170" i="73"/>
  <c r="H170" s="1"/>
  <c r="I170" s="1"/>
  <c r="E172" i="78"/>
  <c r="E172" i="64"/>
  <c r="E255" i="80"/>
  <c r="E255" i="77"/>
  <c r="V240" i="80"/>
  <c r="U240" i="77"/>
  <c r="M240" i="80"/>
  <c r="M240" i="77"/>
  <c r="I240" i="80"/>
  <c r="I240" i="77"/>
  <c r="Q234" i="80"/>
  <c r="Q234" i="77"/>
  <c r="I234" i="80"/>
  <c r="I234" i="77"/>
  <c r="R233" i="80"/>
  <c r="R233" i="77"/>
  <c r="J233" i="80"/>
  <c r="J233" i="77"/>
  <c r="E230" i="80"/>
  <c r="E228" i="73"/>
  <c r="H228" s="1"/>
  <c r="E230" i="78"/>
  <c r="E230" i="77"/>
  <c r="N229" i="80"/>
  <c r="N229" i="77"/>
  <c r="F229" i="80"/>
  <c r="F229" i="77"/>
  <c r="O228" i="80"/>
  <c r="O228" i="77"/>
  <c r="G228" i="80"/>
  <c r="G228" i="77"/>
  <c r="L227" i="80"/>
  <c r="L227" i="77"/>
  <c r="L235" s="1"/>
  <c r="L262" i="71"/>
  <c r="E229" i="80"/>
  <c r="E229" i="64"/>
  <c r="H229" s="1"/>
  <c r="I229" s="1"/>
  <c r="E229" i="78"/>
  <c r="K229" i="80"/>
  <c r="K229" i="77"/>
  <c r="S229" i="80"/>
  <c r="S229" i="77"/>
  <c r="J230" i="80"/>
  <c r="J230" i="77"/>
  <c r="R230" i="80"/>
  <c r="R230" i="77"/>
  <c r="I231" i="80"/>
  <c r="E231" i="64"/>
  <c r="H231" s="1"/>
  <c r="I231" s="1"/>
  <c r="E232" i="81"/>
  <c r="H232" s="1"/>
  <c r="Q231" i="80"/>
  <c r="Q231" i="77"/>
  <c r="Q235"/>
  <c r="H232" i="80"/>
  <c r="E232" i="64"/>
  <c r="F234" i="80"/>
  <c r="E232" i="73"/>
  <c r="H232" s="1"/>
  <c r="I232" s="1"/>
  <c r="E234" i="78"/>
  <c r="F234" i="77"/>
  <c r="F234" i="78" s="1"/>
  <c r="H234" s="1"/>
  <c r="I234" s="1"/>
  <c r="E235" i="81"/>
  <c r="H235" s="1"/>
  <c r="I235" s="1"/>
  <c r="N234" i="80"/>
  <c r="N234" i="77"/>
  <c r="K237" i="80"/>
  <c r="K237" i="77"/>
  <c r="K242"/>
  <c r="S237" i="80"/>
  <c r="S237" i="77"/>
  <c r="U238" i="80"/>
  <c r="T238" i="77"/>
  <c r="N239" i="80"/>
  <c r="N239" i="77"/>
  <c r="F240" i="80"/>
  <c r="E240" i="78"/>
  <c r="E240" i="64"/>
  <c r="H240" s="1"/>
  <c r="I240" s="1"/>
  <c r="F240" i="77"/>
  <c r="E241" i="80"/>
  <c r="E241" i="77"/>
  <c r="F241" i="80"/>
  <c r="E241" i="78"/>
  <c r="E241" i="64"/>
  <c r="H241" i="80"/>
  <c r="H241" i="77"/>
  <c r="I241" i="80"/>
  <c r="I241" i="77"/>
  <c r="L241" i="80"/>
  <c r="L241" i="77"/>
  <c r="M241" i="80"/>
  <c r="M241" i="77"/>
  <c r="M242" s="1"/>
  <c r="P241" i="80"/>
  <c r="P241" i="77"/>
  <c r="P242" s="1"/>
  <c r="Q241" i="80"/>
  <c r="Q241" i="77"/>
  <c r="Q242" s="1"/>
  <c r="U241" i="80"/>
  <c r="T241" i="77"/>
  <c r="T242"/>
  <c r="V241" i="80"/>
  <c r="U241" i="77"/>
  <c r="K251" i="80"/>
  <c r="K251" i="77"/>
  <c r="S251" i="80"/>
  <c r="S251" i="77"/>
  <c r="S253" i="80"/>
  <c r="S253" i="77"/>
  <c r="H242"/>
  <c r="E28"/>
  <c r="V28" s="1"/>
  <c r="J235"/>
  <c r="E67"/>
  <c r="E73"/>
  <c r="E77"/>
  <c r="E33"/>
  <c r="E261" i="81"/>
  <c r="H261" s="1"/>
  <c r="I261" s="1"/>
  <c r="E121" i="77"/>
  <c r="E123"/>
  <c r="E125"/>
  <c r="D17"/>
  <c r="E59"/>
  <c r="E61"/>
  <c r="E148" i="81"/>
  <c r="E132"/>
  <c r="E36"/>
  <c r="H36" s="1"/>
  <c r="I36" s="1"/>
  <c r="E110"/>
  <c r="E114"/>
  <c r="E118"/>
  <c r="E122"/>
  <c r="E126"/>
  <c r="E134"/>
  <c r="E138"/>
  <c r="E164"/>
  <c r="E168"/>
  <c r="E173"/>
  <c r="E146"/>
  <c r="E128"/>
  <c r="E173" i="77"/>
  <c r="K252"/>
  <c r="I254"/>
  <c r="S256"/>
  <c r="I258"/>
  <c r="M258"/>
  <c r="Q258"/>
  <c r="U258"/>
  <c r="G260"/>
  <c r="K260"/>
  <c r="O260"/>
  <c r="S260"/>
  <c r="H251"/>
  <c r="F253"/>
  <c r="J253"/>
  <c r="N253"/>
  <c r="R253"/>
  <c r="H255"/>
  <c r="L255"/>
  <c r="P255"/>
  <c r="T255"/>
  <c r="F257"/>
  <c r="J257"/>
  <c r="N257"/>
  <c r="R257"/>
  <c r="H259"/>
  <c r="L259"/>
  <c r="P259"/>
  <c r="T259"/>
  <c r="R261"/>
  <c r="E254"/>
  <c r="E262" s="1"/>
  <c r="E258"/>
  <c r="G293" i="70"/>
  <c r="R172" i="77"/>
  <c r="J174"/>
  <c r="E171"/>
  <c r="E43" i="78"/>
  <c r="E34"/>
  <c r="E44"/>
  <c r="E33"/>
  <c r="E75" i="64"/>
  <c r="E45" i="73"/>
  <c r="H45"/>
  <c r="I45" s="1"/>
  <c r="E109" i="64"/>
  <c r="E125"/>
  <c r="E141"/>
  <c r="E37"/>
  <c r="H37" s="1"/>
  <c r="I37" s="1"/>
  <c r="D21" i="71"/>
  <c r="F176"/>
  <c r="F294"/>
  <c r="E55" i="73"/>
  <c r="H55" s="1"/>
  <c r="I55" s="1"/>
  <c r="E103"/>
  <c r="H103" s="1"/>
  <c r="I103" s="1"/>
  <c r="E119"/>
  <c r="H119" s="1"/>
  <c r="I119" s="1"/>
  <c r="E135"/>
  <c r="H135" s="1"/>
  <c r="I135" s="1"/>
  <c r="E151"/>
  <c r="H151" s="1"/>
  <c r="I151" s="1"/>
  <c r="E159"/>
  <c r="H159" s="1"/>
  <c r="I159" s="1"/>
  <c r="E43" i="64"/>
  <c r="H43"/>
  <c r="I43" s="1"/>
  <c r="E36" i="73"/>
  <c r="H36" s="1"/>
  <c r="I36" s="1"/>
  <c r="H176" i="71"/>
  <c r="H49"/>
  <c r="E42" i="73"/>
  <c r="H42" s="1"/>
  <c r="I42" s="1"/>
  <c r="H36" i="77"/>
  <c r="H32"/>
  <c r="E57"/>
  <c r="D16" i="80"/>
  <c r="E16" i="78"/>
  <c r="H16" s="1"/>
  <c r="I16" s="1"/>
  <c r="E16" i="73"/>
  <c r="H16"/>
  <c r="I16" s="1"/>
  <c r="E27" i="80"/>
  <c r="E26" i="73"/>
  <c r="H26" s="1"/>
  <c r="I26" s="1"/>
  <c r="E162" i="80"/>
  <c r="E162" i="78"/>
  <c r="E160" i="80"/>
  <c r="E160" i="78"/>
  <c r="E158" i="80"/>
  <c r="E158" i="78"/>
  <c r="E156" i="80"/>
  <c r="E154" i="73"/>
  <c r="H154"/>
  <c r="I154" s="1"/>
  <c r="E106" i="80"/>
  <c r="E107" i="81"/>
  <c r="E104" i="80"/>
  <c r="E104" i="78"/>
  <c r="E95" i="80"/>
  <c r="E93" i="73"/>
  <c r="H93" s="1"/>
  <c r="I93" s="1"/>
  <c r="E95" i="64"/>
  <c r="E86" i="80"/>
  <c r="E86" i="64"/>
  <c r="E82" i="80"/>
  <c r="E82" i="64"/>
  <c r="E78" i="80"/>
  <c r="E78" i="78"/>
  <c r="E78" i="64"/>
  <c r="E62" i="80"/>
  <c r="E63" i="81"/>
  <c r="E60" i="73"/>
  <c r="H60" s="1"/>
  <c r="I60" s="1"/>
  <c r="Q172" i="80"/>
  <c r="Q172" i="77"/>
  <c r="G170" i="80"/>
  <c r="E168" i="73"/>
  <c r="H168" s="1"/>
  <c r="I168" s="1"/>
  <c r="G166" i="80"/>
  <c r="E164" i="73"/>
  <c r="H164" s="1"/>
  <c r="I164" s="1"/>
  <c r="G150" i="80"/>
  <c r="E148" i="73"/>
  <c r="H148" s="1"/>
  <c r="I148" s="1"/>
  <c r="G146" i="80"/>
  <c r="E144" i="73"/>
  <c r="H144" s="1"/>
  <c r="I144" s="1"/>
  <c r="G142" i="80"/>
  <c r="E140" i="73"/>
  <c r="H140" s="1"/>
  <c r="I140" s="1"/>
  <c r="G138" i="80"/>
  <c r="E136" i="73"/>
  <c r="H136" s="1"/>
  <c r="I136" s="1"/>
  <c r="G132" i="80"/>
  <c r="E130" i="73"/>
  <c r="H130" s="1"/>
  <c r="I130" s="1"/>
  <c r="G103" i="80"/>
  <c r="E101" i="73"/>
  <c r="H101" s="1"/>
  <c r="I101" s="1"/>
  <c r="E103" i="64"/>
  <c r="G99" i="80"/>
  <c r="E97" i="73"/>
  <c r="H97"/>
  <c r="I97" s="1"/>
  <c r="E99" i="64"/>
  <c r="G92" i="80"/>
  <c r="E90" i="73"/>
  <c r="H90" s="1"/>
  <c r="I90" s="1"/>
  <c r="G91" i="80"/>
  <c r="E89" i="73"/>
  <c r="H89" s="1"/>
  <c r="I89" s="1"/>
  <c r="E91" i="64"/>
  <c r="G89" i="80"/>
  <c r="E87" i="73"/>
  <c r="H87" s="1"/>
  <c r="I87" s="1"/>
  <c r="G87" i="80"/>
  <c r="E87" i="64"/>
  <c r="G85" i="80"/>
  <c r="E83" i="73"/>
  <c r="H83"/>
  <c r="I83" s="1"/>
  <c r="G83" i="80"/>
  <c r="E83" i="64"/>
  <c r="G81" i="80"/>
  <c r="E79" i="73"/>
  <c r="H79" s="1"/>
  <c r="I79" s="1"/>
  <c r="G74" i="80"/>
  <c r="E74" i="64"/>
  <c r="G71" i="80"/>
  <c r="E69" i="73"/>
  <c r="H69"/>
  <c r="I69" s="1"/>
  <c r="G70" i="80"/>
  <c r="E70" i="64"/>
  <c r="G66" i="80"/>
  <c r="E66" i="64"/>
  <c r="G64" i="80"/>
  <c r="G176" i="71"/>
  <c r="O63" i="80"/>
  <c r="O176" i="71"/>
  <c r="I63" i="80"/>
  <c r="I176" i="71"/>
  <c r="F58" i="80"/>
  <c r="E56" i="73"/>
  <c r="H56" s="1"/>
  <c r="I56" s="1"/>
  <c r="F53" i="80"/>
  <c r="E53" i="64"/>
  <c r="F52" i="80"/>
  <c r="E50" i="73"/>
  <c r="H50" s="1"/>
  <c r="I50" s="1"/>
  <c r="U51" i="80"/>
  <c r="U176" i="71"/>
  <c r="P51" i="80"/>
  <c r="P176" i="71"/>
  <c r="L51" i="80"/>
  <c r="L176" i="71"/>
  <c r="E198" i="80"/>
  <c r="E198" i="77"/>
  <c r="E198" i="64"/>
  <c r="E196" i="73"/>
  <c r="H196" s="1"/>
  <c r="I196" s="1"/>
  <c r="E194" i="80"/>
  <c r="E194" i="64"/>
  <c r="E192" i="73"/>
  <c r="H192" s="1"/>
  <c r="I192" s="1"/>
  <c r="E190" i="80"/>
  <c r="E190" i="64"/>
  <c r="E188" i="73"/>
  <c r="H188" s="1"/>
  <c r="I188" s="1"/>
  <c r="E186" i="80"/>
  <c r="E186" i="64"/>
  <c r="E182" i="80"/>
  <c r="E182" i="64"/>
  <c r="E180" i="73"/>
  <c r="I197" i="80"/>
  <c r="E197" i="64"/>
  <c r="I193" i="80"/>
  <c r="E193" i="64"/>
  <c r="I189" i="80"/>
  <c r="E189" i="64"/>
  <c r="I185" i="80"/>
  <c r="E185" i="64"/>
  <c r="I181" i="80"/>
  <c r="E181" i="64"/>
  <c r="V178" i="80"/>
  <c r="V204" i="71"/>
  <c r="S178" i="80"/>
  <c r="S204" i="71"/>
  <c r="Q178" i="80"/>
  <c r="Q204" i="71"/>
  <c r="O178" i="80"/>
  <c r="O204" i="71"/>
  <c r="M178" i="80"/>
  <c r="M204" i="71"/>
  <c r="K178" i="80"/>
  <c r="K204" i="71"/>
  <c r="I178" i="80"/>
  <c r="I204" i="71"/>
  <c r="G178" i="80"/>
  <c r="G204" i="71"/>
  <c r="W204" s="1"/>
  <c r="H209" i="80"/>
  <c r="E209" i="64"/>
  <c r="H208" i="80"/>
  <c r="H208" i="77"/>
  <c r="F208" i="78" s="1"/>
  <c r="H208" s="1"/>
  <c r="I208" s="1"/>
  <c r="E208" i="64"/>
  <c r="H208" s="1"/>
  <c r="I208" s="1"/>
  <c r="H207" i="80"/>
  <c r="H207" i="77"/>
  <c r="F207" i="78" s="1"/>
  <c r="F207" i="80"/>
  <c r="F210" s="1"/>
  <c r="F207" i="77"/>
  <c r="H206" i="80"/>
  <c r="H210"/>
  <c r="H206" i="77"/>
  <c r="H210" i="71"/>
  <c r="W210" s="1"/>
  <c r="D276" i="77"/>
  <c r="F233" i="78"/>
  <c r="H233" s="1"/>
  <c r="I233" s="1"/>
  <c r="J242" i="77"/>
  <c r="N242"/>
  <c r="L242"/>
  <c r="F237" i="78"/>
  <c r="H237" s="1"/>
  <c r="I237" s="1"/>
  <c r="E219" i="73"/>
  <c r="E297" i="78"/>
  <c r="E213" i="64"/>
  <c r="H292" i="71"/>
  <c r="R292"/>
  <c r="E281" i="73"/>
  <c r="E276"/>
  <c r="P292" i="71"/>
  <c r="E278" i="73"/>
  <c r="E282"/>
  <c r="G292" i="71"/>
  <c r="O292"/>
  <c r="D292"/>
  <c r="D294" s="1"/>
  <c r="E221"/>
  <c r="F206" i="77"/>
  <c r="I213"/>
  <c r="G213"/>
  <c r="O212"/>
  <c r="M212"/>
  <c r="K212"/>
  <c r="H212"/>
  <c r="N257" i="70"/>
  <c r="N293" s="1"/>
  <c r="R257"/>
  <c r="G221" i="71"/>
  <c r="I221"/>
  <c r="K221"/>
  <c r="M221"/>
  <c r="O221"/>
  <c r="Q221"/>
  <c r="S221"/>
  <c r="V221"/>
  <c r="I292"/>
  <c r="Q292"/>
  <c r="E176" i="80"/>
  <c r="E215" i="78"/>
  <c r="V276" i="77"/>
  <c r="N294" i="70"/>
  <c r="S227" i="77"/>
  <c r="S235"/>
  <c r="N254"/>
  <c r="L256"/>
  <c r="K257"/>
  <c r="E255" i="81"/>
  <c r="E254" i="78"/>
  <c r="F239" i="77"/>
  <c r="E236" i="73"/>
  <c r="H236"/>
  <c r="I236" s="1"/>
  <c r="E240" i="81"/>
  <c r="H240" s="1"/>
  <c r="I240" s="1"/>
  <c r="U255" i="77"/>
  <c r="M255"/>
  <c r="H211" i="73"/>
  <c r="I211" s="1"/>
  <c r="I252" i="77"/>
  <c r="M252"/>
  <c r="Q252"/>
  <c r="U252"/>
  <c r="G254"/>
  <c r="K254"/>
  <c r="O254"/>
  <c r="S254"/>
  <c r="I256"/>
  <c r="M256"/>
  <c r="Q256"/>
  <c r="U256"/>
  <c r="F251"/>
  <c r="J251"/>
  <c r="N251"/>
  <c r="R251"/>
  <c r="I227"/>
  <c r="I235" s="1"/>
  <c r="M227"/>
  <c r="M235" s="1"/>
  <c r="E227"/>
  <c r="E235" s="1"/>
  <c r="E245" i="73"/>
  <c r="H245" s="1"/>
  <c r="E252" i="64"/>
  <c r="H252" s="1"/>
  <c r="I252" s="1"/>
  <c r="E254" i="73"/>
  <c r="L293" i="70"/>
  <c r="H294"/>
  <c r="E49" i="64"/>
  <c r="E209" i="81"/>
  <c r="H209" s="1"/>
  <c r="I209" s="1"/>
  <c r="E207" i="78"/>
  <c r="E49" i="77"/>
  <c r="E208" i="73"/>
  <c r="E10" i="81"/>
  <c r="E19" i="78"/>
  <c r="E18"/>
  <c r="E16" i="81"/>
  <c r="H16"/>
  <c r="I16" s="1"/>
  <c r="E15" i="78"/>
  <c r="H15" s="1"/>
  <c r="I15" s="1"/>
  <c r="E14"/>
  <c r="H14" s="1"/>
  <c r="I14" s="1"/>
  <c r="E12" i="81"/>
  <c r="E11" i="78"/>
  <c r="E23"/>
  <c r="E26" i="81"/>
  <c r="H26" s="1"/>
  <c r="I26" s="1"/>
  <c r="E25" i="78"/>
  <c r="H25" s="1"/>
  <c r="I25" s="1"/>
  <c r="E35" i="81"/>
  <c r="H35"/>
  <c r="I35" s="1"/>
  <c r="E51" i="78"/>
  <c r="E147"/>
  <c r="E132"/>
  <c r="E131"/>
  <c r="E108"/>
  <c r="H108" s="1"/>
  <c r="I108" s="1"/>
  <c r="E103" i="81"/>
  <c r="E101" i="78"/>
  <c r="E100"/>
  <c r="E95" i="81"/>
  <c r="E93" i="78"/>
  <c r="E88" i="81"/>
  <c r="E86" i="78"/>
  <c r="E85"/>
  <c r="E76" i="81"/>
  <c r="E74" i="78"/>
  <c r="E73"/>
  <c r="E67" i="81"/>
  <c r="E65" i="78"/>
  <c r="E64"/>
  <c r="E58" i="81"/>
  <c r="E56" i="78"/>
  <c r="E55"/>
  <c r="I174" i="77"/>
  <c r="I172"/>
  <c r="E178" i="78"/>
  <c r="E189" i="81"/>
  <c r="E187" i="78"/>
  <c r="E184"/>
  <c r="H184"/>
  <c r="I184" s="1"/>
  <c r="E179"/>
  <c r="E213"/>
  <c r="S240" i="80"/>
  <c r="S240" i="77"/>
  <c r="S242" s="1"/>
  <c r="O240" i="80"/>
  <c r="O240" i="77"/>
  <c r="O242"/>
  <c r="G240" i="80"/>
  <c r="G240" i="77"/>
  <c r="E210"/>
  <c r="F206" i="78"/>
  <c r="U256" i="80"/>
  <c r="T256" i="77"/>
  <c r="F254" i="80"/>
  <c r="E248" i="73"/>
  <c r="E254" i="64"/>
  <c r="H254"/>
  <c r="I254" s="1"/>
  <c r="F254" i="77"/>
  <c r="H106" i="73"/>
  <c r="I106" s="1"/>
  <c r="F232" i="78"/>
  <c r="H232" s="1"/>
  <c r="I232" s="1"/>
  <c r="H261" i="77"/>
  <c r="L261"/>
  <c r="L262"/>
  <c r="P261"/>
  <c r="T261"/>
  <c r="E255" i="73"/>
  <c r="E251" i="64"/>
  <c r="E246" i="73"/>
  <c r="S294" i="70"/>
  <c r="K294"/>
  <c r="E20" i="73"/>
  <c r="W49" i="71"/>
  <c r="W21"/>
  <c r="D293"/>
  <c r="F253" i="78"/>
  <c r="M39" i="80"/>
  <c r="V221"/>
  <c r="E276" i="64"/>
  <c r="E37" i="73"/>
  <c r="R227" i="71"/>
  <c r="M36" i="77"/>
  <c r="F36" i="78" s="1"/>
  <c r="H36" s="1"/>
  <c r="I36" s="1"/>
  <c r="K36" i="77"/>
  <c r="I36"/>
  <c r="G36"/>
  <c r="M34"/>
  <c r="K34"/>
  <c r="I34"/>
  <c r="G34"/>
  <c r="M32"/>
  <c r="K32"/>
  <c r="I32"/>
  <c r="G32"/>
  <c r="M30"/>
  <c r="K30"/>
  <c r="I30"/>
  <c r="G30"/>
  <c r="T234"/>
  <c r="T235" s="1"/>
  <c r="E241" i="81"/>
  <c r="H241" s="1"/>
  <c r="I241" s="1"/>
  <c r="P257" i="70"/>
  <c r="W257" s="1"/>
  <c r="M176" i="71"/>
  <c r="V176"/>
  <c r="E18" i="81"/>
  <c r="E17" i="78"/>
  <c r="E14" i="81"/>
  <c r="E13" i="78"/>
  <c r="E21"/>
  <c r="E23" i="81"/>
  <c r="E27" i="78"/>
  <c r="E28" s="1"/>
  <c r="E48" i="81"/>
  <c r="H48" s="1"/>
  <c r="I48" s="1"/>
  <c r="E46"/>
  <c r="H46"/>
  <c r="I46" s="1"/>
  <c r="E44"/>
  <c r="H44" s="1"/>
  <c r="I44" s="1"/>
  <c r="E42"/>
  <c r="H42" s="1"/>
  <c r="E52"/>
  <c r="E175" i="77"/>
  <c r="E175" i="81"/>
  <c r="E151" i="78"/>
  <c r="E143"/>
  <c r="E142"/>
  <c r="E141"/>
  <c r="E136"/>
  <c r="E109" i="81"/>
  <c r="E107" i="78"/>
  <c r="E106"/>
  <c r="E105" i="81"/>
  <c r="E103" i="78"/>
  <c r="E102"/>
  <c r="E101" i="81"/>
  <c r="E99" i="78"/>
  <c r="E98"/>
  <c r="E97" i="81"/>
  <c r="E95" i="78"/>
  <c r="E94"/>
  <c r="E91"/>
  <c r="E90" i="81"/>
  <c r="E88" i="78"/>
  <c r="E87"/>
  <c r="E86" i="81"/>
  <c r="E85"/>
  <c r="E84"/>
  <c r="E83"/>
  <c r="E82"/>
  <c r="E80" i="78"/>
  <c r="E79"/>
  <c r="E78" i="81"/>
  <c r="E76" i="78"/>
  <c r="E75"/>
  <c r="E74" i="81"/>
  <c r="E72" i="78"/>
  <c r="E71"/>
  <c r="E69" i="81"/>
  <c r="E67" i="78"/>
  <c r="E66"/>
  <c r="E65" i="81"/>
  <c r="E63" i="78"/>
  <c r="E62"/>
  <c r="E57"/>
  <c r="E56" i="81"/>
  <c r="E54" i="78"/>
  <c r="E53"/>
  <c r="M174" i="77"/>
  <c r="U173"/>
  <c r="T173"/>
  <c r="S173"/>
  <c r="R173"/>
  <c r="Q173"/>
  <c r="P173"/>
  <c r="O173"/>
  <c r="N173"/>
  <c r="M173"/>
  <c r="L173"/>
  <c r="K173"/>
  <c r="J173"/>
  <c r="I173"/>
  <c r="H173"/>
  <c r="G173"/>
  <c r="F173"/>
  <c r="U172"/>
  <c r="M172"/>
  <c r="E195" i="78"/>
  <c r="E188"/>
  <c r="E185" i="81"/>
  <c r="E183" i="78"/>
  <c r="H183" s="1"/>
  <c r="I183" s="1"/>
  <c r="E182"/>
  <c r="H182" s="1"/>
  <c r="I182" s="1"/>
  <c r="E181"/>
  <c r="H181" s="1"/>
  <c r="I181" s="1"/>
  <c r="E180" i="81"/>
  <c r="E207"/>
  <c r="H207" s="1"/>
  <c r="I207" s="1"/>
  <c r="E209" i="78"/>
  <c r="H209"/>
  <c r="I209" s="1"/>
  <c r="E216" i="81"/>
  <c r="E214"/>
  <c r="D292" i="80"/>
  <c r="U290" i="77"/>
  <c r="T290"/>
  <c r="S290"/>
  <c r="R290"/>
  <c r="Q290"/>
  <c r="P290"/>
  <c r="O290"/>
  <c r="D290"/>
  <c r="I269" i="73"/>
  <c r="I213"/>
  <c r="O227" i="80"/>
  <c r="O227" i="77"/>
  <c r="O235" s="1"/>
  <c r="O262" i="71"/>
  <c r="S49" i="80"/>
  <c r="Q49"/>
  <c r="O49"/>
  <c r="M49"/>
  <c r="K49"/>
  <c r="I49"/>
  <c r="G49"/>
  <c r="I176" i="73"/>
  <c r="P294" i="70"/>
  <c r="P293"/>
  <c r="V227" i="80"/>
  <c r="E225" i="73"/>
  <c r="U227" i="77"/>
  <c r="U235" s="1"/>
  <c r="E228" i="81"/>
  <c r="V262" i="71"/>
  <c r="H228" i="80"/>
  <c r="H262" i="71"/>
  <c r="E228" i="64"/>
  <c r="E229" i="81"/>
  <c r="H229"/>
  <c r="I229" s="1"/>
  <c r="E226" i="73"/>
  <c r="H226" s="1"/>
  <c r="I226" s="1"/>
  <c r="E228" i="78"/>
  <c r="H228" i="77"/>
  <c r="H235" s="1"/>
  <c r="N228" i="80"/>
  <c r="N228" i="77"/>
  <c r="N235"/>
  <c r="N262" i="71"/>
  <c r="E238" i="80"/>
  <c r="E262" i="71"/>
  <c r="E238" i="77"/>
  <c r="Q253" i="80"/>
  <c r="Q253" i="77"/>
  <c r="Q262" s="1"/>
  <c r="Q262" i="71"/>
  <c r="V253" i="80"/>
  <c r="E247" i="73"/>
  <c r="E253" i="78"/>
  <c r="U253" i="77"/>
  <c r="E254" i="81"/>
  <c r="J254" i="80"/>
  <c r="J254" i="77"/>
  <c r="J262" i="71"/>
  <c r="P254" i="80"/>
  <c r="P254" i="77"/>
  <c r="U254" i="80"/>
  <c r="T254" i="77"/>
  <c r="U262" i="71"/>
  <c r="I255" i="80"/>
  <c r="E255" i="64"/>
  <c r="H255" s="1"/>
  <c r="I255" s="1"/>
  <c r="I255" i="77"/>
  <c r="I262" i="71"/>
  <c r="O255" i="80"/>
  <c r="O255" i="77"/>
  <c r="S255" i="80"/>
  <c r="S262" i="71"/>
  <c r="S255" i="77"/>
  <c r="H256" i="80"/>
  <c r="E250" i="73"/>
  <c r="H256" i="77"/>
  <c r="E256" i="78"/>
  <c r="E256" i="64"/>
  <c r="H256" s="1"/>
  <c r="I256" s="1"/>
  <c r="E257" i="81"/>
  <c r="H257"/>
  <c r="I257" s="1"/>
  <c r="N256" i="80"/>
  <c r="N256" i="77"/>
  <c r="R256" i="80"/>
  <c r="R256" i="77"/>
  <c r="R262" i="71"/>
  <c r="G257" i="80"/>
  <c r="G257" i="77"/>
  <c r="G262" i="71"/>
  <c r="I257" i="80"/>
  <c r="E257" i="78"/>
  <c r="E258" i="81"/>
  <c r="H258"/>
  <c r="I258" s="1"/>
  <c r="I257" i="77"/>
  <c r="E257" i="64"/>
  <c r="H257" s="1"/>
  <c r="I257" s="1"/>
  <c r="E251" i="73"/>
  <c r="O257" i="80"/>
  <c r="O257" i="77"/>
  <c r="V257" i="80"/>
  <c r="U257" i="77"/>
  <c r="H258" i="80"/>
  <c r="E258" i="64"/>
  <c r="H258" s="1"/>
  <c r="I258" s="1"/>
  <c r="E252" i="73"/>
  <c r="H258" i="77"/>
  <c r="E259" i="81"/>
  <c r="H259"/>
  <c r="I259" s="1"/>
  <c r="N258" i="80"/>
  <c r="N258" i="77"/>
  <c r="U258" i="80"/>
  <c r="T258" i="77"/>
  <c r="K259" i="80"/>
  <c r="E259" i="78"/>
  <c r="E259" i="64"/>
  <c r="H259" s="1"/>
  <c r="I259" s="1"/>
  <c r="K259" i="77"/>
  <c r="K262" s="1"/>
  <c r="E253" i="73"/>
  <c r="E260" i="81"/>
  <c r="H260" s="1"/>
  <c r="I260" s="1"/>
  <c r="K262" i="71"/>
  <c r="I210" i="80"/>
  <c r="U49"/>
  <c r="P49"/>
  <c r="L49"/>
  <c r="H49"/>
  <c r="E256" i="81"/>
  <c r="H256" s="1"/>
  <c r="I256" s="1"/>
  <c r="E249" i="73"/>
  <c r="E255" i="78"/>
  <c r="J258" i="77"/>
  <c r="S257"/>
  <c r="O253"/>
  <c r="E227" i="78"/>
  <c r="E227" i="64"/>
  <c r="E261" i="78"/>
  <c r="P262" i="71"/>
  <c r="E251" i="78"/>
  <c r="E261" i="64"/>
  <c r="H261" s="1"/>
  <c r="I261" s="1"/>
  <c r="E258" i="78"/>
  <c r="E253" i="64"/>
  <c r="E252" i="78"/>
  <c r="E260" i="64"/>
  <c r="H260"/>
  <c r="I260" s="1"/>
  <c r="E260" i="78"/>
  <c r="E270" i="73"/>
  <c r="E47"/>
  <c r="H274" i="64"/>
  <c r="E34" i="81"/>
  <c r="H34" s="1"/>
  <c r="I34" s="1"/>
  <c r="H39" i="80"/>
  <c r="I221"/>
  <c r="E289" i="81"/>
  <c r="H289" s="1"/>
  <c r="I289" s="1"/>
  <c r="E285"/>
  <c r="U292" i="80"/>
  <c r="R292"/>
  <c r="P292"/>
  <c r="L292"/>
  <c r="J292"/>
  <c r="H292"/>
  <c r="F292"/>
  <c r="N292"/>
  <c r="E48"/>
  <c r="E46"/>
  <c r="E44"/>
  <c r="E42"/>
  <c r="V175"/>
  <c r="R175"/>
  <c r="P175"/>
  <c r="N175"/>
  <c r="L175"/>
  <c r="J175"/>
  <c r="H175"/>
  <c r="F175"/>
  <c r="V174"/>
  <c r="V171"/>
  <c r="R171"/>
  <c r="P171"/>
  <c r="N171"/>
  <c r="L171"/>
  <c r="J171"/>
  <c r="H171"/>
  <c r="F171"/>
  <c r="R238" i="77"/>
  <c r="R242" s="1"/>
  <c r="E242" i="81"/>
  <c r="H242" s="1"/>
  <c r="I242" s="1"/>
  <c r="G259" i="77"/>
  <c r="F259" i="78" s="1"/>
  <c r="E239" i="81"/>
  <c r="E19"/>
  <c r="H19" s="1"/>
  <c r="I19" s="1"/>
  <c r="E17"/>
  <c r="H17" s="1"/>
  <c r="I17" s="1"/>
  <c r="E15"/>
  <c r="E13"/>
  <c r="E11"/>
  <c r="E27"/>
  <c r="H27" s="1"/>
  <c r="I27" s="1"/>
  <c r="E25"/>
  <c r="E37"/>
  <c r="H37" s="1"/>
  <c r="I37" s="1"/>
  <c r="E33"/>
  <c r="H33" s="1"/>
  <c r="I33" s="1"/>
  <c r="E32"/>
  <c r="E31"/>
  <c r="H31"/>
  <c r="I31" s="1"/>
  <c r="E30"/>
  <c r="E41" i="78"/>
  <c r="E47" i="81"/>
  <c r="H47" s="1"/>
  <c r="I47" s="1"/>
  <c r="E45"/>
  <c r="E43"/>
  <c r="E172" i="77"/>
  <c r="E172" i="81"/>
  <c r="E170" i="78"/>
  <c r="E170" i="81"/>
  <c r="E168" i="78"/>
  <c r="E153"/>
  <c r="E149"/>
  <c r="E145"/>
  <c r="E134"/>
  <c r="E127"/>
  <c r="E108" i="81"/>
  <c r="E106"/>
  <c r="E104"/>
  <c r="E102"/>
  <c r="E100"/>
  <c r="E98"/>
  <c r="E96"/>
  <c r="E94"/>
  <c r="E93"/>
  <c r="E91"/>
  <c r="E89"/>
  <c r="E87"/>
  <c r="E81"/>
  <c r="E79"/>
  <c r="E77"/>
  <c r="E75"/>
  <c r="E73"/>
  <c r="E70"/>
  <c r="E68"/>
  <c r="E66"/>
  <c r="E64"/>
  <c r="E62"/>
  <c r="E61"/>
  <c r="E60"/>
  <c r="E59"/>
  <c r="E57"/>
  <c r="E55"/>
  <c r="E53"/>
  <c r="T175" i="77"/>
  <c r="S175"/>
  <c r="Q175"/>
  <c r="O175"/>
  <c r="M175"/>
  <c r="K175"/>
  <c r="I175"/>
  <c r="G175"/>
  <c r="S174"/>
  <c r="O174"/>
  <c r="K174"/>
  <c r="G174"/>
  <c r="F174" i="78" s="1"/>
  <c r="H174" s="1"/>
  <c r="I174" s="1"/>
  <c r="S172" i="77"/>
  <c r="O172"/>
  <c r="K172"/>
  <c r="T171"/>
  <c r="S171"/>
  <c r="Q171"/>
  <c r="O171"/>
  <c r="M171"/>
  <c r="K171"/>
  <c r="I171"/>
  <c r="G171"/>
  <c r="E197" i="78"/>
  <c r="E193"/>
  <c r="E192"/>
  <c r="E191"/>
  <c r="E190"/>
  <c r="E189"/>
  <c r="E188" i="81"/>
  <c r="E186" i="78"/>
  <c r="E185"/>
  <c r="E182" i="81"/>
  <c r="E180" i="78"/>
  <c r="H180" s="1"/>
  <c r="E210" i="81"/>
  <c r="E208"/>
  <c r="K221" i="80"/>
  <c r="E291" i="81"/>
  <c r="H291" s="1"/>
  <c r="I291" s="1"/>
  <c r="E287"/>
  <c r="H287" s="1"/>
  <c r="I287" s="1"/>
  <c r="V292" i="80"/>
  <c r="S292"/>
  <c r="Q292"/>
  <c r="O292"/>
  <c r="M292"/>
  <c r="K292"/>
  <c r="I292"/>
  <c r="G292"/>
  <c r="E292"/>
  <c r="W292" s="1"/>
  <c r="M290" i="77"/>
  <c r="L290"/>
  <c r="K290"/>
  <c r="J290"/>
  <c r="I290"/>
  <c r="H290"/>
  <c r="G290"/>
  <c r="F290"/>
  <c r="E275" i="81"/>
  <c r="E276"/>
  <c r="H276" s="1"/>
  <c r="I276" s="1"/>
  <c r="N290" i="77"/>
  <c r="H49"/>
  <c r="J49"/>
  <c r="J49" i="80"/>
  <c r="L49" i="77"/>
  <c r="N49"/>
  <c r="N49" i="80"/>
  <c r="F39"/>
  <c r="L39"/>
  <c r="E39"/>
  <c r="E286" i="73"/>
  <c r="F260" i="78"/>
  <c r="F293" i="71"/>
  <c r="F49" i="80"/>
  <c r="W49" s="1"/>
  <c r="R49"/>
  <c r="W39" i="71"/>
  <c r="E28" i="80"/>
  <c r="W28" s="1"/>
  <c r="D21"/>
  <c r="W21" s="1"/>
  <c r="E242" i="78"/>
  <c r="R294" i="70"/>
  <c r="R293"/>
  <c r="H213" i="64"/>
  <c r="E221"/>
  <c r="H180" i="73"/>
  <c r="E202"/>
  <c r="L294" i="71"/>
  <c r="L293"/>
  <c r="E28" i="64"/>
  <c r="H17"/>
  <c r="E21"/>
  <c r="E176"/>
  <c r="F17" i="78"/>
  <c r="D21" i="77"/>
  <c r="F229" i="78"/>
  <c r="H229" s="1"/>
  <c r="I229" s="1"/>
  <c r="F235" i="77"/>
  <c r="E39" i="64"/>
  <c r="H17" i="78"/>
  <c r="I17" s="1"/>
  <c r="E242" i="64"/>
  <c r="E49" i="80"/>
  <c r="O262" i="77"/>
  <c r="F228" i="78"/>
  <c r="R262" i="77"/>
  <c r="H47" i="73"/>
  <c r="E210" i="64"/>
  <c r="F262" i="77"/>
  <c r="F252" i="78"/>
  <c r="W221" i="71"/>
  <c r="H210" i="77"/>
  <c r="E204" i="64"/>
  <c r="E174" i="73"/>
  <c r="F241" i="78"/>
  <c r="H241"/>
  <c r="I241" s="1"/>
  <c r="F230"/>
  <c r="H230" s="1"/>
  <c r="I242" i="77"/>
  <c r="U242"/>
  <c r="F49"/>
  <c r="P49"/>
  <c r="R49"/>
  <c r="T49"/>
  <c r="E39" i="78"/>
  <c r="F39" i="77"/>
  <c r="J39"/>
  <c r="J39" i="80"/>
  <c r="L39" i="77"/>
  <c r="E27" i="73"/>
  <c r="G235" i="77"/>
  <c r="K235"/>
  <c r="F239" i="78"/>
  <c r="H239" s="1"/>
  <c r="F242" i="77"/>
  <c r="F251" i="78"/>
  <c r="H251" s="1"/>
  <c r="E221"/>
  <c r="M262" i="77"/>
  <c r="W176" i="71"/>
  <c r="M294"/>
  <c r="R227" i="80"/>
  <c r="R227" i="77"/>
  <c r="R235" s="1"/>
  <c r="H206" i="78"/>
  <c r="F210"/>
  <c r="G242" i="77"/>
  <c r="F240" i="78"/>
  <c r="H240" s="1"/>
  <c r="I240" s="1"/>
  <c r="H262" i="77"/>
  <c r="F173" i="78"/>
  <c r="H173" s="1"/>
  <c r="I173" s="1"/>
  <c r="E210"/>
  <c r="F261"/>
  <c r="F258"/>
  <c r="M293" i="71"/>
  <c r="E211" i="81"/>
  <c r="E204" i="78"/>
  <c r="F172"/>
  <c r="H172"/>
  <c r="I172" s="1"/>
  <c r="E49"/>
  <c r="E28" i="81"/>
  <c r="E21"/>
  <c r="E262" i="78"/>
  <c r="E299" s="1"/>
  <c r="E235"/>
  <c r="D293" i="80"/>
  <c r="K293" i="71"/>
  <c r="K294"/>
  <c r="G294"/>
  <c r="G293"/>
  <c r="I262" i="77"/>
  <c r="V262" s="1"/>
  <c r="F255" i="78"/>
  <c r="P262" i="77"/>
  <c r="F254" i="78"/>
  <c r="J293" i="71"/>
  <c r="J294"/>
  <c r="Q293"/>
  <c r="Q294"/>
  <c r="W262"/>
  <c r="E294"/>
  <c r="E293"/>
  <c r="W293" s="1"/>
  <c r="N293"/>
  <c r="H293"/>
  <c r="H294"/>
  <c r="V293"/>
  <c r="V294"/>
  <c r="O293"/>
  <c r="O294"/>
  <c r="N262" i="77"/>
  <c r="S262"/>
  <c r="T262"/>
  <c r="U262"/>
  <c r="H228" i="78"/>
  <c r="I228"/>
  <c r="H275" i="81"/>
  <c r="E277"/>
  <c r="E205"/>
  <c r="E177"/>
  <c r="E176" i="78"/>
  <c r="E39" i="81"/>
  <c r="H30"/>
  <c r="H239"/>
  <c r="I239" s="1"/>
  <c r="E243"/>
  <c r="H285"/>
  <c r="I285" s="1"/>
  <c r="I294" s="1"/>
  <c r="E294"/>
  <c r="I274" i="64"/>
  <c r="I276" s="1"/>
  <c r="H276"/>
  <c r="E262"/>
  <c r="E299" s="1"/>
  <c r="P294" i="71"/>
  <c r="P293"/>
  <c r="E235" i="64"/>
  <c r="H227"/>
  <c r="I227" s="1"/>
  <c r="G262" i="77"/>
  <c r="F257" i="78"/>
  <c r="R294" i="71"/>
  <c r="R293"/>
  <c r="S294"/>
  <c r="S293"/>
  <c r="I293"/>
  <c r="I294"/>
  <c r="U293"/>
  <c r="U294"/>
  <c r="H254" i="81"/>
  <c r="E263"/>
  <c r="E242" i="77"/>
  <c r="F238" i="78"/>
  <c r="H238" s="1"/>
  <c r="H228" i="81"/>
  <c r="E236"/>
  <c r="H225" i="73"/>
  <c r="E256"/>
  <c r="E287" s="1"/>
  <c r="F256" i="78"/>
  <c r="J262" i="77"/>
  <c r="E50" i="81"/>
  <c r="F171" i="78"/>
  <c r="D293" i="77"/>
  <c r="V21"/>
  <c r="I17" i="64"/>
  <c r="I180" i="73"/>
  <c r="I213" i="64"/>
  <c r="E288" i="73"/>
  <c r="F227" i="78"/>
  <c r="H227" s="1"/>
  <c r="I227" s="1"/>
  <c r="I206"/>
  <c r="F242"/>
  <c r="E298" i="64"/>
  <c r="I30" i="81"/>
  <c r="E298" i="78"/>
  <c r="I180"/>
  <c r="H171"/>
  <c r="I171" s="1"/>
  <c r="I225" i="73"/>
  <c r="I228" i="81"/>
  <c r="I254"/>
  <c r="H294"/>
  <c r="I243"/>
  <c r="I275"/>
  <c r="I277" s="1"/>
  <c r="H277"/>
  <c r="F235" i="78"/>
  <c r="I238"/>
  <c r="I232" i="81" l="1"/>
  <c r="H236"/>
  <c r="I41" i="64"/>
  <c r="H37" i="73"/>
  <c r="I29"/>
  <c r="I37" s="1"/>
  <c r="I179"/>
  <c r="I202" s="1"/>
  <c r="H202"/>
  <c r="I42" i="81"/>
  <c r="I228" i="73"/>
  <c r="I256" s="1"/>
  <c r="H256"/>
  <c r="I11" i="78"/>
  <c r="I21" s="1"/>
  <c r="I236" i="81"/>
  <c r="H243"/>
  <c r="F262" i="78"/>
  <c r="H18"/>
  <c r="I18" s="1"/>
  <c r="H207"/>
  <c r="H111"/>
  <c r="I111" s="1"/>
  <c r="H19"/>
  <c r="I19" s="1"/>
  <c r="T249" i="80"/>
  <c r="N249"/>
  <c r="R249"/>
  <c r="F255" i="81"/>
  <c r="H255" s="1"/>
  <c r="F236"/>
  <c r="F253" i="64"/>
  <c r="H253" s="1"/>
  <c r="I253" s="1"/>
  <c r="F251"/>
  <c r="H251" s="1"/>
  <c r="L261" i="80"/>
  <c r="H261"/>
  <c r="Q258"/>
  <c r="Q256"/>
  <c r="M256"/>
  <c r="I256"/>
  <c r="Q254"/>
  <c r="M252"/>
  <c r="E252"/>
  <c r="I27" i="7"/>
  <c r="I36" s="1"/>
  <c r="H36"/>
  <c r="E204" i="80"/>
  <c r="I297" i="64"/>
  <c r="W299" i="82"/>
  <c r="W299" i="79"/>
  <c r="F249" i="78"/>
  <c r="F249" i="80"/>
  <c r="P249"/>
  <c r="F263" i="81"/>
  <c r="F239" i="64"/>
  <c r="F228"/>
  <c r="F235" s="1"/>
  <c r="F248"/>
  <c r="J261" i="80"/>
  <c r="I260"/>
  <c r="I258"/>
  <c r="P253"/>
  <c r="N251"/>
  <c r="J251"/>
  <c r="H18" i="64"/>
  <c r="I18" s="1"/>
  <c r="W290" i="68"/>
  <c r="H19" i="64"/>
  <c r="I19" s="1"/>
  <c r="V234" i="80"/>
  <c r="E234"/>
  <c r="F233"/>
  <c r="O232"/>
  <c r="G232"/>
  <c r="P231"/>
  <c r="H231"/>
  <c r="Q230"/>
  <c r="I230"/>
  <c r="J229"/>
  <c r="K228"/>
  <c r="H227"/>
  <c r="H47" i="7"/>
  <c r="I47" s="1"/>
  <c r="E178" i="77"/>
  <c r="F178" i="78" s="1"/>
  <c r="H178" s="1"/>
  <c r="I178" s="1"/>
  <c r="D189"/>
  <c r="D204" s="1"/>
  <c r="E185" i="77"/>
  <c r="D181" i="81"/>
  <c r="D180"/>
  <c r="F213" i="77"/>
  <c r="U212"/>
  <c r="T212"/>
  <c r="S212"/>
  <c r="R212"/>
  <c r="Q212"/>
  <c r="N212"/>
  <c r="K289"/>
  <c r="J289"/>
  <c r="I289"/>
  <c r="H289"/>
  <c r="G289"/>
  <c r="F289"/>
  <c r="E289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U282"/>
  <c r="T282"/>
  <c r="S282"/>
  <c r="R282"/>
  <c r="Q282"/>
  <c r="P282"/>
  <c r="O282"/>
  <c r="N282"/>
  <c r="M282"/>
  <c r="L282"/>
  <c r="K282"/>
  <c r="K292" s="1"/>
  <c r="J282"/>
  <c r="J292" s="1"/>
  <c r="I282"/>
  <c r="I292" s="1"/>
  <c r="H282"/>
  <c r="H292" s="1"/>
  <c r="G282"/>
  <c r="G292" s="1"/>
  <c r="F282"/>
  <c r="E282"/>
  <c r="E292" s="1"/>
  <c r="R257" i="69"/>
  <c r="K256" i="80"/>
  <c r="S254"/>
  <c r="O254"/>
  <c r="I227"/>
  <c r="W211" i="66"/>
  <c r="H16" i="64"/>
  <c r="I16" s="1"/>
  <c r="D28"/>
  <c r="D299" s="1"/>
  <c r="S295" i="66"/>
  <c r="F295"/>
  <c r="J294"/>
  <c r="M289" i="68"/>
  <c r="V289"/>
  <c r="H167" i="73"/>
  <c r="I167" s="1"/>
  <c r="S232" i="80"/>
  <c r="K232"/>
  <c r="U231"/>
  <c r="L231"/>
  <c r="V230"/>
  <c r="M230"/>
  <c r="U289" i="69"/>
  <c r="I50" i="7"/>
  <c r="H24"/>
  <c r="I24" s="1"/>
  <c r="I50" i="66"/>
  <c r="N295"/>
  <c r="D10" i="81"/>
  <c r="D18"/>
  <c r="H18" s="1"/>
  <c r="I18" s="1"/>
  <c r="D15"/>
  <c r="H15" s="1"/>
  <c r="I15" s="1"/>
  <c r="D14"/>
  <c r="H14" s="1"/>
  <c r="I14" s="1"/>
  <c r="D13"/>
  <c r="H13" s="1"/>
  <c r="I13" s="1"/>
  <c r="D12"/>
  <c r="H12" s="1"/>
  <c r="I12" s="1"/>
  <c r="D11"/>
  <c r="H11" s="1"/>
  <c r="I11" s="1"/>
  <c r="D23"/>
  <c r="D25"/>
  <c r="H25" s="1"/>
  <c r="I25" s="1"/>
  <c r="E32" i="77"/>
  <c r="E39" s="1"/>
  <c r="N37"/>
  <c r="M37"/>
  <c r="F37" i="78" s="1"/>
  <c r="H37" s="1"/>
  <c r="I37" s="1"/>
  <c r="I35" i="77"/>
  <c r="H34"/>
  <c r="F34" i="78" s="1"/>
  <c r="H34" s="1"/>
  <c r="I34" s="1"/>
  <c r="K33" i="77"/>
  <c r="G31"/>
  <c r="N30"/>
  <c r="S48"/>
  <c r="K48"/>
  <c r="S47"/>
  <c r="K47"/>
  <c r="S46"/>
  <c r="K46"/>
  <c r="S45"/>
  <c r="K45"/>
  <c r="S44"/>
  <c r="K44"/>
  <c r="S43"/>
  <c r="K43"/>
  <c r="S42"/>
  <c r="K42"/>
  <c r="S41"/>
  <c r="S49" s="1"/>
  <c r="M41"/>
  <c r="D52" i="81"/>
  <c r="H52" s="1"/>
  <c r="I52" s="1"/>
  <c r="D171"/>
  <c r="H171" s="1"/>
  <c r="I171" s="1"/>
  <c r="D169"/>
  <c r="D166"/>
  <c r="D158"/>
  <c r="D119"/>
  <c r="D117"/>
  <c r="D115"/>
  <c r="D113"/>
  <c r="D111"/>
  <c r="D109"/>
  <c r="D104"/>
  <c r="D103"/>
  <c r="D102"/>
  <c r="D101"/>
  <c r="D100"/>
  <c r="D99"/>
  <c r="D98"/>
  <c r="H98" s="1"/>
  <c r="I98" s="1"/>
  <c r="D97"/>
  <c r="H97" s="1"/>
  <c r="I97" s="1"/>
  <c r="D94"/>
  <c r="H94" s="1"/>
  <c r="I94" s="1"/>
  <c r="D93"/>
  <c r="D92"/>
  <c r="H92" s="1"/>
  <c r="I92" s="1"/>
  <c r="D91"/>
  <c r="H91" s="1"/>
  <c r="I91" s="1"/>
  <c r="D90"/>
  <c r="H90" s="1"/>
  <c r="I90" s="1"/>
  <c r="D89"/>
  <c r="D88"/>
  <c r="H88" s="1"/>
  <c r="I88" s="1"/>
  <c r="D86"/>
  <c r="D85"/>
  <c r="H85" s="1"/>
  <c r="I85" s="1"/>
  <c r="D84"/>
  <c r="D82"/>
  <c r="D81"/>
  <c r="D77"/>
  <c r="D75"/>
  <c r="H75" s="1"/>
  <c r="I75" s="1"/>
  <c r="D73"/>
  <c r="D72"/>
  <c r="D71"/>
  <c r="H71" s="1"/>
  <c r="I71" s="1"/>
  <c r="D70"/>
  <c r="H70" s="1"/>
  <c r="I70" s="1"/>
  <c r="D69"/>
  <c r="H69" s="1"/>
  <c r="I69" s="1"/>
  <c r="D67"/>
  <c r="H67" s="1"/>
  <c r="I67" s="1"/>
  <c r="D65"/>
  <c r="D61" i="78"/>
  <c r="D176" s="1"/>
  <c r="D54" i="81"/>
  <c r="E52" i="77"/>
  <c r="E176" s="1"/>
  <c r="U128"/>
  <c r="T128"/>
  <c r="S128"/>
  <c r="R128"/>
  <c r="Q128"/>
  <c r="P128"/>
  <c r="O128"/>
  <c r="N128"/>
  <c r="M128"/>
  <c r="L128"/>
  <c r="K128"/>
  <c r="J128"/>
  <c r="I128"/>
  <c r="H128"/>
  <c r="G128"/>
  <c r="F128"/>
  <c r="F128" i="78" s="1"/>
  <c r="H128" s="1"/>
  <c r="I128" s="1"/>
  <c r="U127" i="77"/>
  <c r="T127"/>
  <c r="S127"/>
  <c r="R127"/>
  <c r="Q127"/>
  <c r="P127"/>
  <c r="O127"/>
  <c r="N127"/>
  <c r="M127"/>
  <c r="L127"/>
  <c r="K127"/>
  <c r="J127"/>
  <c r="I127"/>
  <c r="H127"/>
  <c r="G127"/>
  <c r="F127"/>
  <c r="F127" i="78" s="1"/>
  <c r="H127" s="1"/>
  <c r="I127" s="1"/>
  <c r="U126" i="77"/>
  <c r="T126"/>
  <c r="S126"/>
  <c r="R126"/>
  <c r="Q126"/>
  <c r="P126"/>
  <c r="O126"/>
  <c r="N126"/>
  <c r="M126"/>
  <c r="L126"/>
  <c r="K126"/>
  <c r="J126"/>
  <c r="I126"/>
  <c r="H126"/>
  <c r="G126"/>
  <c r="F126"/>
  <c r="F126" i="78" s="1"/>
  <c r="H126" s="1"/>
  <c r="I126" s="1"/>
  <c r="U125" i="77"/>
  <c r="T125"/>
  <c r="S125"/>
  <c r="R125"/>
  <c r="Q125"/>
  <c r="P125"/>
  <c r="O125"/>
  <c r="N125"/>
  <c r="M125"/>
  <c r="L125"/>
  <c r="K125"/>
  <c r="J125"/>
  <c r="I125"/>
  <c r="H125"/>
  <c r="G125"/>
  <c r="F125"/>
  <c r="F125" i="78" s="1"/>
  <c r="H125" s="1"/>
  <c r="I125" s="1"/>
  <c r="U124" i="77"/>
  <c r="T124"/>
  <c r="S124"/>
  <c r="R124"/>
  <c r="Q124"/>
  <c r="P124"/>
  <c r="O124"/>
  <c r="N124"/>
  <c r="M124"/>
  <c r="L124"/>
  <c r="K124"/>
  <c r="J124"/>
  <c r="I124"/>
  <c r="H124"/>
  <c r="G124"/>
  <c r="F124"/>
  <c r="F124" i="78" s="1"/>
  <c r="H124" s="1"/>
  <c r="I124" s="1"/>
  <c r="U123" i="77"/>
  <c r="T123"/>
  <c r="S123"/>
  <c r="R123"/>
  <c r="Q123"/>
  <c r="P123"/>
  <c r="O123"/>
  <c r="N123"/>
  <c r="M123"/>
  <c r="L123"/>
  <c r="K123"/>
  <c r="J123"/>
  <c r="I123"/>
  <c r="H123"/>
  <c r="G123"/>
  <c r="F123"/>
  <c r="F123" i="78" s="1"/>
  <c r="H123" s="1"/>
  <c r="I123" s="1"/>
  <c r="U122" i="77"/>
  <c r="T122"/>
  <c r="S122"/>
  <c r="R122"/>
  <c r="Q122"/>
  <c r="P122"/>
  <c r="O122"/>
  <c r="N122"/>
  <c r="M122"/>
  <c r="L122"/>
  <c r="K122"/>
  <c r="J122"/>
  <c r="I122"/>
  <c r="H122"/>
  <c r="G122"/>
  <c r="F122"/>
  <c r="F122" i="78" s="1"/>
  <c r="H122" s="1"/>
  <c r="I122" s="1"/>
  <c r="U121" i="77"/>
  <c r="T121"/>
  <c r="S121"/>
  <c r="R121"/>
  <c r="Q121"/>
  <c r="P121"/>
  <c r="O121"/>
  <c r="N121"/>
  <c r="M121"/>
  <c r="L121"/>
  <c r="K121"/>
  <c r="J121"/>
  <c r="I121"/>
  <c r="H121"/>
  <c r="G121"/>
  <c r="F121"/>
  <c r="F121" i="78" s="1"/>
  <c r="H121" s="1"/>
  <c r="I121" s="1"/>
  <c r="U120" i="77"/>
  <c r="T120"/>
  <c r="S120"/>
  <c r="R120"/>
  <c r="Q120"/>
  <c r="P120"/>
  <c r="O120"/>
  <c r="N120"/>
  <c r="M120"/>
  <c r="L120"/>
  <c r="K120"/>
  <c r="J120"/>
  <c r="I120"/>
  <c r="H120"/>
  <c r="G120"/>
  <c r="F120"/>
  <c r="F120" i="78" s="1"/>
  <c r="H120" s="1"/>
  <c r="I120" s="1"/>
  <c r="U119" i="77"/>
  <c r="T119"/>
  <c r="S119"/>
  <c r="R119"/>
  <c r="Q119"/>
  <c r="P119"/>
  <c r="O119"/>
  <c r="N119"/>
  <c r="M119"/>
  <c r="L119"/>
  <c r="K119"/>
  <c r="J119"/>
  <c r="I119"/>
  <c r="H119"/>
  <c r="G119"/>
  <c r="F119"/>
  <c r="F119" i="78" s="1"/>
  <c r="H119" s="1"/>
  <c r="I119" s="1"/>
  <c r="U118" i="77"/>
  <c r="T118"/>
  <c r="S118"/>
  <c r="R118"/>
  <c r="Q118"/>
  <c r="P118"/>
  <c r="O118"/>
  <c r="N118"/>
  <c r="M118"/>
  <c r="L118"/>
  <c r="K118"/>
  <c r="J118"/>
  <c r="I118"/>
  <c r="H118"/>
  <c r="G118"/>
  <c r="F118"/>
  <c r="F118" i="78" s="1"/>
  <c r="H118" s="1"/>
  <c r="I118" s="1"/>
  <c r="U117" i="77"/>
  <c r="T117"/>
  <c r="S117"/>
  <c r="R117"/>
  <c r="Q117"/>
  <c r="P117"/>
  <c r="O117"/>
  <c r="N117"/>
  <c r="M117"/>
  <c r="L117"/>
  <c r="K117"/>
  <c r="J117"/>
  <c r="I117"/>
  <c r="H117"/>
  <c r="G117"/>
  <c r="F117"/>
  <c r="F117" i="78" s="1"/>
  <c r="H117" s="1"/>
  <c r="I117" s="1"/>
  <c r="U116" i="77"/>
  <c r="T116"/>
  <c r="S116"/>
  <c r="R116"/>
  <c r="Q116"/>
  <c r="P116"/>
  <c r="O116"/>
  <c r="N116"/>
  <c r="M116"/>
  <c r="L116"/>
  <c r="K116"/>
  <c r="J116"/>
  <c r="I116"/>
  <c r="H116"/>
  <c r="G116"/>
  <c r="F116"/>
  <c r="F116" i="78" s="1"/>
  <c r="H116" s="1"/>
  <c r="I116" s="1"/>
  <c r="U115" i="77"/>
  <c r="T115"/>
  <c r="S115"/>
  <c r="R115"/>
  <c r="Q115"/>
  <c r="P115"/>
  <c r="O115"/>
  <c r="N115"/>
  <c r="M115"/>
  <c r="L115"/>
  <c r="K115"/>
  <c r="J115"/>
  <c r="I115"/>
  <c r="H115"/>
  <c r="G115"/>
  <c r="F115"/>
  <c r="F115" i="78" s="1"/>
  <c r="H115" s="1"/>
  <c r="I115" s="1"/>
  <c r="U114" i="77"/>
  <c r="T114"/>
  <c r="S114"/>
  <c r="R114"/>
  <c r="Q114"/>
  <c r="P114"/>
  <c r="O114"/>
  <c r="N114"/>
  <c r="M114"/>
  <c r="L114"/>
  <c r="K114"/>
  <c r="J114"/>
  <c r="I114"/>
  <c r="H114"/>
  <c r="G114"/>
  <c r="F114"/>
  <c r="F114" i="78" s="1"/>
  <c r="H114" s="1"/>
  <c r="I114" s="1"/>
  <c r="U113" i="77"/>
  <c r="T113"/>
  <c r="S113"/>
  <c r="R113"/>
  <c r="Q113"/>
  <c r="P113"/>
  <c r="O113"/>
  <c r="N113"/>
  <c r="M113"/>
  <c r="L113"/>
  <c r="K113"/>
  <c r="J113"/>
  <c r="I113"/>
  <c r="H113"/>
  <c r="G113"/>
  <c r="F113"/>
  <c r="F113" i="78" s="1"/>
  <c r="H113" s="1"/>
  <c r="I113" s="1"/>
  <c r="U112" i="77"/>
  <c r="T112"/>
  <c r="S112"/>
  <c r="R112"/>
  <c r="Q112"/>
  <c r="P112"/>
  <c r="O112"/>
  <c r="N112"/>
  <c r="M112"/>
  <c r="F112" i="78" s="1"/>
  <c r="H112" s="1"/>
  <c r="I112" s="1"/>
  <c r="L112" i="77"/>
  <c r="K112"/>
  <c r="J221" i="80"/>
  <c r="W221" s="1"/>
  <c r="P221"/>
  <c r="F28" i="81"/>
  <c r="H39" i="76"/>
  <c r="J49"/>
  <c r="F175" i="81"/>
  <c r="H175" s="1"/>
  <c r="I175" s="1"/>
  <c r="F173"/>
  <c r="H173" s="1"/>
  <c r="I173" s="1"/>
  <c r="F171"/>
  <c r="F169"/>
  <c r="F167"/>
  <c r="F165"/>
  <c r="F163"/>
  <c r="H163" s="1"/>
  <c r="I163" s="1"/>
  <c r="F161"/>
  <c r="H161" s="1"/>
  <c r="I161" s="1"/>
  <c r="F159"/>
  <c r="H159" s="1"/>
  <c r="I159" s="1"/>
  <c r="F157"/>
  <c r="H157" s="1"/>
  <c r="I157" s="1"/>
  <c r="F155"/>
  <c r="H155" s="1"/>
  <c r="I155" s="1"/>
  <c r="F153"/>
  <c r="H153" s="1"/>
  <c r="I153" s="1"/>
  <c r="F151"/>
  <c r="F149"/>
  <c r="F147"/>
  <c r="F145"/>
  <c r="F143"/>
  <c r="F141"/>
  <c r="F139"/>
  <c r="F137"/>
  <c r="F135"/>
  <c r="F133"/>
  <c r="F131"/>
  <c r="F129"/>
  <c r="F127"/>
  <c r="F125"/>
  <c r="F123"/>
  <c r="F119"/>
  <c r="F117"/>
  <c r="F115"/>
  <c r="F113"/>
  <c r="F111"/>
  <c r="F109"/>
  <c r="F107"/>
  <c r="H107" s="1"/>
  <c r="I107" s="1"/>
  <c r="F105"/>
  <c r="H105" s="1"/>
  <c r="I105" s="1"/>
  <c r="F103"/>
  <c r="F101"/>
  <c r="F99"/>
  <c r="F97"/>
  <c r="F95"/>
  <c r="H95" s="1"/>
  <c r="I95" s="1"/>
  <c r="F93"/>
  <c r="F91"/>
  <c r="F89"/>
  <c r="F87"/>
  <c r="H87" s="1"/>
  <c r="I87" s="1"/>
  <c r="F85"/>
  <c r="F83"/>
  <c r="H83" s="1"/>
  <c r="I83" s="1"/>
  <c r="F81"/>
  <c r="F79"/>
  <c r="H79" s="1"/>
  <c r="I79" s="1"/>
  <c r="F77"/>
  <c r="F75"/>
  <c r="F73"/>
  <c r="F71"/>
  <c r="F69"/>
  <c r="F67"/>
  <c r="F65"/>
  <c r="F63"/>
  <c r="H63" s="1"/>
  <c r="I63" s="1"/>
  <c r="F61"/>
  <c r="F59"/>
  <c r="F57"/>
  <c r="H57" s="1"/>
  <c r="I57" s="1"/>
  <c r="F55"/>
  <c r="H55" s="1"/>
  <c r="I55" s="1"/>
  <c r="F53"/>
  <c r="F215"/>
  <c r="F213"/>
  <c r="F198"/>
  <c r="H198" s="1"/>
  <c r="I198" s="1"/>
  <c r="F196"/>
  <c r="F194"/>
  <c r="F192"/>
  <c r="F190"/>
  <c r="F188"/>
  <c r="F186"/>
  <c r="F184"/>
  <c r="F182"/>
  <c r="F180"/>
  <c r="I221" i="84"/>
  <c r="Q285"/>
  <c r="Q299" s="1"/>
  <c r="K285"/>
  <c r="W285" s="1"/>
  <c r="E213" i="81"/>
  <c r="E222" s="1"/>
  <c r="E296" s="1"/>
  <c r="P257" i="72"/>
  <c r="F27" i="73"/>
  <c r="F174"/>
  <c r="F287" s="1"/>
  <c r="K257" i="75"/>
  <c r="S257"/>
  <c r="F24" i="64"/>
  <c r="F33"/>
  <c r="F39" s="1"/>
  <c r="F32" i="81"/>
  <c r="F39" s="1"/>
  <c r="F46" i="64"/>
  <c r="F45" i="81"/>
  <c r="H45" s="1"/>
  <c r="I45" s="1"/>
  <c r="F43"/>
  <c r="H43" s="1"/>
  <c r="R49" i="76"/>
  <c r="R294" s="1"/>
  <c r="F42" i="64"/>
  <c r="P176" i="76"/>
  <c r="W176" s="1"/>
  <c r="F174" i="81"/>
  <c r="H174" s="1"/>
  <c r="I174" s="1"/>
  <c r="F172"/>
  <c r="H172" s="1"/>
  <c r="I172" s="1"/>
  <c r="F170"/>
  <c r="H170" s="1"/>
  <c r="I170" s="1"/>
  <c r="F168"/>
  <c r="H168" s="1"/>
  <c r="I168" s="1"/>
  <c r="F166"/>
  <c r="F164"/>
  <c r="H164" s="1"/>
  <c r="I164" s="1"/>
  <c r="F162"/>
  <c r="H162" s="1"/>
  <c r="I162" s="1"/>
  <c r="F160"/>
  <c r="H160" s="1"/>
  <c r="I160" s="1"/>
  <c r="F158"/>
  <c r="F156"/>
  <c r="H156" s="1"/>
  <c r="I156" s="1"/>
  <c r="F154"/>
  <c r="H154" s="1"/>
  <c r="I154" s="1"/>
  <c r="F152"/>
  <c r="H152" s="1"/>
  <c r="I152" s="1"/>
  <c r="F150"/>
  <c r="H150" s="1"/>
  <c r="I150" s="1"/>
  <c r="F148"/>
  <c r="H148" s="1"/>
  <c r="I148" s="1"/>
  <c r="F146"/>
  <c r="H146" s="1"/>
  <c r="I146" s="1"/>
  <c r="F144"/>
  <c r="H144" s="1"/>
  <c r="I144" s="1"/>
  <c r="F142"/>
  <c r="H142" s="1"/>
  <c r="I142" s="1"/>
  <c r="F140"/>
  <c r="H140" s="1"/>
  <c r="I140" s="1"/>
  <c r="F138"/>
  <c r="H138" s="1"/>
  <c r="I138" s="1"/>
  <c r="F136"/>
  <c r="H136" s="1"/>
  <c r="I136" s="1"/>
  <c r="F134"/>
  <c r="H134" s="1"/>
  <c r="I134" s="1"/>
  <c r="F132"/>
  <c r="H132" s="1"/>
  <c r="I132" s="1"/>
  <c r="F130"/>
  <c r="H130" s="1"/>
  <c r="I130" s="1"/>
  <c r="F128"/>
  <c r="H128" s="1"/>
  <c r="I128" s="1"/>
  <c r="F126"/>
  <c r="H126" s="1"/>
  <c r="I126" s="1"/>
  <c r="F124"/>
  <c r="H124" s="1"/>
  <c r="I124" s="1"/>
  <c r="F122"/>
  <c r="H122" s="1"/>
  <c r="I122" s="1"/>
  <c r="F100"/>
  <c r="F98"/>
  <c r="F96"/>
  <c r="H96" s="1"/>
  <c r="I96" s="1"/>
  <c r="F94"/>
  <c r="F92"/>
  <c r="F90"/>
  <c r="F88"/>
  <c r="F86"/>
  <c r="F84"/>
  <c r="F82"/>
  <c r="F80"/>
  <c r="H80" s="1"/>
  <c r="I80" s="1"/>
  <c r="F78"/>
  <c r="H78" s="1"/>
  <c r="I78" s="1"/>
  <c r="F76"/>
  <c r="H76" s="1"/>
  <c r="I76" s="1"/>
  <c r="F74"/>
  <c r="H74" s="1"/>
  <c r="I74" s="1"/>
  <c r="F72"/>
  <c r="F70"/>
  <c r="F68"/>
  <c r="H68" s="1"/>
  <c r="I68" s="1"/>
  <c r="F66"/>
  <c r="H66" s="1"/>
  <c r="I66" s="1"/>
  <c r="F64"/>
  <c r="H64" s="1"/>
  <c r="I64" s="1"/>
  <c r="F62"/>
  <c r="H62" s="1"/>
  <c r="I62" s="1"/>
  <c r="F60"/>
  <c r="H60" s="1"/>
  <c r="I60" s="1"/>
  <c r="F58"/>
  <c r="H58" s="1"/>
  <c r="I58" s="1"/>
  <c r="F56"/>
  <c r="H56" s="1"/>
  <c r="I56" s="1"/>
  <c r="F54"/>
  <c r="F244"/>
  <c r="V276" i="80"/>
  <c r="W276" s="1"/>
  <c r="F216" i="81"/>
  <c r="F214"/>
  <c r="F210"/>
  <c r="H210" s="1"/>
  <c r="I210" s="1"/>
  <c r="F208"/>
  <c r="F199"/>
  <c r="H199" s="1"/>
  <c r="I199" s="1"/>
  <c r="F197"/>
  <c r="H197" s="1"/>
  <c r="I197" s="1"/>
  <c r="F195"/>
  <c r="H195" s="1"/>
  <c r="I195" s="1"/>
  <c r="F193"/>
  <c r="H193" s="1"/>
  <c r="I193" s="1"/>
  <c r="F191"/>
  <c r="H191" s="1"/>
  <c r="I191" s="1"/>
  <c r="F189"/>
  <c r="H189" s="1"/>
  <c r="I189" s="1"/>
  <c r="F187"/>
  <c r="H187" s="1"/>
  <c r="I187" s="1"/>
  <c r="F185"/>
  <c r="F183"/>
  <c r="H183" s="1"/>
  <c r="I183" s="1"/>
  <c r="F181"/>
  <c r="U206" i="84"/>
  <c r="U210" s="1"/>
  <c r="V209"/>
  <c r="G205" i="81"/>
  <c r="G236"/>
  <c r="G28"/>
  <c r="E28" i="84"/>
  <c r="W28" s="1"/>
  <c r="G36" i="64"/>
  <c r="H36" s="1"/>
  <c r="I36" s="1"/>
  <c r="G34"/>
  <c r="H34" s="1"/>
  <c r="I34" s="1"/>
  <c r="G32"/>
  <c r="H32" s="1"/>
  <c r="I32" s="1"/>
  <c r="F39" i="84"/>
  <c r="M39"/>
  <c r="G48" i="64"/>
  <c r="H48" s="1"/>
  <c r="I48" s="1"/>
  <c r="G46"/>
  <c r="G44"/>
  <c r="H44" s="1"/>
  <c r="I44" s="1"/>
  <c r="G42"/>
  <c r="V176" i="84"/>
  <c r="G173" i="64"/>
  <c r="H173" s="1"/>
  <c r="I173" s="1"/>
  <c r="G172"/>
  <c r="H172" s="1"/>
  <c r="I172" s="1"/>
  <c r="G171"/>
  <c r="H171" s="1"/>
  <c r="I171" s="1"/>
  <c r="G170"/>
  <c r="H170" s="1"/>
  <c r="I170" s="1"/>
  <c r="G169"/>
  <c r="H169" s="1"/>
  <c r="I169" s="1"/>
  <c r="G168"/>
  <c r="H168" s="1"/>
  <c r="I168" s="1"/>
  <c r="G167"/>
  <c r="H167" s="1"/>
  <c r="I167" s="1"/>
  <c r="G166"/>
  <c r="H166" s="1"/>
  <c r="I166" s="1"/>
  <c r="G165"/>
  <c r="H165" s="1"/>
  <c r="I165" s="1"/>
  <c r="G164"/>
  <c r="H164" s="1"/>
  <c r="I164" s="1"/>
  <c r="G163"/>
  <c r="H163" s="1"/>
  <c r="I163" s="1"/>
  <c r="G162"/>
  <c r="H162" s="1"/>
  <c r="I162" s="1"/>
  <c r="G161"/>
  <c r="H161" s="1"/>
  <c r="I161" s="1"/>
  <c r="G160"/>
  <c r="H160" s="1"/>
  <c r="I160" s="1"/>
  <c r="G159"/>
  <c r="H159" s="1"/>
  <c r="I159" s="1"/>
  <c r="G158"/>
  <c r="H158" s="1"/>
  <c r="I158" s="1"/>
  <c r="G157"/>
  <c r="H157" s="1"/>
  <c r="I157" s="1"/>
  <c r="G156"/>
  <c r="H156" s="1"/>
  <c r="I156" s="1"/>
  <c r="G155"/>
  <c r="H155" s="1"/>
  <c r="I155" s="1"/>
  <c r="G154"/>
  <c r="H154" s="1"/>
  <c r="I154" s="1"/>
  <c r="G153"/>
  <c r="H153" s="1"/>
  <c r="I153" s="1"/>
  <c r="G152"/>
  <c r="H152" s="1"/>
  <c r="I152" s="1"/>
  <c r="G151"/>
  <c r="H151" s="1"/>
  <c r="I151" s="1"/>
  <c r="G150"/>
  <c r="H150" s="1"/>
  <c r="I150" s="1"/>
  <c r="G148"/>
  <c r="H148" s="1"/>
  <c r="I148" s="1"/>
  <c r="G146"/>
  <c r="H146" s="1"/>
  <c r="I146" s="1"/>
  <c r="G144"/>
  <c r="H144" s="1"/>
  <c r="I144" s="1"/>
  <c r="G142"/>
  <c r="H142" s="1"/>
  <c r="I142" s="1"/>
  <c r="G140"/>
  <c r="H140" s="1"/>
  <c r="I140" s="1"/>
  <c r="G138"/>
  <c r="H138" s="1"/>
  <c r="I138" s="1"/>
  <c r="G136"/>
  <c r="H136" s="1"/>
  <c r="I136" s="1"/>
  <c r="G134"/>
  <c r="H134" s="1"/>
  <c r="I134" s="1"/>
  <c r="G132"/>
  <c r="H132" s="1"/>
  <c r="I132" s="1"/>
  <c r="G130"/>
  <c r="H130" s="1"/>
  <c r="I130" s="1"/>
  <c r="G128"/>
  <c r="H128" s="1"/>
  <c r="I128" s="1"/>
  <c r="G126"/>
  <c r="H126" s="1"/>
  <c r="I126" s="1"/>
  <c r="G124"/>
  <c r="H124" s="1"/>
  <c r="I124" s="1"/>
  <c r="G122"/>
  <c r="H122" s="1"/>
  <c r="I122" s="1"/>
  <c r="G120"/>
  <c r="H120" s="1"/>
  <c r="I120" s="1"/>
  <c r="G118"/>
  <c r="H118" s="1"/>
  <c r="I118" s="1"/>
  <c r="G198"/>
  <c r="H198" s="1"/>
  <c r="I198" s="1"/>
  <c r="G197"/>
  <c r="H197" s="1"/>
  <c r="I197" s="1"/>
  <c r="G196"/>
  <c r="H196" s="1"/>
  <c r="I196" s="1"/>
  <c r="G195"/>
  <c r="H195" s="1"/>
  <c r="I195" s="1"/>
  <c r="G194"/>
  <c r="H194" s="1"/>
  <c r="I194" s="1"/>
  <c r="G193"/>
  <c r="H193" s="1"/>
  <c r="I193" s="1"/>
  <c r="G192"/>
  <c r="H192" s="1"/>
  <c r="I192" s="1"/>
  <c r="G191"/>
  <c r="H191" s="1"/>
  <c r="I191" s="1"/>
  <c r="G190"/>
  <c r="H190" s="1"/>
  <c r="I190" s="1"/>
  <c r="G189"/>
  <c r="H189" s="1"/>
  <c r="I189" s="1"/>
  <c r="G188"/>
  <c r="H188" s="1"/>
  <c r="I188" s="1"/>
  <c r="G187"/>
  <c r="H187" s="1"/>
  <c r="I187" s="1"/>
  <c r="G186"/>
  <c r="H186" s="1"/>
  <c r="I186" s="1"/>
  <c r="G185"/>
  <c r="H185" s="1"/>
  <c r="I185" s="1"/>
  <c r="G184"/>
  <c r="H184" s="1"/>
  <c r="I184" s="1"/>
  <c r="G183"/>
  <c r="H183" s="1"/>
  <c r="I183" s="1"/>
  <c r="G182"/>
  <c r="H182" s="1"/>
  <c r="I182" s="1"/>
  <c r="G181"/>
  <c r="H181" s="1"/>
  <c r="I181" s="1"/>
  <c r="G180"/>
  <c r="H180" s="1"/>
  <c r="I180" s="1"/>
  <c r="G179"/>
  <c r="G204" s="1"/>
  <c r="H204" s="1"/>
  <c r="I204" s="1"/>
  <c r="G209"/>
  <c r="H209" s="1"/>
  <c r="I209" s="1"/>
  <c r="G207"/>
  <c r="G210" s="1"/>
  <c r="H210" i="84"/>
  <c r="G234" i="64"/>
  <c r="H234" s="1"/>
  <c r="I234" s="1"/>
  <c r="G232"/>
  <c r="G235" s="1"/>
  <c r="G241"/>
  <c r="H241" s="1"/>
  <c r="I241" s="1"/>
  <c r="G248"/>
  <c r="G249" s="1"/>
  <c r="I230" i="78"/>
  <c r="H235"/>
  <c r="I235"/>
  <c r="H262"/>
  <c r="I251"/>
  <c r="I262" s="1"/>
  <c r="H242"/>
  <c r="I239"/>
  <c r="I242" s="1"/>
  <c r="F28"/>
  <c r="H26"/>
  <c r="D288" i="73"/>
  <c r="D287"/>
  <c r="F250" i="81"/>
  <c r="H248"/>
  <c r="H219" i="73"/>
  <c r="I210"/>
  <c r="I219" s="1"/>
  <c r="I23"/>
  <c r="H27"/>
  <c r="H270"/>
  <c r="I268"/>
  <c r="I270" s="1"/>
  <c r="I175" i="7"/>
  <c r="I179" s="1"/>
  <c r="H179"/>
  <c r="H147"/>
  <c r="I147" s="1"/>
  <c r="I135"/>
  <c r="I47" i="73"/>
  <c r="I27"/>
  <c r="F21" i="78"/>
  <c r="F262" i="64"/>
  <c r="I275" i="78"/>
  <c r="I276" s="1"/>
  <c r="H276"/>
  <c r="W280" i="80"/>
  <c r="D294"/>
  <c r="H245" i="81"/>
  <c r="F246"/>
  <c r="H239" i="64"/>
  <c r="F242"/>
  <c r="F249"/>
  <c r="H248"/>
  <c r="I11" i="73"/>
  <c r="I20" s="1"/>
  <c r="H20"/>
  <c r="I204"/>
  <c r="I208" s="1"/>
  <c r="H208"/>
  <c r="I158" i="7"/>
  <c r="I163" s="1"/>
  <c r="H163"/>
  <c r="E249" i="80"/>
  <c r="W249" s="1"/>
  <c r="E180" i="7"/>
  <c r="E181" s="1"/>
  <c r="S107" i="80"/>
  <c r="S107" i="77"/>
  <c r="Q107" i="80"/>
  <c r="Q107" i="77"/>
  <c r="O107" i="80"/>
  <c r="O107" i="77"/>
  <c r="M107" i="80"/>
  <c r="M107" i="77"/>
  <c r="K107" i="80"/>
  <c r="K107" i="77"/>
  <c r="I107" i="80"/>
  <c r="I107" i="77"/>
  <c r="G107" i="80"/>
  <c r="G107" i="77"/>
  <c r="V106" i="80"/>
  <c r="U106" i="77"/>
  <c r="S106" i="80"/>
  <c r="S106" i="77"/>
  <c r="Q106" i="80"/>
  <c r="Q106" i="77"/>
  <c r="O106" i="80"/>
  <c r="O106" i="77"/>
  <c r="M106" i="80"/>
  <c r="M106" i="77"/>
  <c r="K106" i="80"/>
  <c r="K106" i="77"/>
  <c r="I106" i="80"/>
  <c r="I106" i="77"/>
  <c r="G106" i="80"/>
  <c r="G106" i="77"/>
  <c r="V105" i="80"/>
  <c r="U105" i="77"/>
  <c r="S105" i="80"/>
  <c r="S105" i="77"/>
  <c r="Q105" i="80"/>
  <c r="Q105" i="77"/>
  <c r="O105" i="80"/>
  <c r="O105" i="77"/>
  <c r="M105" i="80"/>
  <c r="M105" i="77"/>
  <c r="K105" i="80"/>
  <c r="K105" i="77"/>
  <c r="I105" i="80"/>
  <c r="I105" i="77"/>
  <c r="G105" i="80"/>
  <c r="G105" i="77"/>
  <c r="V104" i="80"/>
  <c r="U104" i="77"/>
  <c r="S104" i="80"/>
  <c r="S104" i="77"/>
  <c r="Q104" i="80"/>
  <c r="Q104" i="77"/>
  <c r="O104" i="80"/>
  <c r="O104" i="77"/>
  <c r="M104" i="80"/>
  <c r="M104" i="77"/>
  <c r="K104" i="80"/>
  <c r="K104" i="77"/>
  <c r="I104" i="80"/>
  <c r="I104" i="77"/>
  <c r="G104" i="80"/>
  <c r="G104" i="77"/>
  <c r="V103" i="80"/>
  <c r="U103" i="77"/>
  <c r="S103" i="80"/>
  <c r="S103" i="77"/>
  <c r="Q103" i="80"/>
  <c r="Q103" i="77"/>
  <c r="O103" i="80"/>
  <c r="O103" i="77"/>
  <c r="M103" i="80"/>
  <c r="M103" i="77"/>
  <c r="K103" i="80"/>
  <c r="K103" i="77"/>
  <c r="I103" i="80"/>
  <c r="I103" i="77"/>
  <c r="V102" i="80"/>
  <c r="U102" i="77"/>
  <c r="S102" i="80"/>
  <c r="S102" i="77"/>
  <c r="Q102" i="80"/>
  <c r="Q102" i="77"/>
  <c r="O102" i="80"/>
  <c r="O102" i="77"/>
  <c r="M102" i="80"/>
  <c r="M102" i="77"/>
  <c r="K102" i="80"/>
  <c r="K102" i="77"/>
  <c r="I102" i="80"/>
  <c r="I102" i="77"/>
  <c r="G102" i="80"/>
  <c r="G102" i="77"/>
  <c r="V101" i="80"/>
  <c r="U101" i="77"/>
  <c r="S101" i="80"/>
  <c r="S101" i="77"/>
  <c r="Q101" i="80"/>
  <c r="Q101" i="77"/>
  <c r="O101" i="80"/>
  <c r="O101" i="77"/>
  <c r="M101" i="80"/>
  <c r="M101" i="77"/>
  <c r="K101" i="80"/>
  <c r="K101" i="77"/>
  <c r="I101" i="80"/>
  <c r="I101" i="77"/>
  <c r="G101" i="80"/>
  <c r="G101" i="77"/>
  <c r="V100" i="80"/>
  <c r="U100" i="77"/>
  <c r="S100" i="80"/>
  <c r="S100" i="77"/>
  <c r="Q100" i="80"/>
  <c r="Q100" i="77"/>
  <c r="O100" i="80"/>
  <c r="O100" i="77"/>
  <c r="M100" i="80"/>
  <c r="M100" i="77"/>
  <c r="K100" i="80"/>
  <c r="K100" i="77"/>
  <c r="I100" i="80"/>
  <c r="I100" i="77"/>
  <c r="G100" i="80"/>
  <c r="G100" i="77"/>
  <c r="V99" i="80"/>
  <c r="U99" i="77"/>
  <c r="S99" i="80"/>
  <c r="S99" i="77"/>
  <c r="Q99" i="80"/>
  <c r="Q99" i="77"/>
  <c r="O99" i="80"/>
  <c r="O99" i="77"/>
  <c r="M99" i="80"/>
  <c r="M99" i="77"/>
  <c r="K99" i="80"/>
  <c r="K99" i="77"/>
  <c r="I99" i="80"/>
  <c r="I99" i="77"/>
  <c r="V98" i="80"/>
  <c r="U98" i="77"/>
  <c r="S98" i="80"/>
  <c r="S98" i="77"/>
  <c r="Q98" i="80"/>
  <c r="Q98" i="77"/>
  <c r="O98" i="80"/>
  <c r="O98" i="77"/>
  <c r="M98" i="80"/>
  <c r="M98" i="77"/>
  <c r="K98" i="80"/>
  <c r="K98" i="77"/>
  <c r="I98" i="80"/>
  <c r="I98" i="77"/>
  <c r="G98" i="80"/>
  <c r="G98" i="77"/>
  <c r="V97" i="80"/>
  <c r="U97" i="77"/>
  <c r="S97" i="80"/>
  <c r="S97" i="77"/>
  <c r="Q97" i="80"/>
  <c r="Q97" i="77"/>
  <c r="O97" i="80"/>
  <c r="O97" i="77"/>
  <c r="M97" i="80"/>
  <c r="M97" i="77"/>
  <c r="K97" i="80"/>
  <c r="K97" i="77"/>
  <c r="I97" i="80"/>
  <c r="I97" i="77"/>
  <c r="G97" i="80"/>
  <c r="G97" i="77"/>
  <c r="V96" i="80"/>
  <c r="U96" i="77"/>
  <c r="S96" i="80"/>
  <c r="S96" i="77"/>
  <c r="Q96" i="80"/>
  <c r="Q96" i="77"/>
  <c r="O96" i="80"/>
  <c r="O96" i="77"/>
  <c r="M96" i="80"/>
  <c r="M96" i="77"/>
  <c r="K96" i="80"/>
  <c r="K96" i="77"/>
  <c r="I96" i="80"/>
  <c r="I96" i="77"/>
  <c r="G96" i="80"/>
  <c r="G96" i="77"/>
  <c r="V95" i="80"/>
  <c r="U95" i="77"/>
  <c r="S95" i="80"/>
  <c r="S95" i="77"/>
  <c r="Q95" i="80"/>
  <c r="Q95" i="77"/>
  <c r="O95" i="80"/>
  <c r="O95" i="77"/>
  <c r="M95" i="80"/>
  <c r="M95" i="77"/>
  <c r="K95" i="80"/>
  <c r="K95" i="77"/>
  <c r="I95" i="80"/>
  <c r="I95" i="77"/>
  <c r="G95" i="80"/>
  <c r="G95" i="77"/>
  <c r="V94" i="80"/>
  <c r="U94" i="77"/>
  <c r="S94" i="80"/>
  <c r="S94" i="77"/>
  <c r="Q94" i="80"/>
  <c r="Q94" i="77"/>
  <c r="O94" i="80"/>
  <c r="O94" i="77"/>
  <c r="M94" i="80"/>
  <c r="M94" i="77"/>
  <c r="K94" i="80"/>
  <c r="K94" i="77"/>
  <c r="I94" i="80"/>
  <c r="I94" i="77"/>
  <c r="G94" i="80"/>
  <c r="G94" i="77"/>
  <c r="V93" i="80"/>
  <c r="U93" i="77"/>
  <c r="S93" i="80"/>
  <c r="S93" i="77"/>
  <c r="Q93" i="80"/>
  <c r="Q93" i="77"/>
  <c r="H253" i="80"/>
  <c r="E227"/>
  <c r="U39"/>
  <c r="R39"/>
  <c r="U107"/>
  <c r="T107" i="77"/>
  <c r="R107" i="80"/>
  <c r="R107" i="77"/>
  <c r="P107" i="80"/>
  <c r="P107" i="77"/>
  <c r="N107" i="80"/>
  <c r="N107" i="77"/>
  <c r="L107" i="80"/>
  <c r="L107" i="77"/>
  <c r="J107" i="80"/>
  <c r="J107" i="77"/>
  <c r="H107" i="80"/>
  <c r="H107" i="77"/>
  <c r="F107" i="80"/>
  <c r="F107" i="77"/>
  <c r="F107" i="78" s="1"/>
  <c r="H107" s="1"/>
  <c r="I107" s="1"/>
  <c r="U106" i="80"/>
  <c r="T106" i="77"/>
  <c r="R106" i="80"/>
  <c r="R106" i="77"/>
  <c r="P106" i="80"/>
  <c r="P106" i="77"/>
  <c r="N106" i="80"/>
  <c r="N106" i="77"/>
  <c r="L106" i="80"/>
  <c r="L106" i="77"/>
  <c r="J106" i="80"/>
  <c r="J106" i="77"/>
  <c r="H106" i="80"/>
  <c r="H106" i="77"/>
  <c r="F106" i="80"/>
  <c r="F106" i="77"/>
  <c r="F106" i="78" s="1"/>
  <c r="H106" s="1"/>
  <c r="I106" s="1"/>
  <c r="U105" i="80"/>
  <c r="T105" i="77"/>
  <c r="R105" i="80"/>
  <c r="R105" i="77"/>
  <c r="P105" i="80"/>
  <c r="P105" i="77"/>
  <c r="N105" i="80"/>
  <c r="N105" i="77"/>
  <c r="L105" i="80"/>
  <c r="L105" i="77"/>
  <c r="J105" i="80"/>
  <c r="J105" i="77"/>
  <c r="H105" i="80"/>
  <c r="H105" i="77"/>
  <c r="F105" i="80"/>
  <c r="F105" i="77"/>
  <c r="F105" i="78" s="1"/>
  <c r="H105" s="1"/>
  <c r="I105" s="1"/>
  <c r="U104" i="80"/>
  <c r="T104" i="77"/>
  <c r="R104" i="80"/>
  <c r="R104" i="77"/>
  <c r="P104" i="80"/>
  <c r="P104" i="77"/>
  <c r="N104" i="80"/>
  <c r="N104" i="77"/>
  <c r="L104" i="80"/>
  <c r="L104" i="77"/>
  <c r="J104" i="80"/>
  <c r="J104" i="77"/>
  <c r="H104" i="80"/>
  <c r="H104" i="77"/>
  <c r="F104" i="80"/>
  <c r="F104" i="77"/>
  <c r="F104" i="78" s="1"/>
  <c r="H104" s="1"/>
  <c r="I104" s="1"/>
  <c r="U103" i="80"/>
  <c r="T103" i="77"/>
  <c r="R103" i="80"/>
  <c r="R103" i="77"/>
  <c r="P103" i="80"/>
  <c r="P103" i="77"/>
  <c r="N103" i="80"/>
  <c r="N103" i="77"/>
  <c r="L103" i="80"/>
  <c r="L103" i="77"/>
  <c r="J103" i="80"/>
  <c r="J103" i="77"/>
  <c r="H103" i="80"/>
  <c r="H103" i="77"/>
  <c r="F103" i="80"/>
  <c r="F103" i="77"/>
  <c r="F103" i="78" s="1"/>
  <c r="H103" s="1"/>
  <c r="I103" s="1"/>
  <c r="U102" i="80"/>
  <c r="T102" i="77"/>
  <c r="R102" i="80"/>
  <c r="R102" i="77"/>
  <c r="P102" i="80"/>
  <c r="P102" i="77"/>
  <c r="N102" i="80"/>
  <c r="N102" i="77"/>
  <c r="L102" i="80"/>
  <c r="L102" i="77"/>
  <c r="J102" i="80"/>
  <c r="J102" i="77"/>
  <c r="H102" i="80"/>
  <c r="H102" i="77"/>
  <c r="F102" i="80"/>
  <c r="F102" i="77"/>
  <c r="F102" i="78" s="1"/>
  <c r="H102" s="1"/>
  <c r="I102" s="1"/>
  <c r="U101" i="80"/>
  <c r="T101" i="77"/>
  <c r="R101" i="80"/>
  <c r="R101" i="77"/>
  <c r="P101" i="80"/>
  <c r="P101" i="77"/>
  <c r="N101" i="80"/>
  <c r="N101" i="77"/>
  <c r="L101" i="80"/>
  <c r="L101" i="77"/>
  <c r="J101" i="80"/>
  <c r="J101" i="77"/>
  <c r="H101" i="80"/>
  <c r="H101" i="77"/>
  <c r="F101" i="80"/>
  <c r="F101" i="77"/>
  <c r="F101" i="78" s="1"/>
  <c r="H101" s="1"/>
  <c r="I101" s="1"/>
  <c r="U100" i="80"/>
  <c r="T100" i="77"/>
  <c r="R100" i="80"/>
  <c r="R100" i="77"/>
  <c r="P100" i="80"/>
  <c r="P100" i="77"/>
  <c r="N100" i="80"/>
  <c r="N100" i="77"/>
  <c r="L100" i="80"/>
  <c r="L100" i="77"/>
  <c r="J100" i="80"/>
  <c r="J100" i="77"/>
  <c r="H100" i="80"/>
  <c r="H100" i="77"/>
  <c r="F100" i="80"/>
  <c r="F100" i="77"/>
  <c r="F100" i="78" s="1"/>
  <c r="H100" s="1"/>
  <c r="I100" s="1"/>
  <c r="U99" i="80"/>
  <c r="T99" i="77"/>
  <c r="R99" i="80"/>
  <c r="R99" i="77"/>
  <c r="P99" i="80"/>
  <c r="P99" i="77"/>
  <c r="N99" i="80"/>
  <c r="N99" i="77"/>
  <c r="L99" i="80"/>
  <c r="L99" i="77"/>
  <c r="J99" i="80"/>
  <c r="J99" i="77"/>
  <c r="W210" i="82"/>
  <c r="W257" i="69"/>
  <c r="E249" i="77"/>
  <c r="E293" i="70"/>
  <c r="W293" s="1"/>
  <c r="Q294"/>
  <c r="W294" s="1"/>
  <c r="M293" i="76"/>
  <c r="I293"/>
  <c r="E262"/>
  <c r="Q288" i="72"/>
  <c r="L289" i="69"/>
  <c r="H289"/>
  <c r="R294" i="66"/>
  <c r="I289" i="68"/>
  <c r="L289"/>
  <c r="P289"/>
  <c r="U289"/>
  <c r="Q288" i="69"/>
  <c r="I288"/>
  <c r="H20" i="7"/>
  <c r="D179"/>
  <c r="H49"/>
  <c r="D147"/>
  <c r="D180" s="1"/>
  <c r="D181" s="1"/>
  <c r="H165"/>
  <c r="H119"/>
  <c r="I119" s="1"/>
  <c r="I39" i="66"/>
  <c r="G50"/>
  <c r="K50"/>
  <c r="Q50"/>
  <c r="V50"/>
  <c r="L177"/>
  <c r="L294" s="1"/>
  <c r="P177"/>
  <c r="P295" s="1"/>
  <c r="U177"/>
  <c r="U294" s="1"/>
  <c r="K37" i="77"/>
  <c r="G37"/>
  <c r="V39" i="66"/>
  <c r="N36" i="77"/>
  <c r="K35"/>
  <c r="K39" s="1"/>
  <c r="G35"/>
  <c r="G39" s="1"/>
  <c r="N34"/>
  <c r="N33"/>
  <c r="M33"/>
  <c r="F33" i="78" s="1"/>
  <c r="H33" s="1"/>
  <c r="I33" s="1"/>
  <c r="I33" i="77"/>
  <c r="N31"/>
  <c r="M31"/>
  <c r="I31"/>
  <c r="V39" i="80"/>
  <c r="S39"/>
  <c r="Q39"/>
  <c r="H30" i="77"/>
  <c r="U48"/>
  <c r="Q48"/>
  <c r="M48"/>
  <c r="I48"/>
  <c r="U47"/>
  <c r="Q47"/>
  <c r="M47"/>
  <c r="I47"/>
  <c r="U46"/>
  <c r="Q46"/>
  <c r="M46"/>
  <c r="I46"/>
  <c r="U45"/>
  <c r="Q45"/>
  <c r="M45"/>
  <c r="I45"/>
  <c r="U44"/>
  <c r="Q44"/>
  <c r="M44"/>
  <c r="I44"/>
  <c r="U43"/>
  <c r="Q43"/>
  <c r="M43"/>
  <c r="I43"/>
  <c r="U42"/>
  <c r="Q42"/>
  <c r="M42"/>
  <c r="M49" s="1"/>
  <c r="I42"/>
  <c r="U41"/>
  <c r="U49" s="1"/>
  <c r="Q41"/>
  <c r="Q49" s="1"/>
  <c r="K41"/>
  <c r="K49" s="1"/>
  <c r="G41"/>
  <c r="D167" i="81"/>
  <c r="H167" s="1"/>
  <c r="I167" s="1"/>
  <c r="D165"/>
  <c r="H165" s="1"/>
  <c r="I165" s="1"/>
  <c r="D151"/>
  <c r="H151" s="1"/>
  <c r="I151" s="1"/>
  <c r="D149"/>
  <c r="H149" s="1"/>
  <c r="I149" s="1"/>
  <c r="D147"/>
  <c r="H147" s="1"/>
  <c r="I147" s="1"/>
  <c r="D145"/>
  <c r="H145" s="1"/>
  <c r="I145" s="1"/>
  <c r="D143"/>
  <c r="H143" s="1"/>
  <c r="I143" s="1"/>
  <c r="D141"/>
  <c r="H141" s="1"/>
  <c r="I141" s="1"/>
  <c r="D139"/>
  <c r="H139" s="1"/>
  <c r="I139" s="1"/>
  <c r="D137"/>
  <c r="H137" s="1"/>
  <c r="I137" s="1"/>
  <c r="D135"/>
  <c r="H135" s="1"/>
  <c r="I135" s="1"/>
  <c r="D133"/>
  <c r="H133" s="1"/>
  <c r="I133" s="1"/>
  <c r="D131"/>
  <c r="H131" s="1"/>
  <c r="I131" s="1"/>
  <c r="D129"/>
  <c r="H129" s="1"/>
  <c r="I129" s="1"/>
  <c r="D127"/>
  <c r="H127" s="1"/>
  <c r="I127" s="1"/>
  <c r="D125"/>
  <c r="H125" s="1"/>
  <c r="I125" s="1"/>
  <c r="D123"/>
  <c r="H123" s="1"/>
  <c r="I123" s="1"/>
  <c r="D121"/>
  <c r="D61"/>
  <c r="H61" s="1"/>
  <c r="I61" s="1"/>
  <c r="D59"/>
  <c r="H59" s="1"/>
  <c r="I59" s="1"/>
  <c r="D53"/>
  <c r="U170" i="77"/>
  <c r="T170"/>
  <c r="S170"/>
  <c r="R170"/>
  <c r="Q170"/>
  <c r="P170"/>
  <c r="O170"/>
  <c r="N170"/>
  <c r="M170"/>
  <c r="L170"/>
  <c r="K170"/>
  <c r="J170"/>
  <c r="I170"/>
  <c r="H170"/>
  <c r="F170"/>
  <c r="U169"/>
  <c r="T169"/>
  <c r="S169"/>
  <c r="R169"/>
  <c r="Q169"/>
  <c r="P169"/>
  <c r="O169"/>
  <c r="N169"/>
  <c r="M169"/>
  <c r="L169"/>
  <c r="K169"/>
  <c r="J169"/>
  <c r="I169"/>
  <c r="H169"/>
  <c r="G169"/>
  <c r="F169"/>
  <c r="U168"/>
  <c r="T168"/>
  <c r="S168"/>
  <c r="R168"/>
  <c r="Q168"/>
  <c r="P168"/>
  <c r="O168"/>
  <c r="N168"/>
  <c r="M168"/>
  <c r="L168"/>
  <c r="K168"/>
  <c r="J168"/>
  <c r="I168"/>
  <c r="H168"/>
  <c r="G168"/>
  <c r="F168"/>
  <c r="U167"/>
  <c r="T167"/>
  <c r="S167"/>
  <c r="R167"/>
  <c r="Q167"/>
  <c r="P167"/>
  <c r="O167"/>
  <c r="N167"/>
  <c r="M167"/>
  <c r="L167"/>
  <c r="K167"/>
  <c r="J167"/>
  <c r="I167"/>
  <c r="H167"/>
  <c r="G167"/>
  <c r="F167"/>
  <c r="U166"/>
  <c r="T166"/>
  <c r="S166"/>
  <c r="R166"/>
  <c r="Q166"/>
  <c r="P166"/>
  <c r="O166"/>
  <c r="N166"/>
  <c r="M166"/>
  <c r="L166"/>
  <c r="K166"/>
  <c r="J166"/>
  <c r="I166"/>
  <c r="H166"/>
  <c r="F166"/>
  <c r="F166" i="78" s="1"/>
  <c r="H166" s="1"/>
  <c r="I166" s="1"/>
  <c r="U165" i="77"/>
  <c r="T165"/>
  <c r="S165"/>
  <c r="R165"/>
  <c r="Q165"/>
  <c r="P165"/>
  <c r="O165"/>
  <c r="N165"/>
  <c r="M165"/>
  <c r="L165"/>
  <c r="K165"/>
  <c r="J165"/>
  <c r="I165"/>
  <c r="H165"/>
  <c r="G165"/>
  <c r="F165"/>
  <c r="F165" i="78" s="1"/>
  <c r="H165" s="1"/>
  <c r="I165" s="1"/>
  <c r="U164" i="77"/>
  <c r="T164"/>
  <c r="S164"/>
  <c r="R164"/>
  <c r="Q164"/>
  <c r="P164"/>
  <c r="O164"/>
  <c r="N164"/>
  <c r="M164"/>
  <c r="L164"/>
  <c r="K164"/>
  <c r="J164"/>
  <c r="I164"/>
  <c r="H164"/>
  <c r="G164"/>
  <c r="F164"/>
  <c r="F164" i="78" s="1"/>
  <c r="H164" s="1"/>
  <c r="I164" s="1"/>
  <c r="U163" i="77"/>
  <c r="T163"/>
  <c r="S163"/>
  <c r="R163"/>
  <c r="Q163"/>
  <c r="P163"/>
  <c r="O163"/>
  <c r="N163"/>
  <c r="M163"/>
  <c r="L163"/>
  <c r="K163"/>
  <c r="J163"/>
  <c r="I163"/>
  <c r="H163"/>
  <c r="G163"/>
  <c r="F163"/>
  <c r="F163" i="78" s="1"/>
  <c r="H163" s="1"/>
  <c r="I163" s="1"/>
  <c r="U162" i="77"/>
  <c r="T162"/>
  <c r="S162"/>
  <c r="R162"/>
  <c r="Q162"/>
  <c r="P162"/>
  <c r="O162"/>
  <c r="N162"/>
  <c r="M162"/>
  <c r="L162"/>
  <c r="K162"/>
  <c r="J162"/>
  <c r="I162"/>
  <c r="H162"/>
  <c r="G162"/>
  <c r="F162"/>
  <c r="F162" i="78" s="1"/>
  <c r="H162" s="1"/>
  <c r="I162" s="1"/>
  <c r="U161" i="77"/>
  <c r="T161"/>
  <c r="S161"/>
  <c r="R161"/>
  <c r="Q161"/>
  <c r="P161"/>
  <c r="O161"/>
  <c r="N161"/>
  <c r="M161"/>
  <c r="L161"/>
  <c r="K161"/>
  <c r="J161"/>
  <c r="I161"/>
  <c r="H161"/>
  <c r="G161"/>
  <c r="F161"/>
  <c r="F161" i="78" s="1"/>
  <c r="H161" s="1"/>
  <c r="I161" s="1"/>
  <c r="U160" i="77"/>
  <c r="T160"/>
  <c r="S160"/>
  <c r="R160"/>
  <c r="Q160"/>
  <c r="P160"/>
  <c r="O160"/>
  <c r="N160"/>
  <c r="M160"/>
  <c r="L160"/>
  <c r="K160"/>
  <c r="J160"/>
  <c r="I160"/>
  <c r="H160"/>
  <c r="G160"/>
  <c r="F160"/>
  <c r="F160" i="78" s="1"/>
  <c r="H160" s="1"/>
  <c r="I160" s="1"/>
  <c r="U159" i="77"/>
  <c r="T159"/>
  <c r="S159"/>
  <c r="R159"/>
  <c r="Q159"/>
  <c r="P159"/>
  <c r="O159"/>
  <c r="N159"/>
  <c r="M159"/>
  <c r="L159"/>
  <c r="K159"/>
  <c r="J159"/>
  <c r="I159"/>
  <c r="H159"/>
  <c r="G159"/>
  <c r="F159"/>
  <c r="F159" i="78" s="1"/>
  <c r="H159" s="1"/>
  <c r="I159" s="1"/>
  <c r="U158" i="77"/>
  <c r="T158"/>
  <c r="S158"/>
  <c r="R158"/>
  <c r="Q158"/>
  <c r="P158"/>
  <c r="O158"/>
  <c r="N158"/>
  <c r="M158"/>
  <c r="L158"/>
  <c r="K158"/>
  <c r="J158"/>
  <c r="I158"/>
  <c r="H158"/>
  <c r="G158"/>
  <c r="F158"/>
  <c r="F158" i="78" s="1"/>
  <c r="H158" s="1"/>
  <c r="I158" s="1"/>
  <c r="U157" i="77"/>
  <c r="T157"/>
  <c r="S157"/>
  <c r="R157"/>
  <c r="Q157"/>
  <c r="P157"/>
  <c r="O157"/>
  <c r="N157"/>
  <c r="M157"/>
  <c r="L157"/>
  <c r="K157"/>
  <c r="J157"/>
  <c r="I157"/>
  <c r="H157"/>
  <c r="G157"/>
  <c r="F157"/>
  <c r="F157" i="78" s="1"/>
  <c r="H157" s="1"/>
  <c r="I157" s="1"/>
  <c r="U156" i="77"/>
  <c r="T156"/>
  <c r="S156"/>
  <c r="R156"/>
  <c r="Q156"/>
  <c r="P156"/>
  <c r="O156"/>
  <c r="N156"/>
  <c r="M156"/>
  <c r="L156"/>
  <c r="K156"/>
  <c r="J156"/>
  <c r="I156"/>
  <c r="H156"/>
  <c r="G156"/>
  <c r="F156"/>
  <c r="F156" i="78" s="1"/>
  <c r="H156" s="1"/>
  <c r="I156" s="1"/>
  <c r="U155" i="77"/>
  <c r="T155"/>
  <c r="S155"/>
  <c r="R155"/>
  <c r="Q155"/>
  <c r="P155"/>
  <c r="O155"/>
  <c r="N155"/>
  <c r="M155"/>
  <c r="L155"/>
  <c r="K155"/>
  <c r="J155"/>
  <c r="I155"/>
  <c r="H155"/>
  <c r="G155"/>
  <c r="F155"/>
  <c r="F155" i="78" s="1"/>
  <c r="H155" s="1"/>
  <c r="I155" s="1"/>
  <c r="U154" i="77"/>
  <c r="T154"/>
  <c r="S154"/>
  <c r="R154"/>
  <c r="Q154"/>
  <c r="P154"/>
  <c r="O154"/>
  <c r="N154"/>
  <c r="M154"/>
  <c r="L154"/>
  <c r="K154"/>
  <c r="J154"/>
  <c r="I154"/>
  <c r="H154"/>
  <c r="G154"/>
  <c r="F154"/>
  <c r="F154" i="78" s="1"/>
  <c r="H154" s="1"/>
  <c r="I154" s="1"/>
  <c r="U153" i="77"/>
  <c r="T153"/>
  <c r="S153"/>
  <c r="R153"/>
  <c r="Q153"/>
  <c r="P153"/>
  <c r="O153"/>
  <c r="N153"/>
  <c r="M153"/>
  <c r="L153"/>
  <c r="K153"/>
  <c r="J153"/>
  <c r="I153"/>
  <c r="H153"/>
  <c r="G153"/>
  <c r="F153"/>
  <c r="F153" i="78" s="1"/>
  <c r="H153" s="1"/>
  <c r="I153" s="1"/>
  <c r="U152" i="77"/>
  <c r="T152"/>
  <c r="S152"/>
  <c r="R152"/>
  <c r="Q152"/>
  <c r="P152"/>
  <c r="O152"/>
  <c r="N152"/>
  <c r="M152"/>
  <c r="L152"/>
  <c r="K152"/>
  <c r="J152"/>
  <c r="I152"/>
  <c r="H152"/>
  <c r="G152"/>
  <c r="F152"/>
  <c r="F152" i="78" s="1"/>
  <c r="H152" s="1"/>
  <c r="I152" s="1"/>
  <c r="U151" i="77"/>
  <c r="T151"/>
  <c r="S151"/>
  <c r="R151"/>
  <c r="Q151"/>
  <c r="P151"/>
  <c r="O151"/>
  <c r="N151"/>
  <c r="M151"/>
  <c r="L151"/>
  <c r="K151"/>
  <c r="J151"/>
  <c r="I151"/>
  <c r="H151"/>
  <c r="G151"/>
  <c r="F151"/>
  <c r="F151" i="78" s="1"/>
  <c r="H151" s="1"/>
  <c r="I151" s="1"/>
  <c r="U150" i="77"/>
  <c r="T150"/>
  <c r="S150"/>
  <c r="R150"/>
  <c r="Q150"/>
  <c r="P150"/>
  <c r="O150"/>
  <c r="N150"/>
  <c r="M150"/>
  <c r="L150"/>
  <c r="K150"/>
  <c r="J150"/>
  <c r="I150"/>
  <c r="H150"/>
  <c r="F150"/>
  <c r="U149"/>
  <c r="T149"/>
  <c r="S149"/>
  <c r="R149"/>
  <c r="Q149"/>
  <c r="P149"/>
  <c r="O149"/>
  <c r="N149"/>
  <c r="M149"/>
  <c r="L149"/>
  <c r="K149"/>
  <c r="J149"/>
  <c r="I149"/>
  <c r="H149"/>
  <c r="G149"/>
  <c r="F149"/>
  <c r="U148"/>
  <c r="T148"/>
  <c r="S148"/>
  <c r="R148"/>
  <c r="Q148"/>
  <c r="P148"/>
  <c r="O148"/>
  <c r="N148"/>
  <c r="M148"/>
  <c r="L148"/>
  <c r="K148"/>
  <c r="J148"/>
  <c r="I148"/>
  <c r="H148"/>
  <c r="G148"/>
  <c r="F148"/>
  <c r="U147"/>
  <c r="T147"/>
  <c r="S147"/>
  <c r="R147"/>
  <c r="Q147"/>
  <c r="P147"/>
  <c r="O147"/>
  <c r="N147"/>
  <c r="M147"/>
  <c r="L147"/>
  <c r="K147"/>
  <c r="J147"/>
  <c r="I147"/>
  <c r="H147"/>
  <c r="G147"/>
  <c r="F147"/>
  <c r="U146"/>
  <c r="T146"/>
  <c r="S146"/>
  <c r="R146"/>
  <c r="Q146"/>
  <c r="P146"/>
  <c r="O146"/>
  <c r="N146"/>
  <c r="M146"/>
  <c r="L146"/>
  <c r="K146"/>
  <c r="J146"/>
  <c r="I146"/>
  <c r="H146"/>
  <c r="F146"/>
  <c r="F146" i="78" s="1"/>
  <c r="H146" s="1"/>
  <c r="I146" s="1"/>
  <c r="U145" i="77"/>
  <c r="T145"/>
  <c r="S145"/>
  <c r="R145"/>
  <c r="Q145"/>
  <c r="P145"/>
  <c r="O145"/>
  <c r="N145"/>
  <c r="M145"/>
  <c r="L145"/>
  <c r="K145"/>
  <c r="J145"/>
  <c r="I145"/>
  <c r="H145"/>
  <c r="G145"/>
  <c r="F145"/>
  <c r="F145" i="78" s="1"/>
  <c r="H145" s="1"/>
  <c r="I145" s="1"/>
  <c r="U144" i="77"/>
  <c r="T144"/>
  <c r="S144"/>
  <c r="R144"/>
  <c r="Q144"/>
  <c r="P144"/>
  <c r="O144"/>
  <c r="N144"/>
  <c r="M144"/>
  <c r="L144"/>
  <c r="K144"/>
  <c r="J144"/>
  <c r="I144"/>
  <c r="H144"/>
  <c r="G144"/>
  <c r="F144"/>
  <c r="F144" i="78" s="1"/>
  <c r="H144" s="1"/>
  <c r="I144" s="1"/>
  <c r="U143" i="77"/>
  <c r="T143"/>
  <c r="S143"/>
  <c r="R143"/>
  <c r="Q143"/>
  <c r="P143"/>
  <c r="O143"/>
  <c r="N143"/>
  <c r="M143"/>
  <c r="L143"/>
  <c r="K143"/>
  <c r="J143"/>
  <c r="I143"/>
  <c r="H143"/>
  <c r="G143"/>
  <c r="F143"/>
  <c r="F143" i="78" s="1"/>
  <c r="H143" s="1"/>
  <c r="I143" s="1"/>
  <c r="U142" i="77"/>
  <c r="T142"/>
  <c r="S142"/>
  <c r="R142"/>
  <c r="Q142"/>
  <c r="P142"/>
  <c r="O142"/>
  <c r="N142"/>
  <c r="M142"/>
  <c r="L142"/>
  <c r="K142"/>
  <c r="J142"/>
  <c r="I142"/>
  <c r="H142"/>
  <c r="F142"/>
  <c r="U141"/>
  <c r="T141"/>
  <c r="S141"/>
  <c r="R141"/>
  <c r="Q141"/>
  <c r="P141"/>
  <c r="O141"/>
  <c r="N141"/>
  <c r="M141"/>
  <c r="L141"/>
  <c r="K141"/>
  <c r="J141"/>
  <c r="I141"/>
  <c r="H141"/>
  <c r="G141"/>
  <c r="F141"/>
  <c r="U140"/>
  <c r="T140"/>
  <c r="S140"/>
  <c r="R140"/>
  <c r="Q140"/>
  <c r="P140"/>
  <c r="O140"/>
  <c r="N140"/>
  <c r="M140"/>
  <c r="L140"/>
  <c r="K140"/>
  <c r="J140"/>
  <c r="I140"/>
  <c r="H140"/>
  <c r="G140"/>
  <c r="F140"/>
  <c r="U139"/>
  <c r="T139"/>
  <c r="S139"/>
  <c r="R139"/>
  <c r="Q139"/>
  <c r="P139"/>
  <c r="O139"/>
  <c r="N139"/>
  <c r="M139"/>
  <c r="L139"/>
  <c r="K139"/>
  <c r="J139"/>
  <c r="I139"/>
  <c r="H139"/>
  <c r="G139"/>
  <c r="F139"/>
  <c r="U138"/>
  <c r="T138"/>
  <c r="S138"/>
  <c r="R138"/>
  <c r="Q138"/>
  <c r="P138"/>
  <c r="O138"/>
  <c r="N138"/>
  <c r="M138"/>
  <c r="L138"/>
  <c r="K138"/>
  <c r="J138"/>
  <c r="I138"/>
  <c r="H138"/>
  <c r="F138"/>
  <c r="F138" i="78" s="1"/>
  <c r="H138" s="1"/>
  <c r="I138" s="1"/>
  <c r="U137" i="77"/>
  <c r="T137"/>
  <c r="S137"/>
  <c r="R137"/>
  <c r="Q137"/>
  <c r="P137"/>
  <c r="O137"/>
  <c r="N137"/>
  <c r="M137"/>
  <c r="L137"/>
  <c r="K137"/>
  <c r="J137"/>
  <c r="I137"/>
  <c r="H137"/>
  <c r="G137"/>
  <c r="F137"/>
  <c r="F137" i="78" s="1"/>
  <c r="H137" s="1"/>
  <c r="I137" s="1"/>
  <c r="U136" i="77"/>
  <c r="T136"/>
  <c r="S136"/>
  <c r="R136"/>
  <c r="Q136"/>
  <c r="P136"/>
  <c r="O136"/>
  <c r="N136"/>
  <c r="M136"/>
  <c r="L136"/>
  <c r="K136"/>
  <c r="J136"/>
  <c r="I136"/>
  <c r="H136"/>
  <c r="G136"/>
  <c r="F136"/>
  <c r="F136" i="78" s="1"/>
  <c r="H136" s="1"/>
  <c r="I136" s="1"/>
  <c r="U135" i="77"/>
  <c r="T135"/>
  <c r="S135"/>
  <c r="R135"/>
  <c r="Q135"/>
  <c r="P135"/>
  <c r="O135"/>
  <c r="N135"/>
  <c r="M135"/>
  <c r="L135"/>
  <c r="K135"/>
  <c r="J135"/>
  <c r="I135"/>
  <c r="H135"/>
  <c r="G135"/>
  <c r="F135"/>
  <c r="F135" i="78" s="1"/>
  <c r="H135" s="1"/>
  <c r="I135" s="1"/>
  <c r="U134" i="77"/>
  <c r="T134"/>
  <c r="S134"/>
  <c r="R134"/>
  <c r="Q134"/>
  <c r="P134"/>
  <c r="O134"/>
  <c r="N134"/>
  <c r="M134"/>
  <c r="L134"/>
  <c r="K134"/>
  <c r="J134"/>
  <c r="I134"/>
  <c r="H134"/>
  <c r="G134"/>
  <c r="F134"/>
  <c r="F134" i="78" s="1"/>
  <c r="H134" s="1"/>
  <c r="I134" s="1"/>
  <c r="U133" i="77"/>
  <c r="T133"/>
  <c r="S133"/>
  <c r="R133"/>
  <c r="Q133"/>
  <c r="P133"/>
  <c r="O133"/>
  <c r="N133"/>
  <c r="M133"/>
  <c r="L133"/>
  <c r="K133"/>
  <c r="J133"/>
  <c r="I133"/>
  <c r="H133"/>
  <c r="G133"/>
  <c r="F133"/>
  <c r="F133" i="78" s="1"/>
  <c r="H133" s="1"/>
  <c r="I133" s="1"/>
  <c r="U132" i="77"/>
  <c r="T132"/>
  <c r="S132"/>
  <c r="R132"/>
  <c r="Q132"/>
  <c r="P132"/>
  <c r="O132"/>
  <c r="N132"/>
  <c r="M132"/>
  <c r="L132"/>
  <c r="K132"/>
  <c r="J132"/>
  <c r="I132"/>
  <c r="H132"/>
  <c r="F132"/>
  <c r="U131"/>
  <c r="T131"/>
  <c r="S131"/>
  <c r="R131"/>
  <c r="Q131"/>
  <c r="P131"/>
  <c r="O131"/>
  <c r="N131"/>
  <c r="M131"/>
  <c r="L131"/>
  <c r="K131"/>
  <c r="J131"/>
  <c r="I131"/>
  <c r="H131"/>
  <c r="G131"/>
  <c r="F131"/>
  <c r="U130"/>
  <c r="T130"/>
  <c r="S130"/>
  <c r="R130"/>
  <c r="Q130"/>
  <c r="P130"/>
  <c r="O130"/>
  <c r="N130"/>
  <c r="M130"/>
  <c r="L130"/>
  <c r="K130"/>
  <c r="J130"/>
  <c r="I130"/>
  <c r="H130"/>
  <c r="G130"/>
  <c r="F130"/>
  <c r="U129"/>
  <c r="T129"/>
  <c r="S129"/>
  <c r="R129"/>
  <c r="Q129"/>
  <c r="P129"/>
  <c r="O129"/>
  <c r="N129"/>
  <c r="M129"/>
  <c r="L129"/>
  <c r="K129"/>
  <c r="J129"/>
  <c r="I129"/>
  <c r="H129"/>
  <c r="G129"/>
  <c r="F129"/>
  <c r="O93" i="80"/>
  <c r="O93" i="77"/>
  <c r="H99" i="80"/>
  <c r="H99" i="77"/>
  <c r="F99" i="80"/>
  <c r="F99" i="77"/>
  <c r="F99" i="78" s="1"/>
  <c r="H99" s="1"/>
  <c r="I99" s="1"/>
  <c r="U98" i="80"/>
  <c r="T98" i="77"/>
  <c r="R98" i="80"/>
  <c r="R98" i="77"/>
  <c r="P98" i="80"/>
  <c r="P98" i="77"/>
  <c r="N98" i="80"/>
  <c r="N98" i="77"/>
  <c r="L98" i="80"/>
  <c r="L98" i="77"/>
  <c r="J98" i="80"/>
  <c r="J98" i="77"/>
  <c r="H98" i="80"/>
  <c r="H98" i="77"/>
  <c r="F98" i="80"/>
  <c r="F98" i="77"/>
  <c r="F98" i="78" s="1"/>
  <c r="H98" s="1"/>
  <c r="I98" s="1"/>
  <c r="U97" i="80"/>
  <c r="T97" i="77"/>
  <c r="R97" i="80"/>
  <c r="R97" i="77"/>
  <c r="P97" i="80"/>
  <c r="P97" i="77"/>
  <c r="N97" i="80"/>
  <c r="N97" i="77"/>
  <c r="L97" i="80"/>
  <c r="L97" i="77"/>
  <c r="J97" i="80"/>
  <c r="J97" i="77"/>
  <c r="H97" i="80"/>
  <c r="H97" i="77"/>
  <c r="F97" i="80"/>
  <c r="F97" i="77"/>
  <c r="F97" i="78" s="1"/>
  <c r="H97" s="1"/>
  <c r="I97" s="1"/>
  <c r="U96" i="80"/>
  <c r="T96" i="77"/>
  <c r="R96" i="80"/>
  <c r="R96" i="77"/>
  <c r="P96" i="80"/>
  <c r="P96" i="77"/>
  <c r="N96" i="80"/>
  <c r="N96" i="77"/>
  <c r="L96" i="80"/>
  <c r="L96" i="77"/>
  <c r="J96" i="80"/>
  <c r="J96" i="77"/>
  <c r="H96" i="80"/>
  <c r="H96" i="77"/>
  <c r="F96" i="80"/>
  <c r="F96" i="77"/>
  <c r="F96" i="78" s="1"/>
  <c r="H96" s="1"/>
  <c r="I96" s="1"/>
  <c r="U95" i="80"/>
  <c r="T95" i="77"/>
  <c r="R95" i="80"/>
  <c r="R95" i="77"/>
  <c r="P95" i="80"/>
  <c r="P95" i="77"/>
  <c r="N95" i="80"/>
  <c r="N95" i="77"/>
  <c r="L95" i="80"/>
  <c r="L95" i="77"/>
  <c r="J95" i="80"/>
  <c r="J95" i="77"/>
  <c r="H95" i="80"/>
  <c r="H95" i="77"/>
  <c r="F95" i="80"/>
  <c r="F95" i="77"/>
  <c r="F95" i="78" s="1"/>
  <c r="H95" s="1"/>
  <c r="I95" s="1"/>
  <c r="U94" i="80"/>
  <c r="T94" i="77"/>
  <c r="R94" i="80"/>
  <c r="R94" i="77"/>
  <c r="P94" i="80"/>
  <c r="P94" i="77"/>
  <c r="N94" i="80"/>
  <c r="N94" i="77"/>
  <c r="L94" i="80"/>
  <c r="L94" i="77"/>
  <c r="J94" i="80"/>
  <c r="J94" i="77"/>
  <c r="H94" i="80"/>
  <c r="H94" i="77"/>
  <c r="F94" i="80"/>
  <c r="F94" i="77"/>
  <c r="F94" i="78" s="1"/>
  <c r="H94" s="1"/>
  <c r="I94" s="1"/>
  <c r="U93" i="80"/>
  <c r="T93" i="77"/>
  <c r="R93" i="80"/>
  <c r="R93" i="77"/>
  <c r="P93" i="80"/>
  <c r="P93" i="77"/>
  <c r="N93" i="80"/>
  <c r="N93" i="77"/>
  <c r="L93" i="80"/>
  <c r="L93" i="77"/>
  <c r="J93" i="80"/>
  <c r="J93" i="77"/>
  <c r="H93" i="80"/>
  <c r="H93" i="77"/>
  <c r="F93" i="80"/>
  <c r="F93" i="77"/>
  <c r="U92" i="80"/>
  <c r="T92" i="77"/>
  <c r="R92" i="80"/>
  <c r="R92" i="77"/>
  <c r="P92" i="80"/>
  <c r="P92" i="77"/>
  <c r="N92" i="80"/>
  <c r="N92" i="77"/>
  <c r="L92" i="80"/>
  <c r="L92" i="77"/>
  <c r="J92" i="80"/>
  <c r="J92" i="77"/>
  <c r="H92" i="80"/>
  <c r="H92" i="77"/>
  <c r="F92" i="80"/>
  <c r="F92" i="77"/>
  <c r="U91" i="80"/>
  <c r="T91" i="77"/>
  <c r="R91" i="80"/>
  <c r="R91" i="77"/>
  <c r="P91" i="80"/>
  <c r="P91" i="77"/>
  <c r="N91" i="80"/>
  <c r="N91" i="77"/>
  <c r="L91" i="80"/>
  <c r="L91" i="77"/>
  <c r="J91" i="80"/>
  <c r="J91" i="77"/>
  <c r="H91" i="80"/>
  <c r="H91" i="77"/>
  <c r="F91" i="80"/>
  <c r="F91" i="77"/>
  <c r="U90" i="80"/>
  <c r="T90" i="77"/>
  <c r="R90" i="80"/>
  <c r="R90" i="77"/>
  <c r="P90" i="80"/>
  <c r="P90" i="77"/>
  <c r="N90" i="80"/>
  <c r="N90" i="77"/>
  <c r="L90" i="80"/>
  <c r="L90" i="77"/>
  <c r="J90" i="80"/>
  <c r="J90" i="77"/>
  <c r="H90" i="80"/>
  <c r="H90" i="77"/>
  <c r="F90" i="80"/>
  <c r="F90" i="77"/>
  <c r="U89" i="80"/>
  <c r="T89" i="77"/>
  <c r="R89" i="80"/>
  <c r="R89" i="77"/>
  <c r="P89" i="80"/>
  <c r="P89" i="77"/>
  <c r="N89" i="80"/>
  <c r="N89" i="77"/>
  <c r="L89" i="80"/>
  <c r="L89" i="77"/>
  <c r="J89" i="80"/>
  <c r="J89" i="77"/>
  <c r="H89" i="80"/>
  <c r="H89" i="77"/>
  <c r="F89" i="80"/>
  <c r="F89" i="77"/>
  <c r="U88" i="80"/>
  <c r="T88" i="77"/>
  <c r="R88" i="80"/>
  <c r="R88" i="77"/>
  <c r="P88" i="80"/>
  <c r="P88" i="77"/>
  <c r="N88" i="80"/>
  <c r="N88" i="77"/>
  <c r="L88" i="80"/>
  <c r="L88" i="77"/>
  <c r="J88" i="80"/>
  <c r="J88" i="77"/>
  <c r="H88" i="80"/>
  <c r="H88" i="77"/>
  <c r="F88" i="80"/>
  <c r="F88" i="77"/>
  <c r="U87" i="80"/>
  <c r="T87" i="77"/>
  <c r="R87" i="80"/>
  <c r="R87" i="77"/>
  <c r="P87" i="80"/>
  <c r="P87" i="77"/>
  <c r="N87" i="80"/>
  <c r="N87" i="77"/>
  <c r="L87" i="80"/>
  <c r="L87" i="77"/>
  <c r="J87" i="80"/>
  <c r="J87" i="77"/>
  <c r="H87" i="80"/>
  <c r="H87" i="77"/>
  <c r="F87" i="80"/>
  <c r="F87" i="77"/>
  <c r="U86" i="80"/>
  <c r="T86" i="77"/>
  <c r="R86" i="80"/>
  <c r="R86" i="77"/>
  <c r="P86" i="80"/>
  <c r="P86" i="77"/>
  <c r="N86" i="80"/>
  <c r="N86" i="77"/>
  <c r="L86" i="80"/>
  <c r="L86" i="77"/>
  <c r="J86" i="80"/>
  <c r="J86" i="77"/>
  <c r="H86" i="80"/>
  <c r="H86" i="77"/>
  <c r="F86" i="80"/>
  <c r="F86" i="77"/>
  <c r="U85" i="80"/>
  <c r="T85" i="77"/>
  <c r="R85" i="80"/>
  <c r="R85" i="77"/>
  <c r="P85" i="80"/>
  <c r="P85" i="77"/>
  <c r="N85" i="80"/>
  <c r="N85" i="77"/>
  <c r="L85" i="80"/>
  <c r="L85" i="77"/>
  <c r="J85" i="80"/>
  <c r="J85" i="77"/>
  <c r="H85" i="80"/>
  <c r="H85" i="77"/>
  <c r="F85" i="80"/>
  <c r="F85" i="77"/>
  <c r="U84" i="80"/>
  <c r="T84" i="77"/>
  <c r="R84" i="80"/>
  <c r="R84" i="77"/>
  <c r="P84" i="80"/>
  <c r="P84" i="77"/>
  <c r="N84" i="80"/>
  <c r="N84" i="77"/>
  <c r="L84" i="80"/>
  <c r="L84" i="77"/>
  <c r="J84" i="80"/>
  <c r="J84" i="77"/>
  <c r="H84" i="80"/>
  <c r="H84" i="77"/>
  <c r="F84" i="80"/>
  <c r="F84" i="77"/>
  <c r="U83" i="80"/>
  <c r="T83" i="77"/>
  <c r="R83" i="80"/>
  <c r="R83" i="77"/>
  <c r="P83" i="80"/>
  <c r="P83" i="77"/>
  <c r="N83" i="80"/>
  <c r="N83" i="77"/>
  <c r="L83" i="80"/>
  <c r="L83" i="77"/>
  <c r="J83" i="80"/>
  <c r="J83" i="77"/>
  <c r="H83" i="80"/>
  <c r="H83" i="77"/>
  <c r="F83" i="80"/>
  <c r="F83" i="77"/>
  <c r="U82" i="80"/>
  <c r="T82" i="77"/>
  <c r="R82" i="80"/>
  <c r="R82" i="77"/>
  <c r="P82" i="80"/>
  <c r="P82" i="77"/>
  <c r="N82" i="80"/>
  <c r="N82" i="77"/>
  <c r="L82" i="80"/>
  <c r="L82" i="77"/>
  <c r="J82" i="80"/>
  <c r="J82" i="77"/>
  <c r="H82" i="80"/>
  <c r="H82" i="77"/>
  <c r="F82" i="80"/>
  <c r="F82" i="77"/>
  <c r="U81" i="80"/>
  <c r="T81" i="77"/>
  <c r="R81" i="80"/>
  <c r="R81" i="77"/>
  <c r="P81" i="80"/>
  <c r="P81" i="77"/>
  <c r="N81" i="80"/>
  <c r="N81" i="77"/>
  <c r="L81" i="80"/>
  <c r="L81" i="77"/>
  <c r="J81" i="80"/>
  <c r="J81" i="77"/>
  <c r="H81" i="80"/>
  <c r="H81" i="77"/>
  <c r="F81" i="80"/>
  <c r="F81" i="77"/>
  <c r="U80" i="80"/>
  <c r="T80" i="77"/>
  <c r="R80" i="80"/>
  <c r="R80" i="77"/>
  <c r="P80" i="80"/>
  <c r="P80" i="77"/>
  <c r="N80" i="80"/>
  <c r="N80" i="77"/>
  <c r="L80" i="80"/>
  <c r="L80" i="77"/>
  <c r="J80" i="80"/>
  <c r="J80" i="77"/>
  <c r="H80" i="80"/>
  <c r="H80" i="77"/>
  <c r="F80" i="80"/>
  <c r="F80" i="77"/>
  <c r="U79" i="80"/>
  <c r="T79" i="77"/>
  <c r="R79" i="80"/>
  <c r="R79" i="77"/>
  <c r="P79" i="80"/>
  <c r="P79" i="77"/>
  <c r="N79" i="80"/>
  <c r="N79" i="77"/>
  <c r="L79" i="80"/>
  <c r="L79" i="77"/>
  <c r="J79" i="80"/>
  <c r="J79" i="77"/>
  <c r="H79" i="80"/>
  <c r="H79" i="77"/>
  <c r="F79" i="80"/>
  <c r="F79" i="77"/>
  <c r="U78" i="80"/>
  <c r="T78" i="77"/>
  <c r="R78" i="80"/>
  <c r="R78" i="77"/>
  <c r="P78" i="80"/>
  <c r="P78" i="77"/>
  <c r="N78" i="80"/>
  <c r="N78" i="77"/>
  <c r="L78" i="80"/>
  <c r="L78" i="77"/>
  <c r="J78" i="80"/>
  <c r="J78" i="77"/>
  <c r="H78" i="80"/>
  <c r="H78" i="77"/>
  <c r="F78" i="80"/>
  <c r="F78" i="77"/>
  <c r="U77" i="80"/>
  <c r="T77" i="77"/>
  <c r="R77" i="80"/>
  <c r="R77" i="77"/>
  <c r="P77" i="80"/>
  <c r="P77" i="77"/>
  <c r="N77" i="80"/>
  <c r="N77" i="77"/>
  <c r="L77" i="80"/>
  <c r="L77" i="77"/>
  <c r="J77" i="80"/>
  <c r="J77" i="77"/>
  <c r="H77" i="80"/>
  <c r="H77" i="77"/>
  <c r="F77" i="80"/>
  <c r="F77" i="77"/>
  <c r="U76" i="80"/>
  <c r="T76" i="77"/>
  <c r="R76" i="80"/>
  <c r="R76" i="77"/>
  <c r="P76" i="80"/>
  <c r="P76" i="77"/>
  <c r="N76" i="80"/>
  <c r="N76" i="77"/>
  <c r="L76" i="80"/>
  <c r="L76" i="77"/>
  <c r="J76" i="80"/>
  <c r="J76" i="77"/>
  <c r="H76" i="80"/>
  <c r="H76" i="77"/>
  <c r="F76" i="80"/>
  <c r="F76" i="77"/>
  <c r="U75" i="80"/>
  <c r="T75" i="77"/>
  <c r="R75" i="80"/>
  <c r="R75" i="77"/>
  <c r="P75" i="80"/>
  <c r="P75" i="77"/>
  <c r="N75" i="80"/>
  <c r="N75" i="77"/>
  <c r="L75" i="80"/>
  <c r="L75" i="77"/>
  <c r="J75" i="80"/>
  <c r="J75" i="77"/>
  <c r="H75" i="80"/>
  <c r="H75" i="77"/>
  <c r="F75" i="80"/>
  <c r="F75" i="77"/>
  <c r="U74" i="80"/>
  <c r="T74" i="77"/>
  <c r="R74" i="80"/>
  <c r="R74" i="77"/>
  <c r="P74" i="80"/>
  <c r="P74" i="77"/>
  <c r="N74" i="80"/>
  <c r="N74" i="77"/>
  <c r="L74" i="80"/>
  <c r="L74" i="77"/>
  <c r="J74" i="80"/>
  <c r="J74" i="77"/>
  <c r="H74" i="80"/>
  <c r="H74" i="77"/>
  <c r="F74" i="80"/>
  <c r="F74" i="77"/>
  <c r="U73" i="80"/>
  <c r="T73" i="77"/>
  <c r="R73" i="80"/>
  <c r="R73" i="77"/>
  <c r="P73" i="80"/>
  <c r="P73" i="77"/>
  <c r="N73" i="80"/>
  <c r="N73" i="77"/>
  <c r="L73" i="80"/>
  <c r="L73" i="77"/>
  <c r="J73" i="80"/>
  <c r="J73" i="77"/>
  <c r="H73" i="80"/>
  <c r="H73" i="77"/>
  <c r="F73" i="80"/>
  <c r="F73" i="77"/>
  <c r="U72" i="80"/>
  <c r="T72" i="77"/>
  <c r="R72" i="80"/>
  <c r="R72" i="77"/>
  <c r="P72" i="80"/>
  <c r="P72" i="77"/>
  <c r="N72" i="80"/>
  <c r="N72" i="77"/>
  <c r="L72" i="80"/>
  <c r="L72" i="77"/>
  <c r="J72" i="80"/>
  <c r="J72" i="77"/>
  <c r="H72" i="80"/>
  <c r="H72" i="77"/>
  <c r="F72" i="80"/>
  <c r="F72" i="77"/>
  <c r="U71" i="80"/>
  <c r="T71" i="77"/>
  <c r="R71" i="80"/>
  <c r="R71" i="77"/>
  <c r="P71" i="80"/>
  <c r="P71" i="77"/>
  <c r="N71" i="80"/>
  <c r="N71" i="77"/>
  <c r="L71" i="80"/>
  <c r="L71" i="77"/>
  <c r="J71" i="80"/>
  <c r="J71" i="77"/>
  <c r="H71" i="80"/>
  <c r="H71" i="77"/>
  <c r="F71" i="80"/>
  <c r="F71" i="77"/>
  <c r="U70" i="80"/>
  <c r="T70" i="77"/>
  <c r="R70" i="80"/>
  <c r="R70" i="77"/>
  <c r="P70" i="80"/>
  <c r="P70" i="77"/>
  <c r="N70" i="80"/>
  <c r="N70" i="77"/>
  <c r="L70" i="80"/>
  <c r="L70" i="77"/>
  <c r="J70" i="80"/>
  <c r="J70" i="77"/>
  <c r="H70" i="80"/>
  <c r="H70" i="77"/>
  <c r="F70" i="80"/>
  <c r="F70" i="77"/>
  <c r="U69" i="80"/>
  <c r="T69" i="77"/>
  <c r="R69" i="80"/>
  <c r="R69" i="77"/>
  <c r="P69" i="80"/>
  <c r="P69" i="77"/>
  <c r="N69" i="80"/>
  <c r="N69" i="77"/>
  <c r="L69" i="80"/>
  <c r="L69" i="77"/>
  <c r="J69" i="80"/>
  <c r="J69" i="77"/>
  <c r="H69" i="80"/>
  <c r="H69" i="77"/>
  <c r="F69" i="80"/>
  <c r="F69" i="77"/>
  <c r="U68" i="80"/>
  <c r="T68" i="77"/>
  <c r="R68" i="80"/>
  <c r="R68" i="77"/>
  <c r="P68" i="80"/>
  <c r="P68" i="77"/>
  <c r="N68" i="80"/>
  <c r="N68" i="77"/>
  <c r="L68" i="80"/>
  <c r="L68" i="77"/>
  <c r="J68" i="80"/>
  <c r="J68" i="77"/>
  <c r="H68" i="80"/>
  <c r="H68" i="77"/>
  <c r="F68" i="80"/>
  <c r="F68" i="77"/>
  <c r="U67" i="80"/>
  <c r="T67" i="77"/>
  <c r="R67" i="80"/>
  <c r="R67" i="77"/>
  <c r="P67" i="80"/>
  <c r="P67" i="77"/>
  <c r="N67" i="80"/>
  <c r="N67" i="77"/>
  <c r="L67" i="80"/>
  <c r="L67" i="77"/>
  <c r="J67" i="80"/>
  <c r="J67" i="77"/>
  <c r="M93" i="80"/>
  <c r="M93" i="77"/>
  <c r="K93" i="80"/>
  <c r="K93" i="77"/>
  <c r="I93" i="80"/>
  <c r="I93" i="77"/>
  <c r="G93" i="80"/>
  <c r="G93" i="77"/>
  <c r="V92" i="80"/>
  <c r="U92" i="77"/>
  <c r="S92" i="80"/>
  <c r="S92" i="77"/>
  <c r="Q92" i="80"/>
  <c r="Q92" i="77"/>
  <c r="O92" i="80"/>
  <c r="O92" i="77"/>
  <c r="M92" i="80"/>
  <c r="M92" i="77"/>
  <c r="K92" i="80"/>
  <c r="K92" i="77"/>
  <c r="I92" i="80"/>
  <c r="I92" i="77"/>
  <c r="V91" i="80"/>
  <c r="U91" i="77"/>
  <c r="S91" i="80"/>
  <c r="S91" i="77"/>
  <c r="Q91" i="80"/>
  <c r="Q91" i="77"/>
  <c r="O91" i="80"/>
  <c r="O91" i="77"/>
  <c r="M91" i="80"/>
  <c r="M91" i="77"/>
  <c r="K91" i="80"/>
  <c r="K91" i="77"/>
  <c r="I91" i="80"/>
  <c r="I91" i="77"/>
  <c r="V90" i="80"/>
  <c r="U90" i="77"/>
  <c r="S90" i="80"/>
  <c r="S90" i="77"/>
  <c r="Q90" i="80"/>
  <c r="Q90" i="77"/>
  <c r="O90" i="80"/>
  <c r="O90" i="77"/>
  <c r="M90" i="80"/>
  <c r="M90" i="77"/>
  <c r="K90" i="80"/>
  <c r="K90" i="77"/>
  <c r="I90" i="80"/>
  <c r="I90" i="77"/>
  <c r="G90" i="80"/>
  <c r="G90" i="77"/>
  <c r="V89" i="80"/>
  <c r="U89" i="77"/>
  <c r="S89" i="80"/>
  <c r="S89" i="77"/>
  <c r="Q89" i="80"/>
  <c r="Q89" i="77"/>
  <c r="O89" i="80"/>
  <c r="O89" i="77"/>
  <c r="M89" i="80"/>
  <c r="M89" i="77"/>
  <c r="K89" i="80"/>
  <c r="K89" i="77"/>
  <c r="I89" i="80"/>
  <c r="I89" i="77"/>
  <c r="V88" i="80"/>
  <c r="U88" i="77"/>
  <c r="S88" i="80"/>
  <c r="S88" i="77"/>
  <c r="Q88" i="80"/>
  <c r="Q88" i="77"/>
  <c r="O88" i="80"/>
  <c r="O88" i="77"/>
  <c r="M88" i="80"/>
  <c r="M88" i="77"/>
  <c r="K88" i="80"/>
  <c r="K88" i="77"/>
  <c r="I88" i="80"/>
  <c r="I88" i="77"/>
  <c r="G88" i="80"/>
  <c r="G88" i="77"/>
  <c r="V87" i="80"/>
  <c r="U87" i="77"/>
  <c r="S87" i="80"/>
  <c r="S87" i="77"/>
  <c r="Q87" i="80"/>
  <c r="Q87" i="77"/>
  <c r="O87" i="80"/>
  <c r="O87" i="77"/>
  <c r="M87" i="80"/>
  <c r="M87" i="77"/>
  <c r="K87" i="80"/>
  <c r="K87" i="77"/>
  <c r="I87" i="80"/>
  <c r="I87" i="77"/>
  <c r="V86" i="80"/>
  <c r="U86" i="77"/>
  <c r="S86" i="80"/>
  <c r="S86" i="77"/>
  <c r="Q86" i="80"/>
  <c r="Q86" i="77"/>
  <c r="O86" i="80"/>
  <c r="O86" i="77"/>
  <c r="M86" i="80"/>
  <c r="M86" i="77"/>
  <c r="K86" i="80"/>
  <c r="K86" i="77"/>
  <c r="I86" i="80"/>
  <c r="I86" i="77"/>
  <c r="G86" i="80"/>
  <c r="G86" i="77"/>
  <c r="V85" i="80"/>
  <c r="U85" i="77"/>
  <c r="S85" i="80"/>
  <c r="S85" i="77"/>
  <c r="Q85" i="80"/>
  <c r="Q85" i="77"/>
  <c r="O85" i="80"/>
  <c r="O85" i="77"/>
  <c r="M85" i="80"/>
  <c r="M85" i="77"/>
  <c r="K85" i="80"/>
  <c r="K85" i="77"/>
  <c r="I85" i="80"/>
  <c r="I85" i="77"/>
  <c r="V84" i="80"/>
  <c r="U84" i="77"/>
  <c r="S84" i="80"/>
  <c r="S84" i="77"/>
  <c r="Q84" i="80"/>
  <c r="Q84" i="77"/>
  <c r="O84" i="80"/>
  <c r="O84" i="77"/>
  <c r="M84" i="80"/>
  <c r="M84" i="77"/>
  <c r="K84" i="80"/>
  <c r="K84" i="77"/>
  <c r="I84" i="80"/>
  <c r="I84" i="77"/>
  <c r="G84" i="80"/>
  <c r="G84" i="77"/>
  <c r="V83" i="80"/>
  <c r="U83" i="77"/>
  <c r="S83" i="80"/>
  <c r="S83" i="77"/>
  <c r="Q83" i="80"/>
  <c r="Q83" i="77"/>
  <c r="O83" i="80"/>
  <c r="O83" i="77"/>
  <c r="M83" i="80"/>
  <c r="M83" i="77"/>
  <c r="K83" i="80"/>
  <c r="K83" i="77"/>
  <c r="I83" i="80"/>
  <c r="I83" i="77"/>
  <c r="V82" i="80"/>
  <c r="U82" i="77"/>
  <c r="S82" i="80"/>
  <c r="S82" i="77"/>
  <c r="Q82" i="80"/>
  <c r="Q82" i="77"/>
  <c r="O82" i="80"/>
  <c r="O82" i="77"/>
  <c r="M82" i="80"/>
  <c r="M82" i="77"/>
  <c r="K82" i="80"/>
  <c r="K82" i="77"/>
  <c r="I82" i="80"/>
  <c r="I82" i="77"/>
  <c r="G82" i="80"/>
  <c r="G82" i="77"/>
  <c r="V81" i="80"/>
  <c r="U81" i="77"/>
  <c r="S81" i="80"/>
  <c r="S81" i="77"/>
  <c r="Q81" i="80"/>
  <c r="Q81" i="77"/>
  <c r="O81" i="80"/>
  <c r="O81" i="77"/>
  <c r="M81" i="80"/>
  <c r="M81" i="77"/>
  <c r="K81" i="80"/>
  <c r="K81" i="77"/>
  <c r="I81" i="80"/>
  <c r="I81" i="77"/>
  <c r="V80" i="80"/>
  <c r="U80" i="77"/>
  <c r="S80" i="80"/>
  <c r="S80" i="77"/>
  <c r="Q80" i="80"/>
  <c r="Q80" i="77"/>
  <c r="O80" i="80"/>
  <c r="O80" i="77"/>
  <c r="M80" i="80"/>
  <c r="M80" i="77"/>
  <c r="K80" i="80"/>
  <c r="K80" i="77"/>
  <c r="I80" i="80"/>
  <c r="I80" i="77"/>
  <c r="G80" i="80"/>
  <c r="G80" i="77"/>
  <c r="V79" i="80"/>
  <c r="U79" i="77"/>
  <c r="S79" i="80"/>
  <c r="S79" i="77"/>
  <c r="Q79" i="80"/>
  <c r="Q79" i="77"/>
  <c r="O79" i="80"/>
  <c r="O79" i="77"/>
  <c r="M79" i="80"/>
  <c r="M79" i="77"/>
  <c r="K79" i="80"/>
  <c r="K79" i="77"/>
  <c r="I79" i="80"/>
  <c r="I79" i="77"/>
  <c r="G79" i="80"/>
  <c r="G79" i="77"/>
  <c r="V78" i="80"/>
  <c r="U78" i="77"/>
  <c r="S78" i="80"/>
  <c r="S78" i="77"/>
  <c r="Q78" i="80"/>
  <c r="Q78" i="77"/>
  <c r="O78" i="80"/>
  <c r="O78" i="77"/>
  <c r="M78" i="80"/>
  <c r="M78" i="77"/>
  <c r="K78" i="80"/>
  <c r="K78" i="77"/>
  <c r="I78" i="80"/>
  <c r="I78" i="77"/>
  <c r="G78" i="80"/>
  <c r="G78" i="77"/>
  <c r="V77" i="80"/>
  <c r="U77" i="77"/>
  <c r="S77" i="80"/>
  <c r="S77" i="77"/>
  <c r="Q77" i="80"/>
  <c r="Q77" i="77"/>
  <c r="O77" i="80"/>
  <c r="O77" i="77"/>
  <c r="M77" i="80"/>
  <c r="M77" i="77"/>
  <c r="K77" i="80"/>
  <c r="K77" i="77"/>
  <c r="I77" i="80"/>
  <c r="I77" i="77"/>
  <c r="G77" i="80"/>
  <c r="G77" i="77"/>
  <c r="V76" i="80"/>
  <c r="U76" i="77"/>
  <c r="S76" i="80"/>
  <c r="S76" i="77"/>
  <c r="Q76" i="80"/>
  <c r="Q76" i="77"/>
  <c r="O76" i="80"/>
  <c r="O76" i="77"/>
  <c r="M76" i="80"/>
  <c r="M76" i="77"/>
  <c r="K76" i="80"/>
  <c r="K76" i="77"/>
  <c r="I76" i="80"/>
  <c r="I76" i="77"/>
  <c r="G76" i="80"/>
  <c r="G76" i="77"/>
  <c r="V75" i="80"/>
  <c r="U75" i="77"/>
  <c r="S75" i="80"/>
  <c r="S75" i="77"/>
  <c r="Q75" i="80"/>
  <c r="Q75" i="77"/>
  <c r="O75" i="80"/>
  <c r="O75" i="77"/>
  <c r="M75" i="80"/>
  <c r="M75" i="77"/>
  <c r="K75" i="80"/>
  <c r="K75" i="77"/>
  <c r="I75" i="80"/>
  <c r="I75" i="77"/>
  <c r="G75" i="80"/>
  <c r="G75" i="77"/>
  <c r="V74" i="80"/>
  <c r="U74" i="77"/>
  <c r="S74" i="80"/>
  <c r="S74" i="77"/>
  <c r="Q74" i="80"/>
  <c r="Q74" i="77"/>
  <c r="O74" i="80"/>
  <c r="O74" i="77"/>
  <c r="M74" i="80"/>
  <c r="M74" i="77"/>
  <c r="K74" i="80"/>
  <c r="K74" i="77"/>
  <c r="I74" i="80"/>
  <c r="I74" i="77"/>
  <c r="V73" i="80"/>
  <c r="U73" i="77"/>
  <c r="S73" i="80"/>
  <c r="S73" i="77"/>
  <c r="Q73" i="80"/>
  <c r="Q73" i="77"/>
  <c r="O73" i="80"/>
  <c r="O73" i="77"/>
  <c r="M73" i="80"/>
  <c r="M73" i="77"/>
  <c r="K73" i="80"/>
  <c r="K73" i="77"/>
  <c r="I73" i="80"/>
  <c r="I73" i="77"/>
  <c r="G73" i="80"/>
  <c r="G73" i="77"/>
  <c r="V72" i="80"/>
  <c r="U72" i="77"/>
  <c r="S72" i="80"/>
  <c r="S72" i="77"/>
  <c r="Q72" i="80"/>
  <c r="Q72" i="77"/>
  <c r="O72" i="80"/>
  <c r="O72" i="77"/>
  <c r="M72" i="80"/>
  <c r="M72" i="77"/>
  <c r="K72" i="80"/>
  <c r="K72" i="77"/>
  <c r="I72" i="80"/>
  <c r="I72" i="77"/>
  <c r="G72" i="80"/>
  <c r="G72" i="77"/>
  <c r="V71" i="80"/>
  <c r="U71" i="77"/>
  <c r="S71" i="80"/>
  <c r="S71" i="77"/>
  <c r="Q71" i="80"/>
  <c r="Q71" i="77"/>
  <c r="O71" i="80"/>
  <c r="O71" i="77"/>
  <c r="M71" i="80"/>
  <c r="M71" i="77"/>
  <c r="K71" i="80"/>
  <c r="K71" i="77"/>
  <c r="I71" i="80"/>
  <c r="I71" i="77"/>
  <c r="V70" i="80"/>
  <c r="U70" i="77"/>
  <c r="S70" i="80"/>
  <c r="S70" i="77"/>
  <c r="Q70" i="80"/>
  <c r="Q70" i="77"/>
  <c r="O70" i="80"/>
  <c r="O70" i="77"/>
  <c r="M70" i="80"/>
  <c r="M70" i="77"/>
  <c r="K70" i="80"/>
  <c r="K70" i="77"/>
  <c r="I70" i="80"/>
  <c r="I70" i="77"/>
  <c r="V69" i="80"/>
  <c r="U69" i="77"/>
  <c r="S69" i="80"/>
  <c r="S69" i="77"/>
  <c r="Q69" i="80"/>
  <c r="Q69" i="77"/>
  <c r="O69" i="80"/>
  <c r="O69" i="77"/>
  <c r="M69" i="80"/>
  <c r="M69" i="77"/>
  <c r="K69" i="80"/>
  <c r="K69" i="77"/>
  <c r="I69" i="80"/>
  <c r="I69" i="77"/>
  <c r="G69" i="80"/>
  <c r="G69" i="77"/>
  <c r="V68" i="80"/>
  <c r="U68" i="77"/>
  <c r="S68" i="80"/>
  <c r="S68" i="77"/>
  <c r="Q68" i="80"/>
  <c r="Q68" i="77"/>
  <c r="O68" i="80"/>
  <c r="O68" i="77"/>
  <c r="M68" i="80"/>
  <c r="M68" i="77"/>
  <c r="K68" i="80"/>
  <c r="K68" i="77"/>
  <c r="I68" i="80"/>
  <c r="I68" i="77"/>
  <c r="G68" i="80"/>
  <c r="G68" i="77"/>
  <c r="V67" i="80"/>
  <c r="U67" i="77"/>
  <c r="S67" i="80"/>
  <c r="S67" i="77"/>
  <c r="Q67" i="80"/>
  <c r="Q67" i="77"/>
  <c r="O67" i="80"/>
  <c r="O67" i="77"/>
  <c r="M67" i="80"/>
  <c r="M67" i="77"/>
  <c r="K67" i="80"/>
  <c r="K67" i="77"/>
  <c r="I67" i="80"/>
  <c r="I67" i="77"/>
  <c r="G67" i="80"/>
  <c r="G67" i="77"/>
  <c r="V66" i="80"/>
  <c r="U66" i="77"/>
  <c r="S66" i="80"/>
  <c r="S66" i="77"/>
  <c r="Q66" i="80"/>
  <c r="Q66" i="77"/>
  <c r="O66" i="80"/>
  <c r="O66" i="77"/>
  <c r="M66" i="80"/>
  <c r="M66" i="77"/>
  <c r="K66" i="80"/>
  <c r="K66" i="77"/>
  <c r="I66" i="80"/>
  <c r="I66" i="77"/>
  <c r="V65" i="80"/>
  <c r="U65" i="77"/>
  <c r="S65" i="80"/>
  <c r="S65" i="77"/>
  <c r="Q65" i="80"/>
  <c r="Q65" i="77"/>
  <c r="O65" i="80"/>
  <c r="O65" i="77"/>
  <c r="M65" i="80"/>
  <c r="M65" i="77"/>
  <c r="K65" i="80"/>
  <c r="K65" i="77"/>
  <c r="I65" i="80"/>
  <c r="I65" i="77"/>
  <c r="G65" i="80"/>
  <c r="G65" i="77"/>
  <c r="V64" i="80"/>
  <c r="U64" i="77"/>
  <c r="S64" i="80"/>
  <c r="S64" i="77"/>
  <c r="Q64" i="80"/>
  <c r="Q64" i="77"/>
  <c r="O64" i="80"/>
  <c r="O64" i="77"/>
  <c r="M64" i="80"/>
  <c r="M64" i="77"/>
  <c r="K64" i="80"/>
  <c r="K64" i="77"/>
  <c r="I64" i="80"/>
  <c r="I64" i="77"/>
  <c r="V63" i="80"/>
  <c r="U63" i="77"/>
  <c r="S63" i="80"/>
  <c r="S63" i="77"/>
  <c r="Q63" i="80"/>
  <c r="Q63" i="77"/>
  <c r="M63" i="80"/>
  <c r="M63" i="77"/>
  <c r="K63" i="80"/>
  <c r="K63" i="77"/>
  <c r="G63" i="80"/>
  <c r="G63" i="77"/>
  <c r="V62" i="80"/>
  <c r="U62" i="77"/>
  <c r="S62" i="80"/>
  <c r="S62" i="77"/>
  <c r="Q62" i="80"/>
  <c r="Q62" i="77"/>
  <c r="O62" i="80"/>
  <c r="O62" i="77"/>
  <c r="M62" i="80"/>
  <c r="M62" i="77"/>
  <c r="K62" i="80"/>
  <c r="K62" i="77"/>
  <c r="I62" i="80"/>
  <c r="I62" i="77"/>
  <c r="G62" i="80"/>
  <c r="G62" i="77"/>
  <c r="V61" i="80"/>
  <c r="U61" i="77"/>
  <c r="S61" i="80"/>
  <c r="S61" i="77"/>
  <c r="Q61" i="80"/>
  <c r="Q61" i="77"/>
  <c r="O61" i="80"/>
  <c r="O61" i="77"/>
  <c r="M61" i="80"/>
  <c r="M61" i="77"/>
  <c r="K61" i="80"/>
  <c r="K61" i="77"/>
  <c r="I61" i="80"/>
  <c r="I61" i="77"/>
  <c r="G61" i="80"/>
  <c r="G61" i="77"/>
  <c r="V60" i="80"/>
  <c r="U60" i="77"/>
  <c r="S60" i="80"/>
  <c r="S60" i="77"/>
  <c r="Q60" i="80"/>
  <c r="Q176" s="1"/>
  <c r="Q60" i="77"/>
  <c r="O60" i="80"/>
  <c r="O176" s="1"/>
  <c r="O60" i="77"/>
  <c r="M60" i="80"/>
  <c r="M176" s="1"/>
  <c r="M60" i="77"/>
  <c r="K60" i="80"/>
  <c r="K176" s="1"/>
  <c r="K60" i="77"/>
  <c r="I60" i="80"/>
  <c r="I176" s="1"/>
  <c r="I60" i="77"/>
  <c r="G60" i="80"/>
  <c r="G176" s="1"/>
  <c r="G60" i="77"/>
  <c r="V59" i="80"/>
  <c r="V176" s="1"/>
  <c r="U59" i="77"/>
  <c r="S59" i="80"/>
  <c r="S176" s="1"/>
  <c r="S59" i="77"/>
  <c r="H67" i="80"/>
  <c r="H67" i="77"/>
  <c r="F67" i="80"/>
  <c r="F67" i="77"/>
  <c r="F67" i="78" s="1"/>
  <c r="H67" s="1"/>
  <c r="I67" s="1"/>
  <c r="U66" i="80"/>
  <c r="T66" i="77"/>
  <c r="R66" i="80"/>
  <c r="R66" i="77"/>
  <c r="P66" i="80"/>
  <c r="P66" i="77"/>
  <c r="N66" i="80"/>
  <c r="N66" i="77"/>
  <c r="L66" i="80"/>
  <c r="L66" i="77"/>
  <c r="J66" i="80"/>
  <c r="J66" i="77"/>
  <c r="H66" i="80"/>
  <c r="H66" i="77"/>
  <c r="F66" i="80"/>
  <c r="F66" i="77"/>
  <c r="F66" i="78" s="1"/>
  <c r="H66" s="1"/>
  <c r="I66" s="1"/>
  <c r="U65" i="80"/>
  <c r="T65" i="77"/>
  <c r="R65" i="80"/>
  <c r="R65" i="77"/>
  <c r="P65" i="80"/>
  <c r="P65" i="77"/>
  <c r="N65" i="80"/>
  <c r="N65" i="77"/>
  <c r="L65" i="80"/>
  <c r="L65" i="77"/>
  <c r="J65" i="80"/>
  <c r="J65" i="77"/>
  <c r="H65" i="80"/>
  <c r="H65" i="77"/>
  <c r="F65" i="80"/>
  <c r="F65" i="77"/>
  <c r="F65" i="78" s="1"/>
  <c r="H65" s="1"/>
  <c r="I65" s="1"/>
  <c r="U64" i="80"/>
  <c r="T64" i="77"/>
  <c r="R64" i="80"/>
  <c r="R64" i="77"/>
  <c r="P64" i="80"/>
  <c r="P64" i="77"/>
  <c r="N64" i="80"/>
  <c r="N64" i="77"/>
  <c r="L64" i="80"/>
  <c r="L64" i="77"/>
  <c r="J64" i="80"/>
  <c r="J64" i="77"/>
  <c r="H64" i="80"/>
  <c r="H64" i="77"/>
  <c r="F64" i="80"/>
  <c r="F64" i="77"/>
  <c r="F64" i="78" s="1"/>
  <c r="H64" s="1"/>
  <c r="I64" s="1"/>
  <c r="U63" i="80"/>
  <c r="T63" i="77"/>
  <c r="R63" i="80"/>
  <c r="R63" i="77"/>
  <c r="P63" i="80"/>
  <c r="P63" i="77"/>
  <c r="N63" i="80"/>
  <c r="N63" i="77"/>
  <c r="L63" i="80"/>
  <c r="L63" i="77"/>
  <c r="J63" i="80"/>
  <c r="J63" i="77"/>
  <c r="H63" i="80"/>
  <c r="H63" i="77"/>
  <c r="F63" i="80"/>
  <c r="F63" i="77"/>
  <c r="F63" i="78" s="1"/>
  <c r="H63" s="1"/>
  <c r="I63" s="1"/>
  <c r="U62" i="80"/>
  <c r="T62" i="77"/>
  <c r="R62" i="80"/>
  <c r="R62" i="77"/>
  <c r="P62" i="80"/>
  <c r="P62" i="77"/>
  <c r="N62" i="80"/>
  <c r="N62" i="77"/>
  <c r="L62" i="80"/>
  <c r="L62" i="77"/>
  <c r="J62" i="80"/>
  <c r="J62" i="77"/>
  <c r="H62" i="80"/>
  <c r="H62" i="77"/>
  <c r="F62" i="80"/>
  <c r="F62" i="77"/>
  <c r="F62" i="78" s="1"/>
  <c r="H62" s="1"/>
  <c r="I62" s="1"/>
  <c r="U61" i="80"/>
  <c r="T61" i="77"/>
  <c r="R61" i="80"/>
  <c r="R61" i="77"/>
  <c r="P61" i="80"/>
  <c r="P61" i="77"/>
  <c r="N61" i="80"/>
  <c r="N61" i="77"/>
  <c r="L61" i="80"/>
  <c r="L61" i="77"/>
  <c r="J61" i="80"/>
  <c r="J61" i="77"/>
  <c r="H61" i="80"/>
  <c r="H61" i="77"/>
  <c r="F61" i="80"/>
  <c r="F61" i="77"/>
  <c r="F61" i="78" s="1"/>
  <c r="H61" s="1"/>
  <c r="I61" s="1"/>
  <c r="U60" i="80"/>
  <c r="T60" i="77"/>
  <c r="R60" i="80"/>
  <c r="R60" i="77"/>
  <c r="P60" i="80"/>
  <c r="P176" s="1"/>
  <c r="P60" i="77"/>
  <c r="N60" i="80"/>
  <c r="N176" s="1"/>
  <c r="N60" i="77"/>
  <c r="L60" i="80"/>
  <c r="L176" s="1"/>
  <c r="L60" i="77"/>
  <c r="J60" i="80"/>
  <c r="J176" s="1"/>
  <c r="J60" i="77"/>
  <c r="H60" i="80"/>
  <c r="H176" s="1"/>
  <c r="H60" i="77"/>
  <c r="F60" i="80"/>
  <c r="F176" s="1"/>
  <c r="F60" i="77"/>
  <c r="F60" i="78" s="1"/>
  <c r="H60" s="1"/>
  <c r="I60" s="1"/>
  <c r="U59" i="80"/>
  <c r="U176" s="1"/>
  <c r="T59" i="77"/>
  <c r="R59" i="80"/>
  <c r="R176" s="1"/>
  <c r="R59" i="77"/>
  <c r="V198" i="80"/>
  <c r="U198" i="77"/>
  <c r="S198" i="80"/>
  <c r="S198" i="77"/>
  <c r="Q198" i="80"/>
  <c r="Q198" i="77"/>
  <c r="O198" i="80"/>
  <c r="O198" i="77"/>
  <c r="M198" i="80"/>
  <c r="M198" i="77"/>
  <c r="K198" i="80"/>
  <c r="K198" i="77"/>
  <c r="I198" i="80"/>
  <c r="I198" i="77"/>
  <c r="G198" i="80"/>
  <c r="G198" i="77"/>
  <c r="V197" i="80"/>
  <c r="U197" i="77"/>
  <c r="S197" i="80"/>
  <c r="S197" i="77"/>
  <c r="Q197" i="80"/>
  <c r="Q197" i="77"/>
  <c r="O197" i="80"/>
  <c r="O197" i="77"/>
  <c r="M197" i="80"/>
  <c r="M197" i="77"/>
  <c r="K197" i="80"/>
  <c r="K197" i="77"/>
  <c r="G197" i="80"/>
  <c r="G197" i="77"/>
  <c r="V196" i="80"/>
  <c r="U196" i="77"/>
  <c r="S196" i="80"/>
  <c r="S196" i="77"/>
  <c r="Q196" i="80"/>
  <c r="Q196" i="77"/>
  <c r="O196" i="80"/>
  <c r="O196" i="77"/>
  <c r="M196" i="80"/>
  <c r="M196" i="77"/>
  <c r="K196" i="80"/>
  <c r="K196" i="77"/>
  <c r="I196" i="80"/>
  <c r="I196" i="77"/>
  <c r="G196" i="80"/>
  <c r="G196" i="77"/>
  <c r="V195" i="80"/>
  <c r="U195" i="77"/>
  <c r="S195" i="80"/>
  <c r="S195" i="77"/>
  <c r="Q195" i="80"/>
  <c r="Q195" i="77"/>
  <c r="O195" i="80"/>
  <c r="O195" i="77"/>
  <c r="M195" i="80"/>
  <c r="M195" i="77"/>
  <c r="K195" i="80"/>
  <c r="K195" i="77"/>
  <c r="I195" i="80"/>
  <c r="I195" i="77"/>
  <c r="G195" i="80"/>
  <c r="G195" i="77"/>
  <c r="V194" i="80"/>
  <c r="U194" i="77"/>
  <c r="S194" i="80"/>
  <c r="S194" i="77"/>
  <c r="Q194" i="80"/>
  <c r="Q194" i="77"/>
  <c r="O194" i="80"/>
  <c r="O194" i="77"/>
  <c r="M194" i="80"/>
  <c r="M194" i="77"/>
  <c r="K194" i="80"/>
  <c r="K194" i="77"/>
  <c r="I194" i="80"/>
  <c r="I194" i="77"/>
  <c r="G194" i="80"/>
  <c r="G194" i="77"/>
  <c r="V193" i="80"/>
  <c r="U193" i="77"/>
  <c r="S193" i="80"/>
  <c r="S193" i="77"/>
  <c r="Q193" i="80"/>
  <c r="Q193" i="77"/>
  <c r="O193" i="80"/>
  <c r="O193" i="77"/>
  <c r="M193" i="80"/>
  <c r="M193" i="77"/>
  <c r="K193" i="80"/>
  <c r="K193" i="77"/>
  <c r="G193" i="80"/>
  <c r="G193" i="77"/>
  <c r="V192" i="80"/>
  <c r="U192" i="77"/>
  <c r="S192" i="80"/>
  <c r="S192" i="77"/>
  <c r="Q192" i="80"/>
  <c r="Q192" i="77"/>
  <c r="O192" i="80"/>
  <c r="O192" i="77"/>
  <c r="M192" i="80"/>
  <c r="M192" i="77"/>
  <c r="K192" i="80"/>
  <c r="K192" i="77"/>
  <c r="I192" i="80"/>
  <c r="I192" i="77"/>
  <c r="G192" i="80"/>
  <c r="G192" i="77"/>
  <c r="V191" i="80"/>
  <c r="U191" i="77"/>
  <c r="S191" i="80"/>
  <c r="S191" i="77"/>
  <c r="Q191" i="80"/>
  <c r="Q191" i="77"/>
  <c r="O191" i="80"/>
  <c r="O191" i="77"/>
  <c r="M191" i="80"/>
  <c r="M191" i="77"/>
  <c r="K191" i="80"/>
  <c r="K191" i="77"/>
  <c r="I191" i="80"/>
  <c r="I191" i="77"/>
  <c r="G191" i="80"/>
  <c r="G191" i="77"/>
  <c r="V190" i="80"/>
  <c r="U190" i="77"/>
  <c r="S190" i="80"/>
  <c r="S190" i="77"/>
  <c r="Q190" i="80"/>
  <c r="Q190" i="77"/>
  <c r="O190" i="80"/>
  <c r="O190" i="77"/>
  <c r="M190" i="80"/>
  <c r="M190" i="77"/>
  <c r="K190" i="80"/>
  <c r="K190" i="77"/>
  <c r="I190" i="80"/>
  <c r="I190" i="77"/>
  <c r="G190" i="80"/>
  <c r="G190" i="77"/>
  <c r="V189" i="80"/>
  <c r="U189" i="77"/>
  <c r="S189" i="80"/>
  <c r="S189" i="77"/>
  <c r="Q189" i="80"/>
  <c r="Q189" i="77"/>
  <c r="O189" i="80"/>
  <c r="O189" i="77"/>
  <c r="M189" i="80"/>
  <c r="M189" i="77"/>
  <c r="K189" i="80"/>
  <c r="K189" i="77"/>
  <c r="G189" i="80"/>
  <c r="G189" i="77"/>
  <c r="V188" i="80"/>
  <c r="U188" i="77"/>
  <c r="S188" i="80"/>
  <c r="S188" i="77"/>
  <c r="Q188" i="80"/>
  <c r="Q204" s="1"/>
  <c r="Q188" i="77"/>
  <c r="O188" i="80"/>
  <c r="O204" s="1"/>
  <c r="O188" i="77"/>
  <c r="M188" i="80"/>
  <c r="M204" s="1"/>
  <c r="M188" i="77"/>
  <c r="K188" i="80"/>
  <c r="K204" s="1"/>
  <c r="K188" i="77"/>
  <c r="I188" i="80"/>
  <c r="I204" s="1"/>
  <c r="I188" i="77"/>
  <c r="G188" i="80"/>
  <c r="G204" s="1"/>
  <c r="G188" i="77"/>
  <c r="V187" i="80"/>
  <c r="V204" s="1"/>
  <c r="U187" i="77"/>
  <c r="S187" i="80"/>
  <c r="S204" s="1"/>
  <c r="S187" i="77"/>
  <c r="Q59"/>
  <c r="P59"/>
  <c r="O59"/>
  <c r="N59"/>
  <c r="M59"/>
  <c r="L59"/>
  <c r="K59"/>
  <c r="J59"/>
  <c r="I59"/>
  <c r="H59"/>
  <c r="G59"/>
  <c r="F59"/>
  <c r="U58"/>
  <c r="T58"/>
  <c r="S58"/>
  <c r="R58"/>
  <c r="Q58"/>
  <c r="P58"/>
  <c r="O58"/>
  <c r="N58"/>
  <c r="M58"/>
  <c r="L58"/>
  <c r="K58"/>
  <c r="J58"/>
  <c r="I58"/>
  <c r="H58"/>
  <c r="G58"/>
  <c r="F58" i="78" s="1"/>
  <c r="H58" s="1"/>
  <c r="I58" s="1"/>
  <c r="U57" i="77"/>
  <c r="T57"/>
  <c r="S57"/>
  <c r="R57"/>
  <c r="Q57"/>
  <c r="P57"/>
  <c r="O57"/>
  <c r="N57"/>
  <c r="M57"/>
  <c r="L57"/>
  <c r="K57"/>
  <c r="J57"/>
  <c r="I57"/>
  <c r="H57"/>
  <c r="G57"/>
  <c r="F57"/>
  <c r="F57" i="78" s="1"/>
  <c r="H57" s="1"/>
  <c r="I57" s="1"/>
  <c r="U56" i="77"/>
  <c r="T56"/>
  <c r="S56"/>
  <c r="R56"/>
  <c r="Q56"/>
  <c r="P56"/>
  <c r="O56"/>
  <c r="N56"/>
  <c r="M56"/>
  <c r="L56"/>
  <c r="K56"/>
  <c r="J56"/>
  <c r="I56"/>
  <c r="H56"/>
  <c r="G56"/>
  <c r="F56"/>
  <c r="F56" i="78" s="1"/>
  <c r="H56" s="1"/>
  <c r="I56" s="1"/>
  <c r="U55" i="77"/>
  <c r="T55"/>
  <c r="S55"/>
  <c r="R55"/>
  <c r="Q55"/>
  <c r="P55"/>
  <c r="O55"/>
  <c r="N55"/>
  <c r="M55"/>
  <c r="L55"/>
  <c r="K55"/>
  <c r="J55"/>
  <c r="I55"/>
  <c r="H55"/>
  <c r="G55"/>
  <c r="F55"/>
  <c r="F55" i="78" s="1"/>
  <c r="H55" s="1"/>
  <c r="I55" s="1"/>
  <c r="U54" i="77"/>
  <c r="T54"/>
  <c r="S54"/>
  <c r="R54"/>
  <c r="Q54"/>
  <c r="P54"/>
  <c r="O54"/>
  <c r="N54"/>
  <c r="M54"/>
  <c r="L54"/>
  <c r="K54"/>
  <c r="J54"/>
  <c r="I54"/>
  <c r="H54"/>
  <c r="G54"/>
  <c r="F54"/>
  <c r="F54" i="78" s="1"/>
  <c r="H54" s="1"/>
  <c r="I54" s="1"/>
  <c r="U53" i="77"/>
  <c r="T53"/>
  <c r="S53"/>
  <c r="R53"/>
  <c r="Q53"/>
  <c r="P53"/>
  <c r="O53"/>
  <c r="N53"/>
  <c r="M53"/>
  <c r="L53"/>
  <c r="K53"/>
  <c r="J53"/>
  <c r="I53"/>
  <c r="H53"/>
  <c r="G53"/>
  <c r="U52"/>
  <c r="T52"/>
  <c r="S52"/>
  <c r="R52"/>
  <c r="Q52"/>
  <c r="P52"/>
  <c r="O52"/>
  <c r="N52"/>
  <c r="M52"/>
  <c r="L52"/>
  <c r="K52"/>
  <c r="J52"/>
  <c r="I52"/>
  <c r="H52"/>
  <c r="G52"/>
  <c r="F52" i="78" s="1"/>
  <c r="H52" s="1"/>
  <c r="I52" s="1"/>
  <c r="U51" i="77"/>
  <c r="S51"/>
  <c r="S176" s="1"/>
  <c r="R51"/>
  <c r="Q51"/>
  <c r="Q176" s="1"/>
  <c r="O51"/>
  <c r="N51"/>
  <c r="N176" s="1"/>
  <c r="M51"/>
  <c r="K51"/>
  <c r="K176" s="1"/>
  <c r="J51"/>
  <c r="I51"/>
  <c r="I176" s="1"/>
  <c r="H51"/>
  <c r="G51"/>
  <c r="G176" s="1"/>
  <c r="F51"/>
  <c r="D179" i="81"/>
  <c r="D196"/>
  <c r="H196" s="1"/>
  <c r="I196" s="1"/>
  <c r="D194"/>
  <c r="H194" s="1"/>
  <c r="I194" s="1"/>
  <c r="E192" i="77"/>
  <c r="D192" i="81"/>
  <c r="H192" s="1"/>
  <c r="I192" s="1"/>
  <c r="D190"/>
  <c r="H190" s="1"/>
  <c r="I190" s="1"/>
  <c r="D188"/>
  <c r="H188" s="1"/>
  <c r="I188" s="1"/>
  <c r="D186"/>
  <c r="H186" s="1"/>
  <c r="I186" s="1"/>
  <c r="D185"/>
  <c r="H185" s="1"/>
  <c r="I185" s="1"/>
  <c r="D184"/>
  <c r="H184" s="1"/>
  <c r="I184" s="1"/>
  <c r="D182"/>
  <c r="H182" s="1"/>
  <c r="I182" s="1"/>
  <c r="E233" i="80"/>
  <c r="E231"/>
  <c r="S234"/>
  <c r="O234"/>
  <c r="K234"/>
  <c r="G234"/>
  <c r="V233"/>
  <c r="S233"/>
  <c r="Q233"/>
  <c r="O233"/>
  <c r="M233"/>
  <c r="K233"/>
  <c r="I233"/>
  <c r="G233"/>
  <c r="V232"/>
  <c r="Q232"/>
  <c r="M232"/>
  <c r="I232"/>
  <c r="V231"/>
  <c r="S231"/>
  <c r="O231"/>
  <c r="M231"/>
  <c r="K231"/>
  <c r="G231"/>
  <c r="S230"/>
  <c r="O230"/>
  <c r="K230"/>
  <c r="G230"/>
  <c r="V229"/>
  <c r="Q229"/>
  <c r="O229"/>
  <c r="M229"/>
  <c r="I229"/>
  <c r="G229"/>
  <c r="G235" s="1"/>
  <c r="V228"/>
  <c r="V235" s="1"/>
  <c r="Q228"/>
  <c r="M228"/>
  <c r="I228"/>
  <c r="I235" s="1"/>
  <c r="Q227"/>
  <c r="E237"/>
  <c r="E242" s="1"/>
  <c r="E240"/>
  <c r="R241"/>
  <c r="N241"/>
  <c r="J241"/>
  <c r="U240"/>
  <c r="R240"/>
  <c r="P240"/>
  <c r="N240"/>
  <c r="L240"/>
  <c r="J240"/>
  <c r="U239"/>
  <c r="R239"/>
  <c r="P239"/>
  <c r="L239"/>
  <c r="J239"/>
  <c r="R238"/>
  <c r="R242" s="1"/>
  <c r="P238"/>
  <c r="N238"/>
  <c r="N242" s="1"/>
  <c r="L238"/>
  <c r="J238"/>
  <c r="J242" s="1"/>
  <c r="F238"/>
  <c r="U237"/>
  <c r="U242" s="1"/>
  <c r="P237"/>
  <c r="P242" s="1"/>
  <c r="L237"/>
  <c r="L242" s="1"/>
  <c r="H237"/>
  <c r="H242" s="1"/>
  <c r="F237"/>
  <c r="F242" s="1"/>
  <c r="E261"/>
  <c r="E259"/>
  <c r="E257"/>
  <c r="E253"/>
  <c r="V261"/>
  <c r="S261"/>
  <c r="Q261"/>
  <c r="O261"/>
  <c r="M261"/>
  <c r="K261"/>
  <c r="I261"/>
  <c r="G261"/>
  <c r="V259"/>
  <c r="S259"/>
  <c r="S262" s="1"/>
  <c r="Q259"/>
  <c r="O259"/>
  <c r="M259"/>
  <c r="G259"/>
  <c r="Q257"/>
  <c r="M257"/>
  <c r="Q255"/>
  <c r="K255"/>
  <c r="G255"/>
  <c r="M253"/>
  <c r="K253"/>
  <c r="I253"/>
  <c r="G253"/>
  <c r="V251"/>
  <c r="V262" s="1"/>
  <c r="Q251"/>
  <c r="Q262" s="1"/>
  <c r="O251"/>
  <c r="O262" s="1"/>
  <c r="M251"/>
  <c r="I251"/>
  <c r="I262" s="1"/>
  <c r="G251"/>
  <c r="U198"/>
  <c r="T198" i="77"/>
  <c r="R198" i="80"/>
  <c r="R198" i="77"/>
  <c r="P198" i="80"/>
  <c r="P198" i="77"/>
  <c r="N198" i="80"/>
  <c r="N198" i="77"/>
  <c r="L198" i="80"/>
  <c r="L198" i="77"/>
  <c r="J198" i="80"/>
  <c r="J198" i="77"/>
  <c r="H198" i="80"/>
  <c r="H198" i="77"/>
  <c r="F198" i="80"/>
  <c r="F198" i="77"/>
  <c r="F198" i="78" s="1"/>
  <c r="H198" s="1"/>
  <c r="I198" s="1"/>
  <c r="U197" i="80"/>
  <c r="T197" i="77"/>
  <c r="R197" i="80"/>
  <c r="R197" i="77"/>
  <c r="P197" i="80"/>
  <c r="P197" i="77"/>
  <c r="N197" i="80"/>
  <c r="N197" i="77"/>
  <c r="L197" i="80"/>
  <c r="L197" i="77"/>
  <c r="J197" i="80"/>
  <c r="J197" i="77"/>
  <c r="H197" i="80"/>
  <c r="H197" i="77"/>
  <c r="F197" i="80"/>
  <c r="F197" i="77"/>
  <c r="F197" i="78" s="1"/>
  <c r="H197" s="1"/>
  <c r="I197" s="1"/>
  <c r="U196" i="80"/>
  <c r="T196" i="77"/>
  <c r="R196" i="80"/>
  <c r="R196" i="77"/>
  <c r="P196" i="80"/>
  <c r="P196" i="77"/>
  <c r="N196" i="80"/>
  <c r="N196" i="77"/>
  <c r="L196" i="80"/>
  <c r="L196" i="77"/>
  <c r="J196" i="80"/>
  <c r="J196" i="77"/>
  <c r="H196" i="80"/>
  <c r="H196" i="77"/>
  <c r="F196" i="80"/>
  <c r="F196" i="77"/>
  <c r="F196" i="78" s="1"/>
  <c r="H196" s="1"/>
  <c r="I196" s="1"/>
  <c r="U195" i="80"/>
  <c r="T195" i="77"/>
  <c r="R195" i="80"/>
  <c r="R195" i="77"/>
  <c r="P195" i="80"/>
  <c r="P195" i="77"/>
  <c r="N195" i="80"/>
  <c r="N195" i="77"/>
  <c r="L195" i="80"/>
  <c r="L195" i="77"/>
  <c r="J195" i="80"/>
  <c r="J195" i="77"/>
  <c r="H195" i="80"/>
  <c r="H195" i="77"/>
  <c r="F195" i="80"/>
  <c r="F195" i="77"/>
  <c r="F195" i="78" s="1"/>
  <c r="H195" s="1"/>
  <c r="I195" s="1"/>
  <c r="U194" i="80"/>
  <c r="T194" i="77"/>
  <c r="R194" i="80"/>
  <c r="R194" i="77"/>
  <c r="P194" i="80"/>
  <c r="P194" i="77"/>
  <c r="N194" i="80"/>
  <c r="N194" i="77"/>
  <c r="L194" i="80"/>
  <c r="L194" i="77"/>
  <c r="J194" i="80"/>
  <c r="J194" i="77"/>
  <c r="H194" i="80"/>
  <c r="H194" i="77"/>
  <c r="F194" i="80"/>
  <c r="F194" i="77"/>
  <c r="F194" i="78" s="1"/>
  <c r="H194" s="1"/>
  <c r="I194" s="1"/>
  <c r="U193" i="80"/>
  <c r="T193" i="77"/>
  <c r="R193" i="80"/>
  <c r="R193" i="77"/>
  <c r="P193" i="80"/>
  <c r="P193" i="77"/>
  <c r="N193" i="80"/>
  <c r="N193" i="77"/>
  <c r="L193" i="80"/>
  <c r="L193" i="77"/>
  <c r="J193" i="80"/>
  <c r="J193" i="77"/>
  <c r="H193" i="80"/>
  <c r="H193" i="77"/>
  <c r="F193" i="80"/>
  <c r="F193" i="77"/>
  <c r="F193" i="78" s="1"/>
  <c r="H193" s="1"/>
  <c r="I193" s="1"/>
  <c r="U192" i="80"/>
  <c r="T192" i="77"/>
  <c r="R192" i="80"/>
  <c r="R192" i="77"/>
  <c r="P192" i="80"/>
  <c r="P192" i="77"/>
  <c r="N192" i="80"/>
  <c r="N192" i="77"/>
  <c r="L192" i="80"/>
  <c r="L192" i="77"/>
  <c r="J192" i="80"/>
  <c r="J192" i="77"/>
  <c r="H192" i="80"/>
  <c r="H192" i="77"/>
  <c r="F192" i="80"/>
  <c r="F192" i="77"/>
  <c r="U191" i="80"/>
  <c r="T191" i="77"/>
  <c r="R191" i="80"/>
  <c r="R191" i="77"/>
  <c r="P191" i="80"/>
  <c r="P191" i="77"/>
  <c r="N191" i="80"/>
  <c r="N191" i="77"/>
  <c r="L191" i="80"/>
  <c r="L191" i="77"/>
  <c r="J191" i="80"/>
  <c r="J191" i="77"/>
  <c r="H191" i="80"/>
  <c r="H191" i="77"/>
  <c r="F191" i="80"/>
  <c r="F191" i="77"/>
  <c r="F191" i="78" s="1"/>
  <c r="H191" s="1"/>
  <c r="I191" s="1"/>
  <c r="U190" i="80"/>
  <c r="T190" i="77"/>
  <c r="R190" i="80"/>
  <c r="R190" i="77"/>
  <c r="P190" i="80"/>
  <c r="P190" i="77"/>
  <c r="N190" i="80"/>
  <c r="N190" i="77"/>
  <c r="L190" i="80"/>
  <c r="L190" i="77"/>
  <c r="J190" i="80"/>
  <c r="J190" i="77"/>
  <c r="H190" i="80"/>
  <c r="H190" i="77"/>
  <c r="F190" i="80"/>
  <c r="F190" i="77"/>
  <c r="F190" i="78" s="1"/>
  <c r="H190" s="1"/>
  <c r="I190" s="1"/>
  <c r="U189" i="80"/>
  <c r="T189" i="77"/>
  <c r="R189" i="80"/>
  <c r="R189" i="77"/>
  <c r="P189" i="80"/>
  <c r="P189" i="77"/>
  <c r="N189" i="80"/>
  <c r="N189" i="77"/>
  <c r="L189" i="80"/>
  <c r="L189" i="77"/>
  <c r="J189" i="80"/>
  <c r="J189" i="77"/>
  <c r="H189" i="80"/>
  <c r="H189" i="77"/>
  <c r="F189" i="80"/>
  <c r="F189" i="77"/>
  <c r="F189" i="78" s="1"/>
  <c r="H189" s="1"/>
  <c r="I189" s="1"/>
  <c r="U188" i="80"/>
  <c r="T188" i="77"/>
  <c r="R188" i="80"/>
  <c r="R188" i="77"/>
  <c r="P188" i="80"/>
  <c r="P204" s="1"/>
  <c r="P188" i="77"/>
  <c r="N188" i="80"/>
  <c r="N204" s="1"/>
  <c r="N188" i="77"/>
  <c r="L188" i="80"/>
  <c r="L204" s="1"/>
  <c r="L188" i="77"/>
  <c r="J188" i="80"/>
  <c r="J204" s="1"/>
  <c r="J188" i="77"/>
  <c r="H188" i="80"/>
  <c r="H204" s="1"/>
  <c r="H188" i="77"/>
  <c r="F188" i="80"/>
  <c r="F204" s="1"/>
  <c r="F188" i="77"/>
  <c r="F188" i="78" s="1"/>
  <c r="H188" s="1"/>
  <c r="I188" s="1"/>
  <c r="U187" i="80"/>
  <c r="U204" s="1"/>
  <c r="T187" i="77"/>
  <c r="R187" i="80"/>
  <c r="R204" s="1"/>
  <c r="R187" i="77"/>
  <c r="E232" i="80"/>
  <c r="E228"/>
  <c r="U234"/>
  <c r="R234"/>
  <c r="P234"/>
  <c r="L234"/>
  <c r="J234"/>
  <c r="H234"/>
  <c r="U233"/>
  <c r="P233"/>
  <c r="L233"/>
  <c r="H233"/>
  <c r="U232"/>
  <c r="R232"/>
  <c r="P232"/>
  <c r="N232"/>
  <c r="L232"/>
  <c r="J232"/>
  <c r="F232"/>
  <c r="R231"/>
  <c r="R235" s="1"/>
  <c r="N231"/>
  <c r="J231"/>
  <c r="F231"/>
  <c r="U230"/>
  <c r="P230"/>
  <c r="N230"/>
  <c r="L230"/>
  <c r="H230"/>
  <c r="F230"/>
  <c r="U229"/>
  <c r="P229"/>
  <c r="P235" s="1"/>
  <c r="L229"/>
  <c r="H229"/>
  <c r="H235" s="1"/>
  <c r="L228"/>
  <c r="F228"/>
  <c r="J227"/>
  <c r="F227"/>
  <c r="F235" s="1"/>
  <c r="E239"/>
  <c r="S241"/>
  <c r="O241"/>
  <c r="K241"/>
  <c r="G241"/>
  <c r="V239"/>
  <c r="S239"/>
  <c r="Q239"/>
  <c r="O239"/>
  <c r="M239"/>
  <c r="K239"/>
  <c r="I239"/>
  <c r="G239"/>
  <c r="V238"/>
  <c r="Q238"/>
  <c r="M238"/>
  <c r="I238"/>
  <c r="V237"/>
  <c r="V242" s="1"/>
  <c r="Q237"/>
  <c r="O237"/>
  <c r="O242" s="1"/>
  <c r="M237"/>
  <c r="I237"/>
  <c r="I242" s="1"/>
  <c r="G237"/>
  <c r="G242" s="1"/>
  <c r="E251"/>
  <c r="E262" s="1"/>
  <c r="U260"/>
  <c r="R260"/>
  <c r="P260"/>
  <c r="L260"/>
  <c r="J260"/>
  <c r="H260"/>
  <c r="F260"/>
  <c r="P258"/>
  <c r="L258"/>
  <c r="F258"/>
  <c r="P256"/>
  <c r="J256"/>
  <c r="F256"/>
  <c r="R254"/>
  <c r="L254"/>
  <c r="H254"/>
  <c r="U252"/>
  <c r="U262" s="1"/>
  <c r="R252"/>
  <c r="R262" s="1"/>
  <c r="P252"/>
  <c r="N252"/>
  <c r="N262" s="1"/>
  <c r="L252"/>
  <c r="J252"/>
  <c r="J262" s="1"/>
  <c r="H252"/>
  <c r="F252"/>
  <c r="F262" s="1"/>
  <c r="F294" s="1"/>
  <c r="E210"/>
  <c r="G209" i="77"/>
  <c r="F209"/>
  <c r="G208"/>
  <c r="F208"/>
  <c r="F210" s="1"/>
  <c r="G207"/>
  <c r="G210" s="1"/>
  <c r="E212"/>
  <c r="D216" i="81"/>
  <c r="H216" s="1"/>
  <c r="I216" s="1"/>
  <c r="D215"/>
  <c r="H215" s="1"/>
  <c r="I215" s="1"/>
  <c r="D214"/>
  <c r="H214" s="1"/>
  <c r="U215" i="77"/>
  <c r="T215"/>
  <c r="S215"/>
  <c r="R215"/>
  <c r="Q215"/>
  <c r="P215"/>
  <c r="O215"/>
  <c r="N215"/>
  <c r="M215"/>
  <c r="L215"/>
  <c r="K215"/>
  <c r="J215"/>
  <c r="I215"/>
  <c r="H215"/>
  <c r="G215"/>
  <c r="F215"/>
  <c r="F215" i="78" s="1"/>
  <c r="H215" s="1"/>
  <c r="I215" s="1"/>
  <c r="U214" i="77"/>
  <c r="T214"/>
  <c r="S214"/>
  <c r="R214"/>
  <c r="Q214"/>
  <c r="P214"/>
  <c r="O214"/>
  <c r="N214"/>
  <c r="M214"/>
  <c r="L214"/>
  <c r="K214"/>
  <c r="J214"/>
  <c r="J221" s="1"/>
  <c r="I214"/>
  <c r="I221" s="1"/>
  <c r="H214"/>
  <c r="G214"/>
  <c r="F214"/>
  <c r="F214" i="78" s="1"/>
  <c r="H214" s="1"/>
  <c r="I214" s="1"/>
  <c r="U213" i="77"/>
  <c r="U221" s="1"/>
  <c r="T213"/>
  <c r="T221" s="1"/>
  <c r="S213"/>
  <c r="S221" s="1"/>
  <c r="R213"/>
  <c r="R221" s="1"/>
  <c r="Q213"/>
  <c r="Q221" s="1"/>
  <c r="P213"/>
  <c r="O213"/>
  <c r="O221" s="1"/>
  <c r="N213"/>
  <c r="N221" s="1"/>
  <c r="M213"/>
  <c r="M221" s="1"/>
  <c r="L213"/>
  <c r="K213"/>
  <c r="K221" s="1"/>
  <c r="H213"/>
  <c r="H221" s="1"/>
  <c r="P212"/>
  <c r="L212"/>
  <c r="L221" s="1"/>
  <c r="G212"/>
  <c r="G221" s="1"/>
  <c r="F212"/>
  <c r="F221" s="1"/>
  <c r="E244" i="80"/>
  <c r="E245" s="1"/>
  <c r="S244"/>
  <c r="S245" s="1"/>
  <c r="R244"/>
  <c r="R245" s="1"/>
  <c r="O244"/>
  <c r="O245" s="1"/>
  <c r="N244"/>
  <c r="N245" s="1"/>
  <c r="K244"/>
  <c r="K245" s="1"/>
  <c r="J244"/>
  <c r="J245" s="1"/>
  <c r="G244"/>
  <c r="G245" s="1"/>
  <c r="F244"/>
  <c r="F245" s="1"/>
  <c r="D282" i="77"/>
  <c r="D289"/>
  <c r="D288"/>
  <c r="D287"/>
  <c r="D286"/>
  <c r="D285"/>
  <c r="D284"/>
  <c r="D283"/>
  <c r="U289"/>
  <c r="U292" s="1"/>
  <c r="T289"/>
  <c r="T292" s="1"/>
  <c r="S289"/>
  <c r="S292" s="1"/>
  <c r="R289"/>
  <c r="R292" s="1"/>
  <c r="Q289"/>
  <c r="Q292" s="1"/>
  <c r="P289"/>
  <c r="P292" s="1"/>
  <c r="O289"/>
  <c r="O292" s="1"/>
  <c r="N289"/>
  <c r="N292" s="1"/>
  <c r="M289"/>
  <c r="M292" s="1"/>
  <c r="L289"/>
  <c r="L292" s="1"/>
  <c r="Q187"/>
  <c r="P187"/>
  <c r="O187"/>
  <c r="N187"/>
  <c r="M187"/>
  <c r="L187"/>
  <c r="K187"/>
  <c r="J187"/>
  <c r="I187"/>
  <c r="H187"/>
  <c r="G187"/>
  <c r="F187"/>
  <c r="U186"/>
  <c r="T186"/>
  <c r="S186"/>
  <c r="R186"/>
  <c r="Q186"/>
  <c r="P186"/>
  <c r="O186"/>
  <c r="N186"/>
  <c r="M186"/>
  <c r="L186"/>
  <c r="K186"/>
  <c r="J186"/>
  <c r="I186"/>
  <c r="I204" s="1"/>
  <c r="H186"/>
  <c r="H204" s="1"/>
  <c r="G186"/>
  <c r="G204" s="1"/>
  <c r="F186"/>
  <c r="U185"/>
  <c r="U204" s="1"/>
  <c r="T185"/>
  <c r="T204" s="1"/>
  <c r="S185"/>
  <c r="S204" s="1"/>
  <c r="R185"/>
  <c r="R204" s="1"/>
  <c r="Q185"/>
  <c r="Q204" s="1"/>
  <c r="P185"/>
  <c r="P204" s="1"/>
  <c r="O185"/>
  <c r="O204" s="1"/>
  <c r="N185"/>
  <c r="N204" s="1"/>
  <c r="M185"/>
  <c r="L185"/>
  <c r="L204" s="1"/>
  <c r="K185"/>
  <c r="K204" s="1"/>
  <c r="J185"/>
  <c r="J204" s="1"/>
  <c r="V244" i="80"/>
  <c r="V245" s="1"/>
  <c r="U244"/>
  <c r="U245" s="1"/>
  <c r="Q244"/>
  <c r="Q245" s="1"/>
  <c r="P244"/>
  <c r="P245" s="1"/>
  <c r="M244"/>
  <c r="M245" s="1"/>
  <c r="L244"/>
  <c r="L245" s="1"/>
  <c r="I244"/>
  <c r="I245" s="1"/>
  <c r="H244"/>
  <c r="H245" s="1"/>
  <c r="F50" i="81"/>
  <c r="N292" i="71"/>
  <c r="F121" i="81"/>
  <c r="G296"/>
  <c r="G49" i="64"/>
  <c r="F120" i="81"/>
  <c r="H120" s="1"/>
  <c r="I120" s="1"/>
  <c r="F118"/>
  <c r="H118" s="1"/>
  <c r="I118" s="1"/>
  <c r="F116"/>
  <c r="H116" s="1"/>
  <c r="I116" s="1"/>
  <c r="F114"/>
  <c r="H114" s="1"/>
  <c r="I114" s="1"/>
  <c r="F112"/>
  <c r="H112" s="1"/>
  <c r="I112" s="1"/>
  <c r="F110"/>
  <c r="H110" s="1"/>
  <c r="I110" s="1"/>
  <c r="F108"/>
  <c r="H108" s="1"/>
  <c r="I108" s="1"/>
  <c r="F106"/>
  <c r="H106" s="1"/>
  <c r="I106" s="1"/>
  <c r="F104"/>
  <c r="H104" s="1"/>
  <c r="I104" s="1"/>
  <c r="F102"/>
  <c r="H102" s="1"/>
  <c r="I102" s="1"/>
  <c r="E49" i="84"/>
  <c r="G174" i="64"/>
  <c r="H174" s="1"/>
  <c r="I174" s="1"/>
  <c r="G149"/>
  <c r="H149" s="1"/>
  <c r="I149" s="1"/>
  <c r="G147"/>
  <c r="H147" s="1"/>
  <c r="I147" s="1"/>
  <c r="G145"/>
  <c r="H145" s="1"/>
  <c r="I145" s="1"/>
  <c r="G143"/>
  <c r="H143" s="1"/>
  <c r="I143" s="1"/>
  <c r="G141"/>
  <c r="H141" s="1"/>
  <c r="I141" s="1"/>
  <c r="G139"/>
  <c r="H139" s="1"/>
  <c r="I139" s="1"/>
  <c r="G137"/>
  <c r="H137" s="1"/>
  <c r="I137" s="1"/>
  <c r="G135"/>
  <c r="H135" s="1"/>
  <c r="I135" s="1"/>
  <c r="G133"/>
  <c r="H133" s="1"/>
  <c r="I133" s="1"/>
  <c r="G131"/>
  <c r="H131" s="1"/>
  <c r="I131" s="1"/>
  <c r="G129"/>
  <c r="H129" s="1"/>
  <c r="I129" s="1"/>
  <c r="G127"/>
  <c r="H127" s="1"/>
  <c r="I127" s="1"/>
  <c r="G125"/>
  <c r="H125" s="1"/>
  <c r="I125" s="1"/>
  <c r="G123"/>
  <c r="H123" s="1"/>
  <c r="I123" s="1"/>
  <c r="G121"/>
  <c r="H121" s="1"/>
  <c r="I121" s="1"/>
  <c r="G119"/>
  <c r="H119" s="1"/>
  <c r="I119" s="1"/>
  <c r="G117"/>
  <c r="H117" s="1"/>
  <c r="I117" s="1"/>
  <c r="G116"/>
  <c r="H116" s="1"/>
  <c r="I116" s="1"/>
  <c r="G115"/>
  <c r="H115" s="1"/>
  <c r="I115" s="1"/>
  <c r="G114"/>
  <c r="H114" s="1"/>
  <c r="I114" s="1"/>
  <c r="G113"/>
  <c r="H113" s="1"/>
  <c r="I113" s="1"/>
  <c r="G112"/>
  <c r="H112" s="1"/>
  <c r="I112" s="1"/>
  <c r="G111"/>
  <c r="H111" s="1"/>
  <c r="I111" s="1"/>
  <c r="G110"/>
  <c r="H110" s="1"/>
  <c r="I110" s="1"/>
  <c r="G109"/>
  <c r="H109" s="1"/>
  <c r="I109" s="1"/>
  <c r="G108"/>
  <c r="H108" s="1"/>
  <c r="I108" s="1"/>
  <c r="G107"/>
  <c r="H107" s="1"/>
  <c r="I107" s="1"/>
  <c r="G106"/>
  <c r="H106" s="1"/>
  <c r="I106" s="1"/>
  <c r="G105"/>
  <c r="H105" s="1"/>
  <c r="I105" s="1"/>
  <c r="G104"/>
  <c r="H104" s="1"/>
  <c r="I104" s="1"/>
  <c r="G103"/>
  <c r="H103" s="1"/>
  <c r="I103" s="1"/>
  <c r="G102"/>
  <c r="H102" s="1"/>
  <c r="I102" s="1"/>
  <c r="G101"/>
  <c r="H101" s="1"/>
  <c r="I101" s="1"/>
  <c r="G100"/>
  <c r="H100" s="1"/>
  <c r="I100" s="1"/>
  <c r="G99"/>
  <c r="H99" s="1"/>
  <c r="I99" s="1"/>
  <c r="G98"/>
  <c r="H98" s="1"/>
  <c r="I98" s="1"/>
  <c r="G97"/>
  <c r="H97" s="1"/>
  <c r="I97" s="1"/>
  <c r="G96"/>
  <c r="H96" s="1"/>
  <c r="I96" s="1"/>
  <c r="G95"/>
  <c r="H95" s="1"/>
  <c r="I95" s="1"/>
  <c r="G94"/>
  <c r="H94" s="1"/>
  <c r="I94" s="1"/>
  <c r="G93"/>
  <c r="H93" s="1"/>
  <c r="I93" s="1"/>
  <c r="G92"/>
  <c r="H92" s="1"/>
  <c r="I92" s="1"/>
  <c r="G91"/>
  <c r="H91" s="1"/>
  <c r="I91" s="1"/>
  <c r="G90"/>
  <c r="H90" s="1"/>
  <c r="I90" s="1"/>
  <c r="G89"/>
  <c r="H89" s="1"/>
  <c r="I89" s="1"/>
  <c r="G88"/>
  <c r="H88" s="1"/>
  <c r="I88" s="1"/>
  <c r="G87"/>
  <c r="H87" s="1"/>
  <c r="I87" s="1"/>
  <c r="G86"/>
  <c r="H86" s="1"/>
  <c r="I86" s="1"/>
  <c r="G85"/>
  <c r="H85" s="1"/>
  <c r="I85" s="1"/>
  <c r="G84"/>
  <c r="H84" s="1"/>
  <c r="I84" s="1"/>
  <c r="G83"/>
  <c r="H83" s="1"/>
  <c r="I83" s="1"/>
  <c r="G82"/>
  <c r="H82" s="1"/>
  <c r="I82" s="1"/>
  <c r="G81"/>
  <c r="H81" s="1"/>
  <c r="I81" s="1"/>
  <c r="G80"/>
  <c r="H80" s="1"/>
  <c r="I80" s="1"/>
  <c r="G79"/>
  <c r="H79" s="1"/>
  <c r="I79" s="1"/>
  <c r="G78"/>
  <c r="H78" s="1"/>
  <c r="I78" s="1"/>
  <c r="G77"/>
  <c r="H77" s="1"/>
  <c r="I77" s="1"/>
  <c r="G76"/>
  <c r="H76" s="1"/>
  <c r="I76" s="1"/>
  <c r="G75"/>
  <c r="H75" s="1"/>
  <c r="I75" s="1"/>
  <c r="G74"/>
  <c r="H74" s="1"/>
  <c r="I74" s="1"/>
  <c r="G73"/>
  <c r="H73" s="1"/>
  <c r="I73" s="1"/>
  <c r="G72"/>
  <c r="H72" s="1"/>
  <c r="I72" s="1"/>
  <c r="G71"/>
  <c r="H71" s="1"/>
  <c r="I71" s="1"/>
  <c r="G70"/>
  <c r="H70" s="1"/>
  <c r="I70" s="1"/>
  <c r="G69"/>
  <c r="H69" s="1"/>
  <c r="I69" s="1"/>
  <c r="G68"/>
  <c r="H68" s="1"/>
  <c r="I68" s="1"/>
  <c r="G67"/>
  <c r="H67" s="1"/>
  <c r="I67" s="1"/>
  <c r="G66"/>
  <c r="H66" s="1"/>
  <c r="I66" s="1"/>
  <c r="G65"/>
  <c r="H65" s="1"/>
  <c r="I65" s="1"/>
  <c r="G64"/>
  <c r="H64" s="1"/>
  <c r="I64" s="1"/>
  <c r="G63"/>
  <c r="H63" s="1"/>
  <c r="I63" s="1"/>
  <c r="G62"/>
  <c r="H62" s="1"/>
  <c r="I62" s="1"/>
  <c r="G61"/>
  <c r="H61" s="1"/>
  <c r="I61" s="1"/>
  <c r="G60"/>
  <c r="H60" s="1"/>
  <c r="I60" s="1"/>
  <c r="G59"/>
  <c r="H59" s="1"/>
  <c r="I59" s="1"/>
  <c r="G58"/>
  <c r="H58" s="1"/>
  <c r="I58" s="1"/>
  <c r="G57"/>
  <c r="H57" s="1"/>
  <c r="I57" s="1"/>
  <c r="G56"/>
  <c r="H56" s="1"/>
  <c r="I56" s="1"/>
  <c r="G55"/>
  <c r="H55" s="1"/>
  <c r="I55" s="1"/>
  <c r="G54"/>
  <c r="H54" s="1"/>
  <c r="I54" s="1"/>
  <c r="G53"/>
  <c r="H53" s="1"/>
  <c r="I53" s="1"/>
  <c r="G52"/>
  <c r="H52" s="1"/>
  <c r="I52" s="1"/>
  <c r="V208" i="84"/>
  <c r="V210" s="1"/>
  <c r="T262" i="80"/>
  <c r="T293" s="1"/>
  <c r="G10" i="64"/>
  <c r="G21" s="1"/>
  <c r="G23"/>
  <c r="G30"/>
  <c r="G216"/>
  <c r="H216" s="1"/>
  <c r="G51"/>
  <c r="T294" i="80"/>
  <c r="V207"/>
  <c r="V210" s="1"/>
  <c r="K176" i="84"/>
  <c r="G38" i="64"/>
  <c r="H38" s="1"/>
  <c r="I38" s="1"/>
  <c r="I255" i="81" l="1"/>
  <c r="I263" s="1"/>
  <c r="H263"/>
  <c r="D299" i="78"/>
  <c r="D298"/>
  <c r="I251" i="64"/>
  <c r="I262" s="1"/>
  <c r="H262"/>
  <c r="I43" i="81"/>
  <c r="H50"/>
  <c r="H299" i="84"/>
  <c r="H298"/>
  <c r="M299"/>
  <c r="M298"/>
  <c r="U298"/>
  <c r="U299"/>
  <c r="F28" i="64"/>
  <c r="H24"/>
  <c r="I24" s="1"/>
  <c r="K289" i="75"/>
  <c r="W257"/>
  <c r="K288"/>
  <c r="I298" i="84"/>
  <c r="W221"/>
  <c r="I299"/>
  <c r="H294" i="76"/>
  <c r="H293"/>
  <c r="H23" i="81"/>
  <c r="D28"/>
  <c r="V210" i="77"/>
  <c r="P262" i="80"/>
  <c r="P294" s="1"/>
  <c r="K242"/>
  <c r="S242"/>
  <c r="L235"/>
  <c r="U235"/>
  <c r="N235"/>
  <c r="M235"/>
  <c r="O235"/>
  <c r="K235"/>
  <c r="S235"/>
  <c r="F72" i="78"/>
  <c r="H72" s="1"/>
  <c r="I72" s="1"/>
  <c r="F75"/>
  <c r="H75" s="1"/>
  <c r="I75" s="1"/>
  <c r="F77"/>
  <c r="H77" s="1"/>
  <c r="I77" s="1"/>
  <c r="F79"/>
  <c r="H79" s="1"/>
  <c r="I79" s="1"/>
  <c r="F81"/>
  <c r="H81" s="1"/>
  <c r="I81" s="1"/>
  <c r="F89"/>
  <c r="H89" s="1"/>
  <c r="I89" s="1"/>
  <c r="F93"/>
  <c r="H93" s="1"/>
  <c r="I93" s="1"/>
  <c r="F129"/>
  <c r="H129" s="1"/>
  <c r="I129" s="1"/>
  <c r="F130"/>
  <c r="H130" s="1"/>
  <c r="I130" s="1"/>
  <c r="F132"/>
  <c r="H132" s="1"/>
  <c r="I132" s="1"/>
  <c r="F139"/>
  <c r="H139" s="1"/>
  <c r="I139" s="1"/>
  <c r="F140"/>
  <c r="H140" s="1"/>
  <c r="I140" s="1"/>
  <c r="F148"/>
  <c r="H148" s="1"/>
  <c r="I148" s="1"/>
  <c r="F149"/>
  <c r="H149" s="1"/>
  <c r="I149" s="1"/>
  <c r="F150"/>
  <c r="H150" s="1"/>
  <c r="I150" s="1"/>
  <c r="F167"/>
  <c r="H167" s="1"/>
  <c r="I167" s="1"/>
  <c r="F168"/>
  <c r="H168" s="1"/>
  <c r="I168" s="1"/>
  <c r="F169"/>
  <c r="H169" s="1"/>
  <c r="I169" s="1"/>
  <c r="F43"/>
  <c r="H43" s="1"/>
  <c r="I43" s="1"/>
  <c r="I39" i="77"/>
  <c r="G295" i="81"/>
  <c r="G242" i="64"/>
  <c r="F205" i="81"/>
  <c r="F222"/>
  <c r="H54"/>
  <c r="I54" s="1"/>
  <c r="H65"/>
  <c r="I65" s="1"/>
  <c r="H73"/>
  <c r="I73" s="1"/>
  <c r="H77"/>
  <c r="I77" s="1"/>
  <c r="H82"/>
  <c r="I82" s="1"/>
  <c r="H100"/>
  <c r="I100" s="1"/>
  <c r="H111"/>
  <c r="I111" s="1"/>
  <c r="H115"/>
  <c r="I115" s="1"/>
  <c r="H119"/>
  <c r="I119" s="1"/>
  <c r="H169"/>
  <c r="I169" s="1"/>
  <c r="H181"/>
  <c r="I181" s="1"/>
  <c r="H207" i="64"/>
  <c r="H179"/>
  <c r="I179" s="1"/>
  <c r="D298"/>
  <c r="H232"/>
  <c r="I232" s="1"/>
  <c r="H32" i="81"/>
  <c r="R293" i="76"/>
  <c r="H21" i="78"/>
  <c r="E295" i="81"/>
  <c r="P294" i="76"/>
  <c r="W39" i="84"/>
  <c r="F298"/>
  <c r="F299"/>
  <c r="F211" i="81"/>
  <c r="H208"/>
  <c r="F49" i="64"/>
  <c r="H42"/>
  <c r="S289" i="75"/>
  <c r="S288"/>
  <c r="P289" i="72"/>
  <c r="W289" s="1"/>
  <c r="W257"/>
  <c r="P288"/>
  <c r="W288" s="1"/>
  <c r="W49" i="76"/>
  <c r="J294"/>
  <c r="J293"/>
  <c r="R289" i="69"/>
  <c r="W289" s="1"/>
  <c r="R288"/>
  <c r="I207" i="78"/>
  <c r="I210" s="1"/>
  <c r="H210"/>
  <c r="W204" i="80"/>
  <c r="W288" i="69"/>
  <c r="H46" i="64"/>
  <c r="I46" s="1"/>
  <c r="H72" i="81"/>
  <c r="I72" s="1"/>
  <c r="H81"/>
  <c r="I81" s="1"/>
  <c r="H84"/>
  <c r="I84" s="1"/>
  <c r="H86"/>
  <c r="I86" s="1"/>
  <c r="H89"/>
  <c r="I89" s="1"/>
  <c r="H93"/>
  <c r="I93" s="1"/>
  <c r="H99"/>
  <c r="I99" s="1"/>
  <c r="H101"/>
  <c r="I101" s="1"/>
  <c r="H103"/>
  <c r="I103" s="1"/>
  <c r="H109"/>
  <c r="I109" s="1"/>
  <c r="H113"/>
  <c r="I113" s="1"/>
  <c r="H117"/>
  <c r="I117" s="1"/>
  <c r="H158"/>
  <c r="I158" s="1"/>
  <c r="H166"/>
  <c r="I166" s="1"/>
  <c r="D21"/>
  <c r="F292" i="77"/>
  <c r="W39" i="76"/>
  <c r="H228" i="64"/>
  <c r="F288" i="73"/>
  <c r="H288" s="1"/>
  <c r="I288" s="1"/>
  <c r="H213" i="81"/>
  <c r="I213" s="1"/>
  <c r="H33" i="64"/>
  <c r="I33" s="1"/>
  <c r="H10" i="81"/>
  <c r="F32" i="78"/>
  <c r="H32" s="1"/>
  <c r="I32" s="1"/>
  <c r="I50" i="81"/>
  <c r="H174" i="73"/>
  <c r="I174" s="1"/>
  <c r="P293" i="76"/>
  <c r="K293" i="77"/>
  <c r="K294"/>
  <c r="S294" i="80"/>
  <c r="H51" i="64"/>
  <c r="I51" s="1"/>
  <c r="G176"/>
  <c r="H176" s="1"/>
  <c r="I176" s="1"/>
  <c r="G39"/>
  <c r="H30"/>
  <c r="W210" i="84"/>
  <c r="V299"/>
  <c r="V298"/>
  <c r="W49"/>
  <c r="E299"/>
  <c r="E298"/>
  <c r="F186" i="78"/>
  <c r="H186" s="1"/>
  <c r="I186" s="1"/>
  <c r="F204" i="77"/>
  <c r="F212" i="78"/>
  <c r="E221" i="77"/>
  <c r="W210" i="80"/>
  <c r="E204" i="77"/>
  <c r="F192" i="78"/>
  <c r="H192" s="1"/>
  <c r="I192" s="1"/>
  <c r="F176" i="77"/>
  <c r="F51" i="78"/>
  <c r="G49" i="77"/>
  <c r="F41" i="78"/>
  <c r="I49" i="77"/>
  <c r="I293" s="1"/>
  <c r="F42" i="78"/>
  <c r="H42" s="1"/>
  <c r="I42" s="1"/>
  <c r="H39" i="77"/>
  <c r="F30" i="78"/>
  <c r="K295" i="66"/>
  <c r="K294"/>
  <c r="I294"/>
  <c r="W39"/>
  <c r="H173" i="7"/>
  <c r="I165"/>
  <c r="I49"/>
  <c r="H100"/>
  <c r="H25"/>
  <c r="H180" s="1"/>
  <c r="H181" s="1"/>
  <c r="I20"/>
  <c r="I25" s="1"/>
  <c r="I248" i="64"/>
  <c r="I249" s="1"/>
  <c r="H249"/>
  <c r="F298"/>
  <c r="F299"/>
  <c r="I248" i="81"/>
  <c r="I250" s="1"/>
  <c r="H250"/>
  <c r="I26" i="78"/>
  <c r="I28" s="1"/>
  <c r="H28"/>
  <c r="G221" i="64"/>
  <c r="F177" i="81"/>
  <c r="F296" s="1"/>
  <c r="Q294" i="77"/>
  <c r="D292"/>
  <c r="R294" i="80"/>
  <c r="F187" i="78"/>
  <c r="H187" s="1"/>
  <c r="I187" s="1"/>
  <c r="P221" i="77"/>
  <c r="P294" s="1"/>
  <c r="Q293"/>
  <c r="S293"/>
  <c r="H262" i="80"/>
  <c r="H294" s="1"/>
  <c r="L262"/>
  <c r="L294" s="1"/>
  <c r="U294"/>
  <c r="M242"/>
  <c r="Q242"/>
  <c r="J235"/>
  <c r="J294" s="1"/>
  <c r="G262"/>
  <c r="G294" s="1"/>
  <c r="M262"/>
  <c r="M294" s="1"/>
  <c r="K262"/>
  <c r="K294" s="1"/>
  <c r="Q235"/>
  <c r="H176" i="77"/>
  <c r="H294" s="1"/>
  <c r="J176"/>
  <c r="M176"/>
  <c r="O176"/>
  <c r="O293" s="1"/>
  <c r="R176"/>
  <c r="R293" s="1"/>
  <c r="U176"/>
  <c r="U294" s="1"/>
  <c r="L176"/>
  <c r="L293" s="1"/>
  <c r="P176"/>
  <c r="T176"/>
  <c r="T293" s="1"/>
  <c r="F53" i="78"/>
  <c r="H53" s="1"/>
  <c r="I53" s="1"/>
  <c r="F59"/>
  <c r="H59" s="1"/>
  <c r="I59" s="1"/>
  <c r="F68"/>
  <c r="H68" s="1"/>
  <c r="I68" s="1"/>
  <c r="F69"/>
  <c r="H69" s="1"/>
  <c r="I69" s="1"/>
  <c r="F70"/>
  <c r="H70" s="1"/>
  <c r="I70" s="1"/>
  <c r="F71"/>
  <c r="H71" s="1"/>
  <c r="I71" s="1"/>
  <c r="F73"/>
  <c r="H73" s="1"/>
  <c r="I73" s="1"/>
  <c r="F74"/>
  <c r="H74" s="1"/>
  <c r="I74" s="1"/>
  <c r="F76"/>
  <c r="H76" s="1"/>
  <c r="I76" s="1"/>
  <c r="F78"/>
  <c r="H78" s="1"/>
  <c r="I78" s="1"/>
  <c r="F80"/>
  <c r="H80" s="1"/>
  <c r="I80" s="1"/>
  <c r="F82"/>
  <c r="H82" s="1"/>
  <c r="I82" s="1"/>
  <c r="F83"/>
  <c r="H83" s="1"/>
  <c r="I83" s="1"/>
  <c r="F84"/>
  <c r="H84" s="1"/>
  <c r="I84" s="1"/>
  <c r="F85"/>
  <c r="H85" s="1"/>
  <c r="I85" s="1"/>
  <c r="F86"/>
  <c r="H86" s="1"/>
  <c r="I86" s="1"/>
  <c r="F87"/>
  <c r="H87" s="1"/>
  <c r="I87" s="1"/>
  <c r="F88"/>
  <c r="H88" s="1"/>
  <c r="I88" s="1"/>
  <c r="F90"/>
  <c r="H90" s="1"/>
  <c r="I90" s="1"/>
  <c r="F91"/>
  <c r="H91" s="1"/>
  <c r="I91" s="1"/>
  <c r="F92"/>
  <c r="H92" s="1"/>
  <c r="I92" s="1"/>
  <c r="F131"/>
  <c r="H131" s="1"/>
  <c r="I131" s="1"/>
  <c r="F141"/>
  <c r="H141" s="1"/>
  <c r="I141" s="1"/>
  <c r="F142"/>
  <c r="H142" s="1"/>
  <c r="I142" s="1"/>
  <c r="F147"/>
  <c r="H147" s="1"/>
  <c r="I147" s="1"/>
  <c r="F170"/>
  <c r="H170" s="1"/>
  <c r="I170" s="1"/>
  <c r="H121" i="81"/>
  <c r="I121" s="1"/>
  <c r="F44" i="78"/>
  <c r="H44" s="1"/>
  <c r="I44" s="1"/>
  <c r="F45"/>
  <c r="H45" s="1"/>
  <c r="I45" s="1"/>
  <c r="F46"/>
  <c r="H46" s="1"/>
  <c r="I46" s="1"/>
  <c r="F47"/>
  <c r="H47" s="1"/>
  <c r="I47" s="1"/>
  <c r="F48"/>
  <c r="H48" s="1"/>
  <c r="I48" s="1"/>
  <c r="S293" i="80"/>
  <c r="N39" i="77"/>
  <c r="N294" s="1"/>
  <c r="V295" i="66"/>
  <c r="W289" i="68"/>
  <c r="D222" i="81"/>
  <c r="U293" i="80"/>
  <c r="E235"/>
  <c r="E294" s="1"/>
  <c r="U295" i="66"/>
  <c r="P294"/>
  <c r="F213" i="78"/>
  <c r="H213" s="1"/>
  <c r="I213" s="1"/>
  <c r="H287" i="73"/>
  <c r="I287" s="1"/>
  <c r="I295" i="66"/>
  <c r="H10" i="64"/>
  <c r="K298" i="84"/>
  <c r="W176"/>
  <c r="Z175" s="1"/>
  <c r="K299"/>
  <c r="I216" i="64"/>
  <c r="I221" s="1"/>
  <c r="H221"/>
  <c r="G28"/>
  <c r="H23"/>
  <c r="W292" i="71"/>
  <c r="N294"/>
  <c r="W294" s="1"/>
  <c r="M204" i="77"/>
  <c r="F185" i="78"/>
  <c r="F293" i="77"/>
  <c r="J293"/>
  <c r="J294"/>
  <c r="I214" i="81"/>
  <c r="I222" s="1"/>
  <c r="H222"/>
  <c r="H179"/>
  <c r="I179" s="1"/>
  <c r="D205"/>
  <c r="H205" s="1"/>
  <c r="I205" s="1"/>
  <c r="F293" i="80"/>
  <c r="W176"/>
  <c r="D177" i="81"/>
  <c r="H177" s="1"/>
  <c r="I177" s="1"/>
  <c r="H53"/>
  <c r="I53" s="1"/>
  <c r="W39" i="80"/>
  <c r="Q293"/>
  <c r="F31" i="78"/>
  <c r="H31" s="1"/>
  <c r="I31" s="1"/>
  <c r="M39" i="77"/>
  <c r="W177" i="66"/>
  <c r="L295"/>
  <c r="Q294"/>
  <c r="Q295"/>
  <c r="G294"/>
  <c r="W50"/>
  <c r="G295"/>
  <c r="E293" i="76"/>
  <c r="W293" s="1"/>
  <c r="W262"/>
  <c r="E294"/>
  <c r="W294" s="1"/>
  <c r="I239" i="64"/>
  <c r="I242" s="1"/>
  <c r="H242"/>
  <c r="I245" i="81"/>
  <c r="I246" s="1"/>
  <c r="H246"/>
  <c r="O294" i="77"/>
  <c r="S294"/>
  <c r="N294" i="80"/>
  <c r="I294"/>
  <c r="O294"/>
  <c r="V294"/>
  <c r="W242"/>
  <c r="H293"/>
  <c r="J293"/>
  <c r="N293"/>
  <c r="P293"/>
  <c r="G293"/>
  <c r="I293"/>
  <c r="K293"/>
  <c r="O293"/>
  <c r="V293"/>
  <c r="R293"/>
  <c r="V294" i="66"/>
  <c r="I10" i="81" l="1"/>
  <c r="I21" s="1"/>
  <c r="H21"/>
  <c r="I228" i="64"/>
  <c r="I235" s="1"/>
  <c r="H235"/>
  <c r="I42"/>
  <c r="I49" s="1"/>
  <c r="H49"/>
  <c r="I208" i="81"/>
  <c r="I211" s="1"/>
  <c r="H211"/>
  <c r="I23"/>
  <c r="I28" s="1"/>
  <c r="H28"/>
  <c r="M293" i="77"/>
  <c r="Q294" i="80"/>
  <c r="W294" s="1"/>
  <c r="M293"/>
  <c r="U293" i="77"/>
  <c r="W288" i="75"/>
  <c r="W289"/>
  <c r="I32" i="81"/>
  <c r="I39" s="1"/>
  <c r="H39"/>
  <c r="H210" i="64"/>
  <c r="I207"/>
  <c r="I210" s="1"/>
  <c r="M294" i="77"/>
  <c r="H293"/>
  <c r="V204"/>
  <c r="H295" i="81"/>
  <c r="I295" s="1"/>
  <c r="H296"/>
  <c r="I296" s="1"/>
  <c r="F204" i="78"/>
  <c r="H185"/>
  <c r="I23" i="64"/>
  <c r="I28" s="1"/>
  <c r="H28"/>
  <c r="G298"/>
  <c r="G299"/>
  <c r="H212" i="78"/>
  <c r="F221"/>
  <c r="I10" i="64"/>
  <c r="I21" s="1"/>
  <c r="H21"/>
  <c r="D295" i="81"/>
  <c r="D296"/>
  <c r="V292" i="77"/>
  <c r="D294"/>
  <c r="K100" i="7"/>
  <c r="I100"/>
  <c r="F39" i="78"/>
  <c r="H30"/>
  <c r="F49"/>
  <c r="H41"/>
  <c r="F176"/>
  <c r="H176" s="1"/>
  <c r="I176" s="1"/>
  <c r="H51"/>
  <c r="I51" s="1"/>
  <c r="V221" i="77"/>
  <c r="E293"/>
  <c r="E294"/>
  <c r="I30" i="64"/>
  <c r="I39" s="1"/>
  <c r="H39"/>
  <c r="T294" i="77"/>
  <c r="L294"/>
  <c r="H298" i="64"/>
  <c r="I298" s="1"/>
  <c r="V49" i="77"/>
  <c r="V176"/>
  <c r="G293"/>
  <c r="W299" i="84"/>
  <c r="N293" i="77"/>
  <c r="I294"/>
  <c r="L293" i="80"/>
  <c r="W295" i="66"/>
  <c r="W302" s="1"/>
  <c r="W294"/>
  <c r="F294" i="77"/>
  <c r="W235" i="80"/>
  <c r="P293" i="77"/>
  <c r="R294"/>
  <c r="H299" i="64"/>
  <c r="I299" s="1"/>
  <c r="I180" i="7"/>
  <c r="I181" s="1"/>
  <c r="E293" i="80"/>
  <c r="G294" i="77"/>
  <c r="W298" i="84"/>
  <c r="W262" i="80"/>
  <c r="V39" i="77"/>
  <c r="F295" i="81"/>
  <c r="X293" i="80" l="1"/>
  <c r="W293"/>
  <c r="W296"/>
  <c r="I212" i="78"/>
  <c r="I221" s="1"/>
  <c r="H221"/>
  <c r="H49"/>
  <c r="I41"/>
  <c r="I49" s="1"/>
  <c r="H39"/>
  <c r="I30"/>
  <c r="I39" s="1"/>
  <c r="F299"/>
  <c r="H299" s="1"/>
  <c r="I299" s="1"/>
  <c r="F298"/>
  <c r="H298" s="1"/>
  <c r="I298" s="1"/>
  <c r="I185"/>
  <c r="I204" s="1"/>
  <c r="H204"/>
  <c r="V293" i="77"/>
  <c r="V294"/>
  <c r="W299" i="80" l="1"/>
  <c r="X295"/>
  <c r="W235" i="79"/>
</calcChain>
</file>

<file path=xl/sharedStrings.xml><?xml version="1.0" encoding="utf-8"?>
<sst xmlns="http://schemas.openxmlformats.org/spreadsheetml/2006/main" count="6585" uniqueCount="454">
  <si>
    <t>เทศบาลตำบลคลองทรายขาว</t>
  </si>
  <si>
    <t>หมวด/ประเภท</t>
  </si>
  <si>
    <t>งบประมาณ</t>
  </si>
  <si>
    <t>รายจ่ายงบกลาง (000)</t>
  </si>
  <si>
    <t>เงินสมทบกองทุนประกันสังคม</t>
  </si>
  <si>
    <t>รวม</t>
  </si>
  <si>
    <t>เงินเดือนนายก/รองนายกเทศมนตรี</t>
  </si>
  <si>
    <t>เงินเดือนพนักงาน</t>
  </si>
  <si>
    <t>เงินประจำตำแหน่ง</t>
  </si>
  <si>
    <t>เงินช่วยเหลือการศึกษาบุตร</t>
  </si>
  <si>
    <t>ค่าเช่าบ้าน</t>
  </si>
  <si>
    <t>ค่ารับรองในการต้อนรับบุคคลหรือคณะบุคคล</t>
  </si>
  <si>
    <t>วัสดุงานบ้านงานครัว</t>
  </si>
  <si>
    <t>วัสดุยานพาหนะและขนส่ง</t>
  </si>
  <si>
    <t>วัสดุเชื้อเพลิงและหล่อลื่น</t>
  </si>
  <si>
    <t>วัสดุคอมพิวเตอร์</t>
  </si>
  <si>
    <t>วัสดุไฟฟ้าและวิทยุ</t>
  </si>
  <si>
    <t>วัสดุก่อสร้าง</t>
  </si>
  <si>
    <t>วัสดุเกษตร</t>
  </si>
  <si>
    <t>วัสดุอื่น ๆ</t>
  </si>
  <si>
    <t>ค่าไฟฟ้า</t>
  </si>
  <si>
    <t>ค่าโทรศัพท์</t>
  </si>
  <si>
    <t xml:space="preserve">ค่าไปรษณีย์ </t>
  </si>
  <si>
    <t>ค่าบริการทางด้านโทรคมนาคม</t>
  </si>
  <si>
    <t>จ่ายขาดเงินสะสม</t>
  </si>
  <si>
    <t>รวมทั้งสิ้น</t>
  </si>
  <si>
    <t>แผนงานงบกลาง</t>
  </si>
  <si>
    <t>แผนงานบริหารทั่วไป</t>
  </si>
  <si>
    <t>แผนงานการรักษษความสงบภายใน</t>
  </si>
  <si>
    <t>แผนงานการศึกษา</t>
  </si>
  <si>
    <t>แผนงานสาธารณสุข</t>
  </si>
  <si>
    <t>แผนงานเคหะและชุมชน</t>
  </si>
  <si>
    <t>แผนงานสร้างความเข็มแข็งของชุมชน</t>
  </si>
  <si>
    <t>งานงบกลาง</t>
  </si>
  <si>
    <t>งานบริหารทั่วไป</t>
  </si>
  <si>
    <t>งานบริหารงานคลัง</t>
  </si>
  <si>
    <t>งานป้องกันภัยฝ่ายพลเรือนฯ</t>
  </si>
  <si>
    <t>งานบริหารทั่วไปฯ</t>
  </si>
  <si>
    <t>งานระดับก่อนวันเรียนและประถมศึกษา</t>
  </si>
  <si>
    <t>งานศึกษาไม่กำหนดระดับ</t>
  </si>
  <si>
    <t>งานบริการสาธารณสุขและงานสาธารณสุขอื่นๆ</t>
  </si>
  <si>
    <t>งานไฟฟ้าถนน</t>
  </si>
  <si>
    <t>งานกำจัดขยะมูลฝอยและสิ่งปฎิกูล</t>
  </si>
  <si>
    <t>งานส่งเสริมและสนับสนุนความแข็มแข็ง</t>
  </si>
  <si>
    <t>เงินอุดหนุนเฉพาะกิจ</t>
  </si>
  <si>
    <t>เบี้ยยังชีพผู้สูงอายุ</t>
  </si>
  <si>
    <t>วัสดุกีฬา</t>
  </si>
  <si>
    <t>เงินเพิ่มพิเศษสำหรับการสู้รบ</t>
  </si>
  <si>
    <t>วัสดุประปา</t>
  </si>
  <si>
    <t>รวมรายจ่ายตามงบประมาณ</t>
  </si>
  <si>
    <t>ค่าใช้จ่ายในการเลือกตั้ง</t>
  </si>
  <si>
    <t>โต๊ะทำงาน+เก้าอี้ ระดับ 1-2</t>
  </si>
  <si>
    <t>โครงการปรับปรุงถนนสายร่วมใจพัฒนาน้ำตกนกรำ</t>
  </si>
  <si>
    <t>ค่าอาหารกลางวัน ศพด.</t>
  </si>
  <si>
    <t>ไตรมาสที่  1</t>
  </si>
  <si>
    <t>ไตรมาสที่ 2</t>
  </si>
  <si>
    <t>ไตรมาสที่  3</t>
  </si>
  <si>
    <t>ไตรมาสที่  4</t>
  </si>
  <si>
    <t>รวม (บาท)</t>
  </si>
  <si>
    <t>คงเหลือ (บาท)</t>
  </si>
  <si>
    <t>รวมรายจ่ายทั้งสิ้น</t>
  </si>
  <si>
    <t>รายจ่ายให้ได้มาซึ่งบริการ</t>
  </si>
  <si>
    <t>แผนงานศาสนา วัฒนธรรมและนันทนาการ</t>
  </si>
  <si>
    <t>แผนงานอุตสาหกรรมและการโยธา</t>
  </si>
  <si>
    <t>แผนงานการเกษตร</t>
  </si>
  <si>
    <t>งานกีฬาและนันธนาการ</t>
  </si>
  <si>
    <t>งานศาสนาวัฒนธรรมท้องถิ่น</t>
  </si>
  <si>
    <t>งานก่อสร้างโครงสร้างพื้นฐาน</t>
  </si>
  <si>
    <t>งานส่งเสริมการเกษตร</t>
  </si>
  <si>
    <t>เบี้ยยังชีพผู้พิการ</t>
  </si>
  <si>
    <t>ค่าตอบแทนครูผู้ดูแลเด็ก</t>
  </si>
  <si>
    <t>รายจ่ายอื่น</t>
  </si>
  <si>
    <t>ค่าป้องกันและบรรเทาความเดือนร้อนของประชาชน</t>
  </si>
  <si>
    <t>คอมพิวเตอร์</t>
  </si>
  <si>
    <t>เครื่องปรับอากาศ</t>
  </si>
  <si>
    <t>เบี้ยยังชีพผู้ป่วยเอดส์</t>
  </si>
  <si>
    <t>สำรองจ่าย</t>
  </si>
  <si>
    <t>ค่าบำรุงสมาคมสันติบาลเทศบาลแห่งประเทศไทย</t>
  </si>
  <si>
    <t>ค่าสมทบกองทุนระบบหลักประกันสุขภาพ</t>
  </si>
  <si>
    <t>ค่าบำรุงสมาคม อปท.จังหวัดพัทลุง</t>
  </si>
  <si>
    <t>รายจ่ายเพื่อพัฒนาองค์ความรู้และพัฒนาศักยภาพฯ</t>
  </si>
  <si>
    <t>เงินสมบกองทุนบำเหน็จบำนาญข้าราชการ (กบท)</t>
  </si>
  <si>
    <t>เงินเดือน (ฝ่ายการเมือง)  (210000)</t>
  </si>
  <si>
    <t>เงินค่าตอบแทนประจำตำแหน่ง นายก/รองนายก</t>
  </si>
  <si>
    <t>เงินค่าตอบแทนพิเศษ นายก/รองนายก</t>
  </si>
  <si>
    <t>เงินค่าตอบแทนเลขานุการ/ที่ปรึกษานายก</t>
  </si>
  <si>
    <t>เงินค่าตอบแทนสมาชิกสภาเทศลาล</t>
  </si>
  <si>
    <t>เงินเดือน (ฝ่ายประจำ)  (220000)</t>
  </si>
  <si>
    <t>เงินเพิ่มค่าครองชีพพนักงานเทศบาล</t>
  </si>
  <si>
    <t>เงินปรับเพิ่มตามคุณวุฒิ</t>
  </si>
  <si>
    <t>เงินเพิ่มสำหรับตำแหน่งที่มีเหตุพิเศษ</t>
  </si>
  <si>
    <t>เงินเพิ่มต่าง ๆ ของพนักงานจ้าง</t>
  </si>
  <si>
    <t>เงินประโยชน์ตอบแทนอื่นเป็นกรณีพิเศษ</t>
  </si>
  <si>
    <t>ค่าตอบแทนคณะกรรมการดำเนินการสอบ</t>
  </si>
  <si>
    <t>เงินตอบแทนเจ้าหน้าที่ในการเลือกตั้ง</t>
  </si>
  <si>
    <t>ค่าเบี้ยประชุม</t>
  </si>
  <si>
    <t>ค่าตอบแทนการปฎิบัติงานนอกเวลาราชการ</t>
  </si>
  <si>
    <t>เงินช่วยเหลือค่ารักษาพยาบาล</t>
  </si>
  <si>
    <t>ค่าตอบแทน  (310000)</t>
  </si>
  <si>
    <t>ค่าใช้สอย  (320000)</t>
  </si>
  <si>
    <t>รายจ่ายเพื่อให้ได้มาซึ่งบริการ</t>
  </si>
  <si>
    <t>ค่าเลี้ยงรับรองในการประชุมคณะกรรมการฯ</t>
  </si>
  <si>
    <t>ค่าใช้จ่ายในการจัดงานพิธีการทางศาสนา รัฐพิธี</t>
  </si>
  <si>
    <t>โครงการจัดเวทีประชาคมหมู่บ้านและตำบล</t>
  </si>
  <si>
    <t>โครงการปรับปรุงภูมิทัศน์</t>
  </si>
  <si>
    <t>โครงการฝึกอบรมเพื่อเพิ่มประสิทธิภาพฯ</t>
  </si>
  <si>
    <t>ค่าใช้จ่ายในการเดินทางไปราชการ</t>
  </si>
  <si>
    <t>โครงการเทศบาลพบประชาชน</t>
  </si>
  <si>
    <t>โครงการร่วมกิจกรรมวันสตรี</t>
  </si>
  <si>
    <t>โครงการสำรวจข้อมูลพื้นฐานเทศบาลฯ</t>
  </si>
  <si>
    <t>ค่าบำรุงและรักษาซ่อมแซมทรัพย์สิน</t>
  </si>
  <si>
    <t>วัสดุสำนักงาน</t>
  </si>
  <si>
    <t>วัสดุโฆษณาและเผยแพร่</t>
  </si>
  <si>
    <t>ค่าวัสดุ  (330000)</t>
  </si>
  <si>
    <t>ค่าสาธารณูปโภค  (340000)</t>
  </si>
  <si>
    <t>ค่าครุภัณฑ์  (410000)</t>
  </si>
  <si>
    <t>เครื่องโทรสารระบบเลเซอร์</t>
  </si>
  <si>
    <t>รถบรรทุก(ดีเซล)  แบบดับเบิ้ลแค๊บ</t>
  </si>
  <si>
    <t>เงินอุดหนุน อบต.คลองเฉลิม</t>
  </si>
  <si>
    <t>เงินอุดหนุนกิจการสภาเหล่าภาชาด</t>
  </si>
  <si>
    <t>ค่าตอบแทนคณะกรรมการตรวจการจ้าง</t>
  </si>
  <si>
    <t>โครงการจัดทำแผนที่ภาษีและทะเบียนทรัพย์สิน</t>
  </si>
  <si>
    <t>เงินอุดหนุน (610000)</t>
  </si>
  <si>
    <t>คอมพิวเตอร์โน๊ตบุ๊ค</t>
  </si>
  <si>
    <t>เครื่องพิมพ์</t>
  </si>
  <si>
    <t>เครื่องสำรองไฟ</t>
  </si>
  <si>
    <t>โต๊ะวางคอมพิวเตอร์</t>
  </si>
  <si>
    <t>โครงการป้องกันและบรรเทาความเดือนร้อนฯ</t>
  </si>
  <si>
    <t>โครงการป้องกันและลดอุบัติเหตุทางถนน</t>
  </si>
  <si>
    <t>โครงการฝึกอบรมทบทวนเจ้าหน้าที่ อปพร.</t>
  </si>
  <si>
    <t>ค่าตอบแทนพิเศษของพนักงานจ้าง</t>
  </si>
  <si>
    <t>โครงการพัฒนาบุคคลากรทางการศึกษา</t>
  </si>
  <si>
    <t>โครงการอบรมผู้ปกครองนักเรียนศูนย์พัฒนาเด็กเล็ก</t>
  </si>
  <si>
    <t>ค่าใช้จ่ายในการพัฒนาผู้ดูแลเด็ก</t>
  </si>
  <si>
    <t>โครงการศึกษาแหล่งเรียนรู้นอกสถานที่</t>
  </si>
  <si>
    <t>โครงการบัณฑิตน้อย</t>
  </si>
  <si>
    <t>โครงการแข่งขันกีฬาศูนย์พัฒนาเด็กเล็ก</t>
  </si>
  <si>
    <t>ค่าอาหารเสริม(นม) เด็กนักเรียนสังกัด สพฐ.</t>
  </si>
  <si>
    <t>ค่าอาหารเสริม (นม) ศพด.</t>
  </si>
  <si>
    <t>เงินอุดหนุนค่าอาหารกลางวันโรงเรียนสังกัด สพฐ.</t>
  </si>
  <si>
    <t>โครงการวันเด็กแห่งชาติ</t>
  </si>
  <si>
    <t>โครงการพัฒนาทักษะทางวิชาการของเด็กและเยาวชน</t>
  </si>
  <si>
    <t>โครงการพัฒนาศักยภาพ อสม.</t>
  </si>
  <si>
    <t>โครงการรับขวัญเด็กแรกเกิด</t>
  </si>
  <si>
    <t>โครงการดูแลผู้ป่วยโรคเรื้อรัง</t>
  </si>
  <si>
    <t>วัสดุวิทยาศาสตร์หรือการแพทย์</t>
  </si>
  <si>
    <t>เงินอุดหนุนกิจการที่เป็นศูนย์สาธารณสุขมูลฐาน</t>
  </si>
  <si>
    <t>โครงการค่ายเยาวชนพัฒนาท้องถิ่น</t>
  </si>
  <si>
    <t>โครงการศูนย์พัฒนาครอบครัว</t>
  </si>
  <si>
    <t>ที่ดินและสิ่งก่อสร้าง  (420000)</t>
  </si>
  <si>
    <t>โครงการปรับปรุงถนนสายปางราง-สำนักสงฆ์</t>
  </si>
  <si>
    <t>โครงการบุกเบิกถนนสายหนองแดง-พรุกำ-ทุ่งใหญ่</t>
  </si>
  <si>
    <t>โครงการซ่อมแซมถนนภายในตำบลคลองทรายขาว</t>
  </si>
  <si>
    <t>โครงการปรับปรุงควนเขาหม้ออินไซด์</t>
  </si>
  <si>
    <t>โครงการปรับปรุงถนนลาดยาง ถ.พิทักษ์สันติราษฎร์</t>
  </si>
  <si>
    <t>โครงการก่อสร้างศาลาเอนกประสงค์บ้านทุ่งใหญ่</t>
  </si>
  <si>
    <t>โครงการก่อสร้างพนังกั้นน้ำคลองลายพัน</t>
  </si>
  <si>
    <t>โครงการถนนปลอดถังขยะ</t>
  </si>
  <si>
    <t>โครงการธนาคารขยะ</t>
  </si>
  <si>
    <t>โครงการป้องกันและแก้ไขปัญหายาเสพติด</t>
  </si>
  <si>
    <t>โครงการหมู่บ้านน่าอยู่</t>
  </si>
  <si>
    <t>โครงการส่งเสิรมสนับสนุนเศรษฐกิจพอเพียร</t>
  </si>
  <si>
    <t>โครงการส่งเสริมอาชีพในตำบลคลองทรายขาว</t>
  </si>
  <si>
    <t>โครงการแข่งขันกีฬาคลองทรายขาวสัมพันธ์</t>
  </si>
  <si>
    <t>โครงการแข่งขันกีฬานักเรียนตำบลฯ</t>
  </si>
  <si>
    <t>โครงการแข่งขันกีฬาท้องถิ่นสัมพันธ์</t>
  </si>
  <si>
    <t>เงินอุดหนุนโครงการแข่งขันกีฬา-กรีฑา อ.กงหรา</t>
  </si>
  <si>
    <t>โครงการประเพณีลากพระ</t>
  </si>
  <si>
    <t>โครงการเยี่ยมมัสยิดในเดือนรอมฎอน</t>
  </si>
  <si>
    <t>โครงการสุนัตหมู่</t>
  </si>
  <si>
    <t>โครงการรดน้ำขอพรผู้สูงอายุ</t>
  </si>
  <si>
    <t>โครงการพิธีหล่อเทียนพรรษาและแห่เทียน</t>
  </si>
  <si>
    <t>โครงการอบรมศาสนาจริยธรรมแก่เด็กฯ</t>
  </si>
  <si>
    <t>โครงการท้องถิ่นไทย รวมใจภักดิ์ รักสีเขียว</t>
  </si>
  <si>
    <t>โครงการปลูกหญ้าแฝกอันเนื่องจากพระราชดำริ</t>
  </si>
  <si>
    <t>โครงการบริหารจัดการศูนย์ถ่ายทอดเทคโนฯ</t>
  </si>
  <si>
    <t xml:space="preserve">    เงินเดือนครู</t>
  </si>
  <si>
    <t xml:space="preserve">    ค่าครองชีพ</t>
  </si>
  <si>
    <t xml:space="preserve">    ค่าตอบแทนพนักงานจ้าง</t>
  </si>
  <si>
    <t xml:space="preserve">    ค่าครองชีพพนักงานจ้าง</t>
  </si>
  <si>
    <t xml:space="preserve">    ประกันสังคม</t>
  </si>
  <si>
    <t>อาหารเสริม (นม) ศพด.</t>
  </si>
  <si>
    <t>อาหารเสริม (นม) โรงเรียน</t>
  </si>
  <si>
    <t>รายงานผลการดำเนินงาน ปีงบประมาณ  2557</t>
  </si>
  <si>
    <t>ซุ้มเฉลิมพระเกียรติ</t>
  </si>
  <si>
    <t>รายจ่ายตามงบประมาณรายจ่ายประจำปี 2557</t>
  </si>
  <si>
    <t>ค่าตอบแทนพนักงานจ้าง</t>
  </si>
  <si>
    <t>ไมโครโฟนไร้สาย</t>
  </si>
  <si>
    <t>เงินสมทบกองทุนบำเหน็จบำนาญข้าราชการ (กบท)</t>
  </si>
  <si>
    <t>โครงการขับขี่ปลอดภัยสร้างวินัยจราจร</t>
  </si>
  <si>
    <t>***</t>
  </si>
  <si>
    <t>รายจ่ายค้างจ่าย+รายจ่ายรอจ่าย ปี 56</t>
  </si>
  <si>
    <t>ค่าวัสดุยางมอตอยสำเร็จรูป</t>
  </si>
  <si>
    <t>กล้องวงจรปิด</t>
  </si>
  <si>
    <t>โครงการจัดกิจกรรมทางศาสนาและวัฒนธรรมฯ</t>
  </si>
  <si>
    <t>คีย์ถึง  14/2557 21/04/57</t>
  </si>
  <si>
    <t>โครงการซ่อมตลิ่งถนนสายน้ำตกหนานสูง</t>
  </si>
  <si>
    <t>ปรับปรุงภูมิทัศน์สนามกีฬาตำบล</t>
  </si>
  <si>
    <t>เงินเดือน (ประจำ)</t>
  </si>
  <si>
    <t>ณ วันที่  1 ตุลาคม 2556 - 30  กันยายน  2557</t>
  </si>
  <si>
    <t>1 ต.ค. 56- 31 ธ.ค. 56</t>
  </si>
  <si>
    <t>1 ม.ค.57 - 31 มี.ค.57</t>
  </si>
  <si>
    <t>1 เม.ย.57 - 30 มิ.ย.57</t>
  </si>
  <si>
    <t>1 ก.ค.57 30 ก.ย.57</t>
  </si>
  <si>
    <t>ส่งคืนเงินทุนตามโครงการเศรษฐกิจชุมชน</t>
  </si>
  <si>
    <t>ค่าตอบแทนคณะกรรมการตรวจงานจ้าง</t>
  </si>
  <si>
    <t>โครงการอบรมภาษาอังกฤษเพื่อเตรียมความพร้อมสู่ประชาคมอาเซียน</t>
  </si>
  <si>
    <t xml:space="preserve">                                            เทศบาลตำบลคลองทรายขาว</t>
  </si>
  <si>
    <t>วัสดุเครื่องแต่งกาย</t>
  </si>
  <si>
    <t>เงินสำรองจ่าย</t>
  </si>
  <si>
    <t>โครงการให้ความรู้เกี่ยวกับภัยพิบัติ</t>
  </si>
  <si>
    <t>ค่าอาหารกลางวัน ศพด.คลองทรายขาว</t>
  </si>
  <si>
    <t>ค่าอาหารกลางวัน ศพด.บ้านท่าเหนาะ</t>
  </si>
  <si>
    <t>โครงการส่งเสริมอาชีพในตำบลคลองทรายขาวตามหลักเศรษฐกิจพอเพียง</t>
  </si>
  <si>
    <t>โครงการพัฒนาศักยภาพด้านกีฬาของเยาวชนโดยใช้กีฬาฟุตบอล</t>
  </si>
  <si>
    <t>โครงการบริหารจัดการศูนย์ถ่ายทอดเทคโนโลยีทางการเกษตร</t>
  </si>
  <si>
    <t>สังคมสงเคราะห์</t>
  </si>
  <si>
    <t>สวัสดิการสังคม</t>
  </si>
  <si>
    <t>และสังคมสงเคราะห์</t>
  </si>
  <si>
    <t>งานสวนสาธารณะ</t>
  </si>
  <si>
    <t>ทุนการศึกษาสำหรับผู้ดูแลเด็ก</t>
  </si>
  <si>
    <t>เงินสมทบกองทุนประกันสังคม (ผช.ครูผู้ดูแลเด็ก)</t>
  </si>
  <si>
    <t>เบี้ยยังชีพผู้พิการและทุพพลภาพ</t>
  </si>
  <si>
    <t>ค่าเช่าพื้นที่ที่ทิ้งขยะ</t>
  </si>
  <si>
    <t>ค่าเช่าพื้นที่เว็บไซด์</t>
  </si>
  <si>
    <t>ค่าใช้จ่ายในการจัดซื้อหนังสือพิมพิ์สำหรับสำนักงาน</t>
  </si>
  <si>
    <t>ค่าใช้จ่ายในการจ้างเหมาบริการ</t>
  </si>
  <si>
    <t>ค่าใช้จ่ายในการจัดจ้างทำเอกสารวารสารประชาสัมพันธ์และรายงานประจำปี</t>
  </si>
  <si>
    <t>ค่าเบี้ยประกันรถยนต์</t>
  </si>
  <si>
    <t>ค่าเลี้ยงรับรองในการประชุมคณะกรรมการหรือคณะกรรมการ</t>
  </si>
  <si>
    <t>ค่าใช้จ่ายในการจัดงานพิธีการทางศาสนารัฐพิธี ราชพิธี</t>
  </si>
  <si>
    <t>โครงการต่างๆ ตามนโยบายรัฐบาล กรมส่งเสริมและจ.พัทลุง</t>
  </si>
  <si>
    <t>โครงการฝึกอบรมเพื่อเพิ่มประสิทธิภาพการปฏิบัติงาน</t>
  </si>
  <si>
    <t>ค่าใช้จ่ายในการบริหารศูนย์จัดซื้อจัดจ้าง</t>
  </si>
  <si>
    <t>โครงการคลีนิคกฏหมาย</t>
  </si>
  <si>
    <t>โครงการปรับปรุงภูมิทัศน์ภายในตำบลคลองทรายขาว</t>
  </si>
  <si>
    <t>โครงการรู้รักสามัคคีสมานฉันท์</t>
  </si>
  <si>
    <t>โครงการสร้างทัศนคติและจิตสำนึกที่ดีงามต่าสถาบันชาติ ศาสนา พระมหากษัตริย์</t>
  </si>
  <si>
    <t>ค่าบำรุงรักษาและซ่อมแซมทรัพย์สิน</t>
  </si>
  <si>
    <t>เงินเดือนข้าราชการครู</t>
  </si>
  <si>
    <t>เงินเพิ่มต่าง ๆ ของพนักงานจ้าง (ผช.ครูผู้ดูแลเด็ก)</t>
  </si>
  <si>
    <t>เงินช่วยเหลือการศึกษาบุตร (ข้าราชการครู)</t>
  </si>
  <si>
    <t>โครงการแข่งขันกีฬาปฐมวัย</t>
  </si>
  <si>
    <t>โครงการจัดงานวันขึ้นปีใหม่ ศพด.คลองทรายขาว</t>
  </si>
  <si>
    <t>โครงการจัดงานวันขึ้นปีใหม่ ศพด.บ้านทอนตรน</t>
  </si>
  <si>
    <t>โครงการจัดงานวันขึ้นปีใหม่ ศพด.บ้านท่าเหนาะ</t>
  </si>
  <si>
    <t>โครงการส่งเสริมภูมิปัญญาท้องถิ่น ศพด.คลองทรายขาว</t>
  </si>
  <si>
    <t>โครงการส่งเสริมภูมิปัญญาท้องถิ่น ศพด.บ้านคลองหวะหลัง</t>
  </si>
  <si>
    <t>โครงการจัดงานวันขึ้นปีใหม่ ศพด.บ้านคลองหวะหลัง</t>
  </si>
  <si>
    <t>โครงการส่งเสริมภูมิปัญญาท้องถิ่น ศพด.บ้านทอนตรน</t>
  </si>
  <si>
    <t>โครงการส่งเสริมภูมิปัญญาท้องถิ่น ศพด.บ้านท่าเหนาะ</t>
  </si>
  <si>
    <t>โครงการกิจกรรมวันภาษาไทย ศพด.คลองทรายขาว</t>
  </si>
  <si>
    <t>โครงการกิจกรรมวันภาษาไทย ศพด.บ้านคลองหวะหลัง</t>
  </si>
  <si>
    <t>โครงการกิจกรรมวันภาษาไทย ศพด.บ้านทอนตรน</t>
  </si>
  <si>
    <t>โครงการกิจกรรมวันภาษาไทย ศพด.บ้านท่าเหนาะ</t>
  </si>
  <si>
    <t>โครงการวันแม่แห่งชาติ ศพด.คลองทรายขาว</t>
  </si>
  <si>
    <t>โครงการวันแม่แห่งชาติ ศพด.บ้านคลองหวะหลัง</t>
  </si>
  <si>
    <t>โครงการวันแม่แห่งชาติ ศพด.บ้านทอนตรน</t>
  </si>
  <si>
    <t>โครงการวันแม่แห่งชาติ ศพด.บ้านท่าเหนาะ</t>
  </si>
  <si>
    <t>โครงการวันวิสาขบูชา ศพด.คลองทรายขาว</t>
  </si>
  <si>
    <t>โครงการวันมาฆบูชา ศพด.คลองทรายขาว</t>
  </si>
  <si>
    <t>โครงการวันลอยกระทง ศพด.คลองทรายขาว</t>
  </si>
  <si>
    <t>โครงการวันสารทเดือนสิบ ศพด.คลองทรายขาว</t>
  </si>
  <si>
    <t>ค่าอาหารกลางวัน ศพด.บ้านทอนตรน</t>
  </si>
  <si>
    <t>โครงการก่อสร้างถนนคอนกรีตเสริมเหล็กสายซอยวังทอง</t>
  </si>
  <si>
    <t>โครงการพัฒนาเสริมสร้างคุณภาพชีวิตผู้สูงอายุผู้พิการและผู้ด้อยโอกาส</t>
  </si>
  <si>
    <t>โครงการพิธีหล่อเทียนพรรษาและแห่เทียนพรรษา</t>
  </si>
  <si>
    <t>โครงการของดีตำบลคลองทรายขาว</t>
  </si>
  <si>
    <t>โครงการปลูกป่าเฉลิมพระเกียรติฯ</t>
  </si>
  <si>
    <t>ค่าตอบแทนพนักงานจ้าง (ผช.ครูผู้ดูแลเด็ก)</t>
  </si>
  <si>
    <t>เงินค่าตอบแทนสมาชิกสภาเทศบาล</t>
  </si>
  <si>
    <t>แก้ไขครั้งที่ ...</t>
  </si>
  <si>
    <t>คีย์ครั้งที่ 31/60</t>
  </si>
  <si>
    <t xml:space="preserve">ณ  </t>
  </si>
  <si>
    <t xml:space="preserve">                                    รายงานผลการดำเนินงาน ปีงบประมาณ  2561</t>
  </si>
  <si>
    <t>1 ต.ค. 60- 31 ธ.ค. 60</t>
  </si>
  <si>
    <t>รายจ่ายค้างจ่าย+รายจ่ายรอจ่าย ปี 60</t>
  </si>
  <si>
    <t>โครงการต่อต้านการทุจริตเชิงสมานฉันท์</t>
  </si>
  <si>
    <t>โครงการอบรมให้ความรู้แก่คณะผู้บริหาร/พนักงานและสมาชิกสภาฯ</t>
  </si>
  <si>
    <t>โครงการอบรมวินัย/งานสารบรรณแก่พนักงานเทศบาลฯ</t>
  </si>
  <si>
    <t>โครงการอบรมระเบียบข้อบังคับการประชุมสภาท้องถิ่น</t>
  </si>
  <si>
    <t>โครงการฝึกอบรมด้านฝีมือแรงงาน</t>
  </si>
  <si>
    <t>โครงการฝึกอบรม พรบ.ข้อมูลข่าวสาร</t>
  </si>
  <si>
    <t>ค่าบริการโทรศัพท์</t>
  </si>
  <si>
    <t>ค่าบริการไปรษณีย์</t>
  </si>
  <si>
    <t>ค่าบริการสื่อสารและโทรคมนาคม</t>
  </si>
  <si>
    <t>โพเดี้ยม</t>
  </si>
  <si>
    <t>เก้าอี้จัดเลี้ยง</t>
  </si>
  <si>
    <t>เครื่องโทรศัพท์</t>
  </si>
  <si>
    <t>เก้าอี้พลาสติก</t>
  </si>
  <si>
    <t>ตู้เหล็ก 2 บาน</t>
  </si>
  <si>
    <t xml:space="preserve"> - ครุภํณฑ์สำนักงาน</t>
  </si>
  <si>
    <t xml:space="preserve"> - ครุภํณฑ์คอมพิวเตอร์</t>
  </si>
  <si>
    <t>เครื่องคอมพิวเตอร์</t>
  </si>
  <si>
    <t>เครื่องคอมพิวเตอร์โน๊ตบุ๊ค</t>
  </si>
  <si>
    <t>โครงการป้องกันและบรรเทาความเดือดร้อนจากสาธารณะภัยต่างๆ</t>
  </si>
  <si>
    <t>โครงการป้องกันและลดอุบัติเหตุทางถนนในช่างเทศกาลสำคัญ</t>
  </si>
  <si>
    <t>โครงการฝึกอบรมทบทวน อปพร.</t>
  </si>
  <si>
    <t>โครงการซักซ้อมแผนป้องกันอัคคีภัย</t>
  </si>
  <si>
    <t>ค่าใช้จ่ายโครงการพัฒนาบุคลากรทางการศึกษา</t>
  </si>
  <si>
    <t>ค่าใช้จ่ายโครงการศุนย์พัฒนาเด็กเล็กน่าอยู่</t>
  </si>
  <si>
    <t>ค่าใช้จ่ายโครงการสนับสนุนบริการสถานศึกษา</t>
  </si>
  <si>
    <t>วัสดุสำนักงาน (ศุนย์พัฒนาเด็กเล็ก)</t>
  </si>
  <si>
    <t>วัสดุคอมพิวเตอร์ (ศูนย์พัฒนาเด็กเล็ก)</t>
  </si>
  <si>
    <t>วัสดุการเกษตร</t>
  </si>
  <si>
    <t>โต๊ะพับเอนกส์ประสงค์</t>
  </si>
  <si>
    <t>เครื่องพิมพ์แบบฉีด</t>
  </si>
  <si>
    <t>โครงการจัดกิจกรรมส่งเสริมการเรียนรู้ของ ศพด.</t>
  </si>
  <si>
    <t>โครงการวันพ่อแห่งชาติ ศพด.คลองทรายขาว</t>
  </si>
  <si>
    <t>โครงการวันพ่อแห่งชาติ ศพด.บ้านคลองหวะหลัง</t>
  </si>
  <si>
    <t>โครงการวันพ่อแห่งชาติ ศพด.บ้านทอนตรน</t>
  </si>
  <si>
    <t>โครงการวันพ่อแห่งชาติ ศพด.บ้านท่าเหนาะ</t>
  </si>
  <si>
    <t>โครงการวันอารีรายอ ศพด.บ้านคลองหวะหลัง</t>
  </si>
  <si>
    <t>โครงการวันอารีรายอ ศพด.บ้านทอนตรน</t>
  </si>
  <si>
    <t>โครงการวันอารีรายอ ศพด.บ้านท่าเหนาะ</t>
  </si>
  <si>
    <t>ค่าอาหารกลางวัน ศพด.คลองหวะหลัง</t>
  </si>
  <si>
    <t>ค่าอาหารเสริมนม โรงเรียนอนุบาลกงหรา</t>
  </si>
  <si>
    <t>ค่าอาหารเสริมนม โรงเรียนบ้านทอนตรน</t>
  </si>
  <si>
    <t>ค่าอาหารเสริมนม โรงเรียนบ้านหน้าวัง</t>
  </si>
  <si>
    <t>ค่าอาหารเสริมนม ศพด.คลองทรายขาว</t>
  </si>
  <si>
    <t>ค่าอาหารเสริมนม ศพด.บ้านทอนตรน</t>
  </si>
  <si>
    <t>ค่าอาหารเสริมนม ศพด.บ้านคลองหวะหลัง</t>
  </si>
  <si>
    <t>ค่าอาหารเสริมนม ศพด.บ้านท่าเหนาะ</t>
  </si>
  <si>
    <t>อุดหนุนค่าอาหารกลางวันโรงเรียนอนุบาลกงหรา</t>
  </si>
  <si>
    <t>อุดหนุนค่าอาหารกลางวันโรงเรียนบ้านทอนตรน</t>
  </si>
  <si>
    <t>อุดหนุนค่าอาหารกลางวันโรงเรียนบ้านหน้าวัง</t>
  </si>
  <si>
    <t>โครงการส่งเสริมแหล่งเรียนรู้เพื่อเด็กเยาวชนและประชาชน</t>
  </si>
  <si>
    <t>โครงการลานกิจกรรมเพื่อการเรียนรุ้</t>
  </si>
  <si>
    <t>โครงการดูและผู้ป่วยโรคเรื้อรังและผู้พิการ</t>
  </si>
  <si>
    <t>โครงการพัฒนาศักยภาพสตรีในตำบลคลองทรายขาว</t>
  </si>
  <si>
    <t>โครงการการจัดการด้านสุขาภิบาล</t>
  </si>
  <si>
    <t>โครงการอบรมให้ความรุ้แก่กลุ่มสตรีต่างๆ</t>
  </si>
  <si>
    <t>วัสดุวิทยาศาตร์หรือการแพทย์</t>
  </si>
  <si>
    <t>โครงการอบรมการป้องกันปัญหายาเสพติดดให้เยาวชน</t>
  </si>
  <si>
    <t>ตู้เหล็ก 40 ช่อง</t>
  </si>
  <si>
    <t>ตู้เหล็ก 15 ลิ้นชัก</t>
  </si>
  <si>
    <t xml:space="preserve"> - ครุภัณฑ์โฆษณาและเผยแพร่</t>
  </si>
  <si>
    <t>กล้องถ่ายรูป</t>
  </si>
  <si>
    <t xml:space="preserve"> - ครุภัณฑ์ก่อสร้าง</t>
  </si>
  <si>
    <t>แบบหล่อคอนกรีตทรงเหลี่ยม</t>
  </si>
  <si>
    <t>ชุดทดสอบความชันเหลวของคอนกรีต</t>
  </si>
  <si>
    <t xml:space="preserve"> - ครุภัณฑ์ที่ดินและสิ่งก่อสร้าง</t>
  </si>
  <si>
    <t>ปรับปรุงไฟฟ้าภายใน สนง.ทต.คลองทรายขาว (หลังเก่า)</t>
  </si>
  <si>
    <t>โครงการปรับปรุงถนนสายทางเข้ากุโบร์ หมู่ที่ 1</t>
  </si>
  <si>
    <t>โครงการก่อสร้างถนนคอนกรีตเสริมเหล็กสายซอยสำราญศาสน์</t>
  </si>
  <si>
    <t>โครงการปรับปรุงท่อเมนต์ระบบประปาภายในหมุ่บ้าน</t>
  </si>
  <si>
    <t>โครงการบุกเบิกถนนสายมัสยิด-ต้นเหนาะ ม.6</t>
  </si>
  <si>
    <t>โครงการก่อสร้างถนนคอนกรีตเสริมเหล็กสายน้ำตกนกรำ-หน้าควน</t>
  </si>
  <si>
    <t>โครงการก่อสร้างถนนคอนกรีตเสริมเหล้กสายสันติสุช-ประชาอุทิศ</t>
  </si>
  <si>
    <t>โครงการก่อสร้างอาคารกองช่าง ทต.คลองทรายขาว</t>
  </si>
  <si>
    <t>โครงการปรับปรุงศูนย์พัฒนาคุณภาพชีวิตผู้สูงอายุในชุมชน</t>
  </si>
  <si>
    <t>อุดหนุนหน่อยงานของรัฐหรือองค์การเอกชนในกิจกรรมอันเป็นประโยชน์</t>
  </si>
  <si>
    <t>โครงการบริหารจัดการขยะ</t>
  </si>
  <si>
    <t>โครงการรับลงทะเบียนผู้มีสิทธิรับเงินเบี้ยยังชีพผู้สูงอายุและผู้มีสิทธิรับเบี้ยพิการ</t>
  </si>
  <si>
    <t>โครงการเพิ่มประสิทธิภาพศูนย์พัฒนาครอบครัวตำบลคลองทรายขาว</t>
  </si>
  <si>
    <t>โครงการส่งเสริมสุขภาพผู้พิการ/ทุพพลภาพและผู้ด้อยโอกาส</t>
  </si>
  <si>
    <t>โครงการส่งเสริมการเรียนรู้ประวัติศาสตร์ชุมชน</t>
  </si>
  <si>
    <t>โครงการส่งเสริมอนุรักษ์ทรัพยากรธรรมชาติและสิ่งแวดล้อม</t>
  </si>
  <si>
    <t>โครงการส่งเสริมความอบอุ่นในครอบครัว</t>
  </si>
  <si>
    <t>โครงการจัดตั้งสถานคุ้มครองคนไร้ที่พึ่ง</t>
  </si>
  <si>
    <t>โครงการโรงเรียนผู้สูงอายุ</t>
  </si>
  <si>
    <t>โครงการสร้างรอยยิ้มให้แก่ผู้สูงอายุ</t>
  </si>
  <si>
    <t>โครงการฝึกอบรมอาชีพให้แก่ผู้สูงอายุ</t>
  </si>
  <si>
    <t>โครงการส่งเสริมอาชีพด้านเกษตรกรรม</t>
  </si>
  <si>
    <t>โครงการส่งเสริมอาชีพด้านปศุสัตว์</t>
  </si>
  <si>
    <t>โครงการส่งเสริมอาชีพด้านการทำอาหาร</t>
  </si>
  <si>
    <t>โครงการส่งเสริมอาชีพด้านคหกรรม</t>
  </si>
  <si>
    <t>โครงการส่งเสริมอาชีพด้านงานช่าง</t>
  </si>
  <si>
    <t>โครงการส่งเสริมอาชีพด้านสิ่งประดิษฐ์</t>
  </si>
  <si>
    <t>โครงการส่งเสริมภูมิปัญญาท้องถิ่น</t>
  </si>
  <si>
    <t>ปรับปรุงซ่อมแซมบำรุงรักษาหอกระจายข่าวประจำหมู่บ้าน</t>
  </si>
  <si>
    <t>โครงการร่วมละศีลอดและละหมาดตะรอเวียะห์ในเดือนรอมฎอน</t>
  </si>
  <si>
    <t>โครงการอบรมยุวชนมุสลิม</t>
  </si>
  <si>
    <t>โครงการอบรมคุณธรรมจริยธรรม</t>
  </si>
  <si>
    <t>โครงการพุทธบุตรตำบลคลองทรายขาว</t>
  </si>
  <si>
    <t>โครงการส่งเสริม อนุรักษ์ประเพณีและวัฒนธรรมท้องถิ่น (มโนราห์)</t>
  </si>
  <si>
    <t>โครงการบริการจัดการท่องเที่ยว</t>
  </si>
  <si>
    <t>โครงการส่งเสริมการท่องเที่ยว</t>
  </si>
  <si>
    <t xml:space="preserve"> ค่าเช่าพื้นที่ที่ทิ้งขยะ</t>
  </si>
  <si>
    <t>ค่าจ้างและทำออกแบบเว็บไซด์</t>
  </si>
  <si>
    <t>ค่าจ้างถ่ายเอกสาร</t>
  </si>
  <si>
    <t>โครงการก่อสร้างถนนคอนกรีตเสริมเหล็กสายวังตอ-ปลายนา</t>
  </si>
  <si>
    <t>ค่าใช้จ่ายในการจัดซื้อหนังสือพิมพ์สำหรับสำนักงาน</t>
  </si>
  <si>
    <t xml:space="preserve">                                            ประจำเดือน  ตุลาคม  2560</t>
  </si>
  <si>
    <t>ณ  2 พ.ย.60</t>
  </si>
  <si>
    <t xml:space="preserve">                                            ประจำเดือน  พฤศจิกายน  2560</t>
  </si>
  <si>
    <t>ค่าอาหารเสริม (นม)  ศพด. 4 ศูนย์</t>
  </si>
  <si>
    <t xml:space="preserve">ค่าจ้างปรับสภาพที่อาศัยสำหรับคนพิการ ตามสัญญาจ้าง 511/2560 </t>
  </si>
  <si>
    <t>ณ 1 ธ.ค.60</t>
  </si>
  <si>
    <t xml:space="preserve">                                            ประจำเดือน  มกราคม - ธันวาคม  2560  (ไตรมาส 1)</t>
  </si>
  <si>
    <t xml:space="preserve">                                            ประจำเดือน  ธันวาคม  2560 </t>
  </si>
  <si>
    <t>ณ 3 ม.ค.61</t>
  </si>
  <si>
    <t xml:space="preserve">ครั้งที่ </t>
  </si>
  <si>
    <t>วันที่</t>
  </si>
  <si>
    <t xml:space="preserve"> 4 ม.ค.61</t>
  </si>
  <si>
    <t>สังกัด</t>
  </si>
  <si>
    <t>กองคลัง</t>
  </si>
  <si>
    <t xml:space="preserve"> 17 ต.ค.60</t>
  </si>
  <si>
    <t>สำนัก</t>
  </si>
  <si>
    <t xml:space="preserve"> 9 พ.ย.60</t>
  </si>
  <si>
    <t>ศึกษา</t>
  </si>
  <si>
    <t xml:space="preserve"> 27 ธ.ค.60</t>
  </si>
  <si>
    <t>สาธารณสุข</t>
  </si>
  <si>
    <t xml:space="preserve"> 5 ม.ค.61</t>
  </si>
  <si>
    <t xml:space="preserve">                                            ประจำเดือน  มกราคม 2561  </t>
  </si>
  <si>
    <t>ขุดลอกคูคลองระบายน้ำ,เหมืองสาธารณะภายในตำบล ม.1,ม.8</t>
  </si>
  <si>
    <t>เครื่องอุปโภคบริโภค สำหรับบรรจุถุงยังชีพ</t>
  </si>
  <si>
    <t>ณ 1 ก.พ. 61</t>
  </si>
  <si>
    <t xml:space="preserve">                                            ประจำเดือน  กุมภาพันธ์  2561  </t>
  </si>
  <si>
    <t xml:space="preserve"> โครงการต่อเติมอาคารหอประชุมหมู่บ้าน บ้านทอนตรน ม.5 </t>
  </si>
  <si>
    <t>งานกีฬาและนันทนาการ</t>
  </si>
  <si>
    <t>ณ 2 มี.ค.61</t>
  </si>
  <si>
    <t xml:space="preserve">                                            ประจำเดือน  มีนาคม  2561  </t>
  </si>
  <si>
    <t>โครงการอบรมและศึกษาดูงานเพื่อเพิ่มประสิทธิภาพด้านการคลังและจัดทำแผนที่ภาษีและทะเบียนทรัพย์สิน</t>
  </si>
  <si>
    <t xml:space="preserve"> โครงการนวดแผนไทยเพื่อสุขภาพ ส่งเสริมวิถีไทย</t>
  </si>
  <si>
    <t>โครงการคลองทรายขาวสวยด้วยมือเรา</t>
  </si>
  <si>
    <t>ณ 4 เมษายน 61</t>
  </si>
  <si>
    <t xml:space="preserve">                                            ประจำเดือน  มกราคม - มีนาคม  2561  (ไตรมาส 2)</t>
  </si>
  <si>
    <t>1 ม.ค.61-31 มี.ค.61</t>
  </si>
  <si>
    <t xml:space="preserve">                                            ประจำเดือน  เมษายน  2561  </t>
  </si>
  <si>
    <t xml:space="preserve">โครงการขลิบหนังหุ้มปลายอวัยวะเพศชายในเยาวชนมุสลิม </t>
  </si>
  <si>
    <t xml:space="preserve">                                            ประจำเดือน  ตุลาคม 2560 - เมษายน  2561  </t>
  </si>
  <si>
    <t xml:space="preserve"> 1 เม.ย.61-30 เม.ย.61</t>
  </si>
  <si>
    <t xml:space="preserve">                                            ประจำเดือน  พฤษภาคม  2561  </t>
  </si>
  <si>
    <t>เงินช่วยเหลือพิเศษ</t>
  </si>
  <si>
    <t>แผนงานการรักษาความสงบภายใน</t>
  </si>
  <si>
    <t xml:space="preserve">                                            ประจำเดือน  มิถุนายน  2561  </t>
  </si>
  <si>
    <t xml:space="preserve">                                            ประจำเดือน  เมษายน - มิถุนายน  2561  (ไตรมาส 3)</t>
  </si>
  <si>
    <t xml:space="preserve">                                            ประจำเดือน  ตุลาคม - มิถุนายน  2561   (ไตรมาส 3)</t>
  </si>
  <si>
    <t xml:space="preserve">โครงการต่อเติมอาคารหอประชุมหมู่บ้าน บ้านทอนตรน ม.5 </t>
  </si>
  <si>
    <t xml:space="preserve">                                            ประจำเดือน  ตุลาคม - มิถุนายน  2561  </t>
  </si>
  <si>
    <t>1 เม.ย.61-31 มิ.ย.61</t>
  </si>
  <si>
    <t xml:space="preserve">                                            ประจำเดือน  กรกฏาคม  2561  </t>
  </si>
  <si>
    <t>งานวิชาการวางแผนและส่งเสริมการท่องเที่ยว</t>
  </si>
  <si>
    <t xml:space="preserve">                                            ประจำเดือน  สิงหาคม  2561  </t>
  </si>
  <si>
    <t>โครงการส่งเสริมสุขภาพ 3 อ. 2 ส. ในผู้สูงอายุและผู้พิการตำบล</t>
  </si>
  <si>
    <t>อุดหนุนกิจการที่เป็นสาธารณะประโยชน์</t>
  </si>
  <si>
    <t>เงินวิทยฐานะ</t>
  </si>
  <si>
    <t xml:space="preserve">โครงการรณรงค์และแก้ไขปัญหายาเสพติด TO BE NUMBER ONE </t>
  </si>
  <si>
    <t xml:space="preserve">                                            ประจำเดือน  กันยายน  2561  </t>
  </si>
  <si>
    <t>เงินวิทยะฐานะ</t>
  </si>
  <si>
    <t xml:space="preserve">โครงการรณรงค์และแก้ไขปัญหายาเสพติด To Be Numbet One </t>
  </si>
  <si>
    <t xml:space="preserve"> โครงพระราชดำริด้านสาธารณสุข</t>
  </si>
  <si>
    <t>โครงการฝึกอบรมอาชีพเด็กและเยาวชนสู่สังคมที่ยั่งยืน</t>
  </si>
  <si>
    <t xml:space="preserve">โครงการป้องกันการจมน้ำในเด็กปฐมวัย อายุ 2-5 ปี </t>
  </si>
  <si>
    <t>โครงการป้องกันและแก้ไขปัญหายาเสพติดในเยาวชน</t>
  </si>
  <si>
    <t>โครงการปรับสภาพแวดล้อมที่อยู่อาศัยสำหรับคนพิการ</t>
  </si>
  <si>
    <t xml:space="preserve">                                            ประจำเดือน  กรกฏาคม-กันยายน  2561  (ไตรมาส 4)</t>
  </si>
  <si>
    <t>1 ก.ค..61-30 ก.ย.61</t>
  </si>
  <si>
    <t xml:space="preserve">                                            ประจำเดือน  ตุลาคม 2560 - กันยายน  2561   (ไตรมาส 1-4)</t>
  </si>
  <si>
    <t xml:space="preserve">                                            ประจำเดือน  1 ตุลาคม 2560 - 30 กันยายน  2561  </t>
  </si>
  <si>
    <t>โครงการซักซ้อมแผนป้องกันอัคคีภัย วาตภัยและอุทกภัย</t>
  </si>
  <si>
    <t xml:space="preserve">โครงการรณรงค์แก้ไขปัญหายาเสพติด To Be Number One </t>
  </si>
  <si>
    <t>โครงการก่อสร้างฝายน้ำล้น หมู่ที่ 2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</si>
</sst>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94" formatCode="_(* #,##0.00_);_(* \(#,##0.00\);_(* &quot;-&quot;??_);_(@_)"/>
    <numFmt numFmtId="203" formatCode="_-* #,##0_-;\-* #,##0_-;_-* &quot;-&quot;??_-;_-@_-"/>
  </numFmts>
  <fonts count="53">
    <font>
      <sz val="10"/>
      <name val="Arial"/>
      <charset val="222"/>
    </font>
    <font>
      <sz val="10"/>
      <name val="Arial"/>
      <charset val="222"/>
    </font>
    <font>
      <b/>
      <sz val="15"/>
      <name val="Angsana New"/>
      <family val="1"/>
    </font>
    <font>
      <sz val="12"/>
      <name val="Angsana New"/>
      <family val="1"/>
    </font>
    <font>
      <b/>
      <sz val="10"/>
      <name val="Angsana New"/>
      <family val="1"/>
    </font>
    <font>
      <sz val="12"/>
      <color indexed="8"/>
      <name val="Angsana New"/>
      <family val="1"/>
    </font>
    <font>
      <b/>
      <sz val="13"/>
      <name val="Angsana New"/>
      <family val="1"/>
    </font>
    <font>
      <sz val="11"/>
      <name val="Angsana New"/>
      <family val="1"/>
    </font>
    <font>
      <b/>
      <sz val="12"/>
      <name val="Angsana New"/>
      <family val="1"/>
    </font>
    <font>
      <b/>
      <sz val="12"/>
      <color indexed="8"/>
      <name val="Angsana New"/>
      <family val="1"/>
    </font>
    <font>
      <sz val="10"/>
      <name val="Angsana New"/>
      <family val="1"/>
    </font>
    <font>
      <sz val="10"/>
      <name val="Arial"/>
      <family val="2"/>
    </font>
    <font>
      <sz val="14"/>
      <name val="Angsana New"/>
      <family val="1"/>
    </font>
    <font>
      <sz val="8"/>
      <name val="Arial"/>
      <family val="2"/>
    </font>
    <font>
      <sz val="11"/>
      <name val="Arial"/>
      <family val="2"/>
    </font>
    <font>
      <b/>
      <sz val="10.5"/>
      <name val="Angsana New"/>
      <family val="1"/>
    </font>
    <font>
      <b/>
      <sz val="10.5"/>
      <color indexed="8"/>
      <name val="Angsana New"/>
      <family val="1"/>
    </font>
    <font>
      <sz val="10.5"/>
      <name val="Angsana New"/>
      <family val="1"/>
    </font>
    <font>
      <sz val="10.5"/>
      <color indexed="8"/>
      <name val="Angsana New"/>
      <family val="1"/>
    </font>
    <font>
      <sz val="10.5"/>
      <name val="Arial"/>
      <family val="2"/>
    </font>
    <font>
      <b/>
      <sz val="14"/>
      <name val="Angsana New"/>
      <family val="1"/>
    </font>
    <font>
      <b/>
      <sz val="11"/>
      <name val="Angsana New"/>
      <family val="1"/>
    </font>
    <font>
      <b/>
      <sz val="10"/>
      <name val="Arial"/>
      <family val="2"/>
    </font>
    <font>
      <sz val="14"/>
      <name val="Arial"/>
      <family val="2"/>
    </font>
    <font>
      <b/>
      <sz val="14"/>
      <color indexed="8"/>
      <name val="Angsana New"/>
      <family val="1"/>
    </font>
    <font>
      <sz val="14"/>
      <color indexed="8"/>
      <name val="Angsana New"/>
      <family val="1"/>
    </font>
    <font>
      <sz val="12"/>
      <name val="Arial"/>
      <family val="2"/>
    </font>
    <font>
      <sz val="11"/>
      <color indexed="8"/>
      <name val="Angsana New"/>
      <family val="1"/>
    </font>
    <font>
      <sz val="18"/>
      <name val="Angsana New"/>
      <family val="1"/>
    </font>
    <font>
      <b/>
      <u/>
      <sz val="12"/>
      <name val="Angsana New"/>
      <family val="1"/>
    </font>
    <font>
      <sz val="10"/>
      <name val="Arial"/>
      <family val="2"/>
    </font>
    <font>
      <b/>
      <sz val="12"/>
      <name val="Arial"/>
      <family val="2"/>
    </font>
    <font>
      <b/>
      <sz val="18"/>
      <name val="Angsana New"/>
      <family val="1"/>
    </font>
    <font>
      <b/>
      <sz val="11"/>
      <color indexed="8"/>
      <name val="Angsana New"/>
      <family val="1"/>
    </font>
    <font>
      <b/>
      <u/>
      <sz val="11"/>
      <name val="Angsana New"/>
      <family val="1"/>
    </font>
    <font>
      <sz val="18"/>
      <name val="Arial"/>
      <family val="2"/>
    </font>
    <font>
      <b/>
      <sz val="16"/>
      <name val="Angsana New"/>
      <family val="1"/>
    </font>
    <font>
      <b/>
      <sz val="20"/>
      <name val="Angsana New"/>
      <family val="1"/>
    </font>
    <font>
      <sz val="20"/>
      <name val="Angsana New"/>
      <family val="1"/>
    </font>
    <font>
      <sz val="16"/>
      <name val="Angsana New"/>
      <family val="1"/>
    </font>
    <font>
      <sz val="16"/>
      <name val="Arial"/>
      <family val="2"/>
    </font>
    <font>
      <sz val="10.5"/>
      <color rgb="FFFF0000"/>
      <name val="Angsana New"/>
      <family val="1"/>
    </font>
    <font>
      <sz val="12"/>
      <color theme="1"/>
      <name val="Angsana New"/>
      <family val="1"/>
    </font>
    <font>
      <sz val="10.5"/>
      <color theme="1"/>
      <name val="Angsana New"/>
      <family val="1"/>
    </font>
    <font>
      <sz val="11"/>
      <color theme="1"/>
      <name val="Angsana New"/>
      <family val="1"/>
    </font>
    <font>
      <b/>
      <sz val="12"/>
      <color theme="1"/>
      <name val="Angsana New"/>
      <family val="1"/>
    </font>
    <font>
      <b/>
      <sz val="10.5"/>
      <color theme="1"/>
      <name val="Angsana New"/>
      <family val="1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ngsana New"/>
      <family val="1"/>
    </font>
    <font>
      <sz val="11"/>
      <color rgb="FFFF0000"/>
      <name val="Angsana New"/>
      <family val="1"/>
    </font>
    <font>
      <sz val="18"/>
      <color theme="1"/>
      <name val="Angsana New"/>
      <family val="1"/>
    </font>
    <font>
      <b/>
      <sz val="11"/>
      <color theme="1"/>
      <name val="Angsana New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27">
    <xf numFmtId="0" fontId="0" fillId="0" borderId="0" xfId="0"/>
    <xf numFmtId="0" fontId="3" fillId="0" borderId="0" xfId="0" applyFont="1"/>
    <xf numFmtId="0" fontId="4" fillId="0" borderId="0" xfId="0" applyFont="1"/>
    <xf numFmtId="0" fontId="6" fillId="0" borderId="1" xfId="0" applyFont="1" applyBorder="1"/>
    <xf numFmtId="0" fontId="3" fillId="0" borderId="2" xfId="0" applyFont="1" applyBorder="1"/>
    <xf numFmtId="0" fontId="6" fillId="0" borderId="3" xfId="0" applyFont="1" applyBorder="1"/>
    <xf numFmtId="0" fontId="3" fillId="0" borderId="4" xfId="0" applyFont="1" applyBorder="1"/>
    <xf numFmtId="43" fontId="5" fillId="0" borderId="5" xfId="1" applyFont="1" applyBorder="1"/>
    <xf numFmtId="0" fontId="3" fillId="0" borderId="3" xfId="0" quotePrefix="1" applyFont="1" applyBorder="1" applyAlignment="1">
      <alignment horizontal="center"/>
    </xf>
    <xf numFmtId="0" fontId="3" fillId="0" borderId="3" xfId="0" applyFont="1" applyBorder="1"/>
    <xf numFmtId="0" fontId="7" fillId="0" borderId="4" xfId="0" applyFont="1" applyBorder="1"/>
    <xf numFmtId="43" fontId="5" fillId="0" borderId="6" xfId="1" applyFont="1" applyBorder="1"/>
    <xf numFmtId="0" fontId="3" fillId="0" borderId="7" xfId="0" applyFont="1" applyBorder="1"/>
    <xf numFmtId="0" fontId="3" fillId="0" borderId="8" xfId="0" applyFont="1" applyBorder="1"/>
    <xf numFmtId="0" fontId="8" fillId="0" borderId="9" xfId="0" applyFont="1" applyBorder="1" applyAlignment="1">
      <alignment horizontal="center"/>
    </xf>
    <xf numFmtId="0" fontId="8" fillId="0" borderId="8" xfId="0" applyFont="1" applyBorder="1"/>
    <xf numFmtId="0" fontId="8" fillId="0" borderId="0" xfId="0" applyFont="1" applyBorder="1"/>
    <xf numFmtId="0" fontId="3" fillId="0" borderId="4" xfId="0" applyFont="1" applyBorder="1" applyAlignment="1">
      <alignment horizontal="left" vertical="justify"/>
    </xf>
    <xf numFmtId="43" fontId="5" fillId="0" borderId="5" xfId="1" applyFont="1" applyBorder="1" applyAlignment="1">
      <alignment horizontal="left" vertical="justify"/>
    </xf>
    <xf numFmtId="43" fontId="5" fillId="0" borderId="3" xfId="1" applyFont="1" applyBorder="1"/>
    <xf numFmtId="0" fontId="8" fillId="0" borderId="3" xfId="0" applyFont="1" applyBorder="1"/>
    <xf numFmtId="0" fontId="8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4" xfId="0" applyFont="1" applyFill="1" applyBorder="1"/>
    <xf numFmtId="0" fontId="8" fillId="0" borderId="1" xfId="0" applyFont="1" applyBorder="1"/>
    <xf numFmtId="43" fontId="5" fillId="0" borderId="10" xfId="1" applyFont="1" applyBorder="1"/>
    <xf numFmtId="43" fontId="9" fillId="0" borderId="8" xfId="1" applyFont="1" applyBorder="1" applyAlignment="1">
      <alignment horizontal="center"/>
    </xf>
    <xf numFmtId="43" fontId="5" fillId="0" borderId="11" xfId="1" applyFont="1" applyBorder="1"/>
    <xf numFmtId="43" fontId="9" fillId="0" borderId="11" xfId="1" applyFont="1" applyBorder="1" applyAlignment="1">
      <alignment horizontal="center"/>
    </xf>
    <xf numFmtId="43" fontId="5" fillId="0" borderId="5" xfId="1" applyFont="1" applyBorder="1" applyAlignment="1">
      <alignment horizontal="left"/>
    </xf>
    <xf numFmtId="43" fontId="5" fillId="0" borderId="11" xfId="1" applyFont="1" applyBorder="1" applyAlignment="1">
      <alignment horizontal="left"/>
    </xf>
    <xf numFmtId="43" fontId="5" fillId="0" borderId="5" xfId="1" applyFont="1" applyFill="1" applyBorder="1"/>
    <xf numFmtId="43" fontId="5" fillId="0" borderId="11" xfId="1" applyFont="1" applyFill="1" applyBorder="1"/>
    <xf numFmtId="43" fontId="10" fillId="0" borderId="0" xfId="1" applyFont="1"/>
    <xf numFmtId="0" fontId="0" fillId="0" borderId="0" xfId="0" applyBorder="1"/>
    <xf numFmtId="43" fontId="10" fillId="0" borderId="0" xfId="1" applyFont="1" applyBorder="1"/>
    <xf numFmtId="43" fontId="5" fillId="0" borderId="12" xfId="1" applyFont="1" applyBorder="1"/>
    <xf numFmtId="43" fontId="5" fillId="0" borderId="12" xfId="1" applyFont="1" applyBorder="1" applyAlignment="1">
      <alignment horizontal="left" vertical="justify"/>
    </xf>
    <xf numFmtId="43" fontId="5" fillId="0" borderId="13" xfId="1" applyFont="1" applyBorder="1"/>
    <xf numFmtId="43" fontId="9" fillId="0" borderId="14" xfId="1" applyFont="1" applyFill="1" applyBorder="1"/>
    <xf numFmtId="43" fontId="8" fillId="0" borderId="15" xfId="1" applyFont="1" applyBorder="1"/>
    <xf numFmtId="0" fontId="8" fillId="0" borderId="0" xfId="0" applyFont="1" applyAlignment="1">
      <alignment horizontal="right"/>
    </xf>
    <xf numFmtId="43" fontId="5" fillId="0" borderId="16" xfId="1" applyFont="1" applyFill="1" applyBorder="1"/>
    <xf numFmtId="43" fontId="5" fillId="0" borderId="13" xfId="1" applyFont="1" applyFill="1" applyBorder="1"/>
    <xf numFmtId="43" fontId="5" fillId="0" borderId="6" xfId="1" applyFont="1" applyBorder="1" applyAlignment="1">
      <alignment horizontal="left" vertical="justify"/>
    </xf>
    <xf numFmtId="0" fontId="8" fillId="0" borderId="2" xfId="0" applyFont="1" applyBorder="1" applyAlignment="1">
      <alignment horizontal="center"/>
    </xf>
    <xf numFmtId="0" fontId="8" fillId="0" borderId="17" xfId="0" applyFont="1" applyBorder="1"/>
    <xf numFmtId="0" fontId="8" fillId="0" borderId="18" xfId="0" applyFont="1" applyBorder="1" applyAlignment="1">
      <alignment horizontal="center"/>
    </xf>
    <xf numFmtId="0" fontId="3" fillId="0" borderId="19" xfId="0" applyFont="1" applyBorder="1"/>
    <xf numFmtId="0" fontId="3" fillId="0" borderId="20" xfId="0" applyFont="1" applyBorder="1"/>
    <xf numFmtId="0" fontId="3" fillId="0" borderId="1" xfId="0" applyFont="1" applyBorder="1"/>
    <xf numFmtId="43" fontId="9" fillId="0" borderId="15" xfId="1" applyFont="1" applyFill="1" applyBorder="1"/>
    <xf numFmtId="0" fontId="3" fillId="0" borderId="0" xfId="0" applyFont="1" applyFill="1" applyBorder="1" applyAlignment="1">
      <alignment horizontal="right"/>
    </xf>
    <xf numFmtId="0" fontId="3" fillId="0" borderId="9" xfId="0" applyFont="1" applyFill="1" applyBorder="1" applyAlignment="1">
      <alignment horizontal="center"/>
    </xf>
    <xf numFmtId="0" fontId="7" fillId="0" borderId="4" xfId="0" applyFont="1" applyFill="1" applyBorder="1"/>
    <xf numFmtId="43" fontId="5" fillId="0" borderId="21" xfId="1" applyFont="1" applyBorder="1" applyAlignment="1">
      <alignment horizontal="left" vertical="justify"/>
    </xf>
    <xf numFmtId="0" fontId="10" fillId="0" borderId="0" xfId="0" applyFont="1"/>
    <xf numFmtId="43" fontId="4" fillId="0" borderId="13" xfId="1" applyFont="1" applyBorder="1" applyAlignment="1">
      <alignment horizontal="center"/>
    </xf>
    <xf numFmtId="0" fontId="10" fillId="0" borderId="3" xfId="0" applyFont="1" applyBorder="1"/>
    <xf numFmtId="0" fontId="7" fillId="0" borderId="0" xfId="0" applyFont="1" applyBorder="1"/>
    <xf numFmtId="0" fontId="7" fillId="0" borderId="0" xfId="0" applyFont="1"/>
    <xf numFmtId="0" fontId="7" fillId="0" borderId="3" xfId="0" applyFont="1" applyBorder="1"/>
    <xf numFmtId="0" fontId="7" fillId="0" borderId="7" xfId="0" applyFont="1" applyBorder="1"/>
    <xf numFmtId="0" fontId="14" fillId="0" borderId="0" xfId="0" applyFont="1"/>
    <xf numFmtId="43" fontId="7" fillId="0" borderId="0" xfId="1" applyFont="1"/>
    <xf numFmtId="43" fontId="15" fillId="0" borderId="22" xfId="1" applyFont="1" applyBorder="1" applyAlignment="1">
      <alignment horizontal="center"/>
    </xf>
    <xf numFmtId="0" fontId="15" fillId="0" borderId="3" xfId="0" applyFont="1" applyBorder="1"/>
    <xf numFmtId="0" fontId="15" fillId="0" borderId="0" xfId="0" applyFont="1"/>
    <xf numFmtId="0" fontId="17" fillId="0" borderId="3" xfId="0" applyFont="1" applyBorder="1"/>
    <xf numFmtId="0" fontId="17" fillId="0" borderId="0" xfId="0" applyFont="1"/>
    <xf numFmtId="0" fontId="15" fillId="0" borderId="1" xfId="0" applyFont="1" applyBorder="1"/>
    <xf numFmtId="0" fontId="17" fillId="0" borderId="2" xfId="0" applyFont="1" applyBorder="1"/>
    <xf numFmtId="0" fontId="17" fillId="0" borderId="0" xfId="0" applyFont="1" applyBorder="1"/>
    <xf numFmtId="0" fontId="17" fillId="0" borderId="4" xfId="0" applyFont="1" applyBorder="1"/>
    <xf numFmtId="0" fontId="17" fillId="0" borderId="3" xfId="0" quotePrefix="1" applyFont="1" applyBorder="1" applyAlignment="1">
      <alignment horizontal="center"/>
    </xf>
    <xf numFmtId="0" fontId="17" fillId="0" borderId="8" xfId="0" applyFont="1" applyBorder="1"/>
    <xf numFmtId="43" fontId="16" fillId="0" borderId="8" xfId="1" applyFont="1" applyBorder="1" applyAlignment="1">
      <alignment horizontal="center"/>
    </xf>
    <xf numFmtId="43" fontId="15" fillId="0" borderId="14" xfId="1" applyFont="1" applyBorder="1"/>
    <xf numFmtId="43" fontId="17" fillId="0" borderId="13" xfId="1" applyFont="1" applyBorder="1"/>
    <xf numFmtId="43" fontId="15" fillId="0" borderId="0" xfId="0" applyNumberFormat="1" applyFont="1" applyBorder="1"/>
    <xf numFmtId="0" fontId="15" fillId="0" borderId="8" xfId="0" applyFont="1" applyBorder="1"/>
    <xf numFmtId="0" fontId="15" fillId="0" borderId="0" xfId="0" applyFont="1" applyBorder="1"/>
    <xf numFmtId="0" fontId="15" fillId="0" borderId="4" xfId="0" applyFont="1" applyBorder="1" applyAlignment="1">
      <alignment horizontal="center"/>
    </xf>
    <xf numFmtId="43" fontId="17" fillId="0" borderId="14" xfId="1" applyFont="1" applyBorder="1"/>
    <xf numFmtId="43" fontId="18" fillId="0" borderId="5" xfId="1" applyFont="1" applyFill="1" applyBorder="1"/>
    <xf numFmtId="0" fontId="17" fillId="0" borderId="2" xfId="0" applyFont="1" applyFill="1" applyBorder="1"/>
    <xf numFmtId="43" fontId="18" fillId="0" borderId="3" xfId="1" applyFont="1" applyFill="1" applyBorder="1"/>
    <xf numFmtId="0" fontId="15" fillId="0" borderId="0" xfId="0" applyFont="1" applyAlignment="1">
      <alignment horizontal="right"/>
    </xf>
    <xf numFmtId="43" fontId="15" fillId="0" borderId="23" xfId="1" applyFont="1" applyBorder="1"/>
    <xf numFmtId="0" fontId="19" fillId="0" borderId="0" xfId="0" applyFont="1"/>
    <xf numFmtId="0" fontId="17" fillId="0" borderId="4" xfId="0" applyFont="1" applyFill="1" applyBorder="1" applyAlignment="1">
      <alignment horizontal="right"/>
    </xf>
    <xf numFmtId="43" fontId="15" fillId="0" borderId="15" xfId="0" applyNumberFormat="1" applyFont="1" applyFill="1" applyBorder="1"/>
    <xf numFmtId="43" fontId="17" fillId="0" borderId="0" xfId="1" applyFont="1"/>
    <xf numFmtId="43" fontId="18" fillId="0" borderId="1" xfId="1" applyFont="1" applyBorder="1"/>
    <xf numFmtId="0" fontId="17" fillId="0" borderId="22" xfId="0" applyFont="1" applyBorder="1"/>
    <xf numFmtId="0" fontId="15" fillId="0" borderId="18" xfId="0" applyFont="1" applyBorder="1" applyAlignment="1">
      <alignment horizontal="center"/>
    </xf>
    <xf numFmtId="0" fontId="17" fillId="0" borderId="24" xfId="0" applyFont="1" applyBorder="1"/>
    <xf numFmtId="43" fontId="17" fillId="0" borderId="21" xfId="1" applyFont="1" applyBorder="1"/>
    <xf numFmtId="43" fontId="17" fillId="0" borderId="25" xfId="1" applyFont="1" applyBorder="1"/>
    <xf numFmtId="43" fontId="15" fillId="0" borderId="25" xfId="1" applyFont="1" applyBorder="1"/>
    <xf numFmtId="43" fontId="16" fillId="0" borderId="3" xfId="1" applyFont="1" applyBorder="1" applyAlignment="1">
      <alignment horizontal="center"/>
    </xf>
    <xf numFmtId="43" fontId="18" fillId="0" borderId="21" xfId="1" applyFont="1" applyBorder="1"/>
    <xf numFmtId="43" fontId="18" fillId="0" borderId="1" xfId="1" applyFont="1" applyFill="1" applyBorder="1"/>
    <xf numFmtId="43" fontId="17" fillId="0" borderId="3" xfId="1" applyFont="1" applyBorder="1"/>
    <xf numFmtId="43" fontId="17" fillId="0" borderId="5" xfId="1" applyFont="1" applyBorder="1"/>
    <xf numFmtId="43" fontId="9" fillId="0" borderId="8" xfId="1" applyFont="1" applyFill="1" applyBorder="1"/>
    <xf numFmtId="43" fontId="17" fillId="0" borderId="0" xfId="0" applyNumberFormat="1" applyFont="1" applyBorder="1"/>
    <xf numFmtId="43" fontId="5" fillId="0" borderId="11" xfId="1" applyFont="1" applyBorder="1" applyAlignment="1">
      <alignment horizontal="center"/>
    </xf>
    <xf numFmtId="0" fontId="3" fillId="0" borderId="0" xfId="0" applyFont="1" applyBorder="1"/>
    <xf numFmtId="43" fontId="17" fillId="0" borderId="26" xfId="1" applyFont="1" applyBorder="1"/>
    <xf numFmtId="0" fontId="3" fillId="0" borderId="17" xfId="0" applyFont="1" applyBorder="1"/>
    <xf numFmtId="0" fontId="8" fillId="0" borderId="27" xfId="0" applyFont="1" applyBorder="1" applyAlignment="1">
      <alignment horizontal="center"/>
    </xf>
    <xf numFmtId="43" fontId="5" fillId="0" borderId="8" xfId="1" applyFont="1" applyBorder="1"/>
    <xf numFmtId="43" fontId="5" fillId="0" borderId="6" xfId="1" applyFont="1" applyFill="1" applyBorder="1"/>
    <xf numFmtId="43" fontId="18" fillId="0" borderId="8" xfId="1" applyFont="1" applyBorder="1"/>
    <xf numFmtId="43" fontId="5" fillId="0" borderId="3" xfId="1" applyFont="1" applyBorder="1" applyAlignment="1">
      <alignment horizontal="left"/>
    </xf>
    <xf numFmtId="43" fontId="5" fillId="0" borderId="3" xfId="1" applyFont="1" applyBorder="1" applyAlignment="1">
      <alignment horizontal="left" vertical="justify"/>
    </xf>
    <xf numFmtId="43" fontId="17" fillId="0" borderId="28" xfId="1" applyFont="1" applyBorder="1"/>
    <xf numFmtId="43" fontId="16" fillId="0" borderId="14" xfId="1" applyFont="1" applyBorder="1" applyAlignment="1">
      <alignment horizontal="center"/>
    </xf>
    <xf numFmtId="43" fontId="15" fillId="0" borderId="29" xfId="1" applyFont="1" applyBorder="1"/>
    <xf numFmtId="43" fontId="5" fillId="0" borderId="21" xfId="1" applyFont="1" applyBorder="1"/>
    <xf numFmtId="0" fontId="17" fillId="0" borderId="30" xfId="0" applyFont="1" applyBorder="1"/>
    <xf numFmtId="43" fontId="17" fillId="0" borderId="31" xfId="1" applyFont="1" applyBorder="1"/>
    <xf numFmtId="43" fontId="17" fillId="0" borderId="32" xfId="1" applyFont="1" applyBorder="1"/>
    <xf numFmtId="43" fontId="3" fillId="0" borderId="14" xfId="0" applyNumberFormat="1" applyFont="1" applyBorder="1"/>
    <xf numFmtId="43" fontId="5" fillId="0" borderId="1" xfId="1" applyFont="1" applyBorder="1"/>
    <xf numFmtId="43" fontId="16" fillId="0" borderId="5" xfId="1" applyFont="1" applyBorder="1" applyAlignment="1">
      <alignment horizontal="center"/>
    </xf>
    <xf numFmtId="43" fontId="15" fillId="0" borderId="21" xfId="1" applyFont="1" applyBorder="1"/>
    <xf numFmtId="0" fontId="17" fillId="0" borderId="33" xfId="0" applyFont="1" applyBorder="1"/>
    <xf numFmtId="43" fontId="18" fillId="0" borderId="6" xfId="1" applyFont="1" applyBorder="1"/>
    <xf numFmtId="0" fontId="3" fillId="0" borderId="24" xfId="0" applyFont="1" applyBorder="1"/>
    <xf numFmtId="43" fontId="3" fillId="0" borderId="16" xfId="1" applyFont="1" applyBorder="1"/>
    <xf numFmtId="43" fontId="8" fillId="0" borderId="14" xfId="1" applyFont="1" applyBorder="1"/>
    <xf numFmtId="43" fontId="3" fillId="0" borderId="13" xfId="1" applyFont="1" applyBorder="1"/>
    <xf numFmtId="43" fontId="10" fillId="0" borderId="0" xfId="1" applyFont="1" applyFill="1" applyBorder="1"/>
    <xf numFmtId="43" fontId="3" fillId="0" borderId="16" xfId="1" applyFont="1" applyFill="1" applyBorder="1"/>
    <xf numFmtId="43" fontId="3" fillId="0" borderId="13" xfId="1" applyFont="1" applyFill="1" applyBorder="1"/>
    <xf numFmtId="43" fontId="8" fillId="0" borderId="14" xfId="1" applyFont="1" applyFill="1" applyBorder="1"/>
    <xf numFmtId="43" fontId="10" fillId="0" borderId="0" xfId="1" applyFont="1" applyFill="1"/>
    <xf numFmtId="43" fontId="9" fillId="0" borderId="14" xfId="1" applyFont="1" applyBorder="1" applyAlignment="1">
      <alignment horizontal="center"/>
    </xf>
    <xf numFmtId="194" fontId="15" fillId="0" borderId="0" xfId="0" applyNumberFormat="1" applyFont="1" applyBorder="1"/>
    <xf numFmtId="0" fontId="3" fillId="0" borderId="0" xfId="0" applyFont="1" applyBorder="1" applyAlignment="1">
      <alignment horizontal="left" vertical="justify"/>
    </xf>
    <xf numFmtId="43" fontId="41" fillId="0" borderId="21" xfId="1" applyFont="1" applyBorder="1"/>
    <xf numFmtId="194" fontId="3" fillId="0" borderId="0" xfId="0" applyNumberFormat="1" applyFont="1" applyBorder="1"/>
    <xf numFmtId="43" fontId="3" fillId="0" borderId="0" xfId="0" applyNumberFormat="1" applyFont="1" applyBorder="1"/>
    <xf numFmtId="43" fontId="3" fillId="0" borderId="0" xfId="0" applyNumberFormat="1" applyFont="1" applyBorder="1" applyAlignment="1">
      <alignment horizontal="left" vertical="justify"/>
    </xf>
    <xf numFmtId="43" fontId="42" fillId="0" borderId="5" xfId="1" applyFont="1" applyBorder="1"/>
    <xf numFmtId="43" fontId="42" fillId="0" borderId="5" xfId="1" applyFont="1" applyBorder="1" applyAlignment="1">
      <alignment horizontal="right"/>
    </xf>
    <xf numFmtId="43" fontId="43" fillId="0" borderId="21" xfId="1" applyFont="1" applyBorder="1"/>
    <xf numFmtId="43" fontId="44" fillId="0" borderId="0" xfId="1" applyFont="1"/>
    <xf numFmtId="0" fontId="43" fillId="0" borderId="22" xfId="0" applyFont="1" applyBorder="1"/>
    <xf numFmtId="43" fontId="43" fillId="0" borderId="28" xfId="1" applyFont="1" applyBorder="1"/>
    <xf numFmtId="43" fontId="45" fillId="0" borderId="15" xfId="1" applyFont="1" applyBorder="1"/>
    <xf numFmtId="43" fontId="43" fillId="0" borderId="25" xfId="1" applyFont="1" applyBorder="1"/>
    <xf numFmtId="43" fontId="43" fillId="0" borderId="14" xfId="1" applyFont="1" applyBorder="1"/>
    <xf numFmtId="43" fontId="46" fillId="0" borderId="14" xfId="1" applyFont="1" applyBorder="1"/>
    <xf numFmtId="43" fontId="46" fillId="0" borderId="15" xfId="1" applyFont="1" applyBorder="1"/>
    <xf numFmtId="43" fontId="46" fillId="0" borderId="25" xfId="1" applyFont="1" applyBorder="1"/>
    <xf numFmtId="43" fontId="46" fillId="0" borderId="21" xfId="1" applyFont="1" applyBorder="1"/>
    <xf numFmtId="43" fontId="43" fillId="0" borderId="26" xfId="1" applyFont="1" applyBorder="1"/>
    <xf numFmtId="43" fontId="46" fillId="0" borderId="8" xfId="1" applyFont="1" applyBorder="1" applyAlignment="1">
      <alignment horizontal="center"/>
    </xf>
    <xf numFmtId="43" fontId="46" fillId="0" borderId="23" xfId="1" applyFont="1" applyBorder="1"/>
    <xf numFmtId="43" fontId="46" fillId="0" borderId="15" xfId="0" applyNumberFormat="1" applyFont="1" applyFill="1" applyBorder="1"/>
    <xf numFmtId="43" fontId="43" fillId="0" borderId="0" xfId="1" applyFont="1"/>
    <xf numFmtId="43" fontId="19" fillId="0" borderId="0" xfId="0" applyNumberFormat="1" applyFont="1"/>
    <xf numFmtId="0" fontId="3" fillId="0" borderId="3" xfId="0" applyFont="1" applyFill="1" applyBorder="1"/>
    <xf numFmtId="0" fontId="4" fillId="0" borderId="0" xfId="0" applyFont="1" applyBorder="1"/>
    <xf numFmtId="0" fontId="15" fillId="0" borderId="17" xfId="0" applyFont="1" applyBorder="1"/>
    <xf numFmtId="0" fontId="0" fillId="0" borderId="0" xfId="0" applyFill="1"/>
    <xf numFmtId="0" fontId="6" fillId="0" borderId="3" xfId="0" applyFont="1" applyFill="1" applyBorder="1"/>
    <xf numFmtId="43" fontId="9" fillId="0" borderId="8" xfId="1" applyFont="1" applyFill="1" applyBorder="1" applyAlignment="1">
      <alignment horizontal="center"/>
    </xf>
    <xf numFmtId="0" fontId="0" fillId="0" borderId="0" xfId="0" applyFill="1" applyBorder="1"/>
    <xf numFmtId="0" fontId="22" fillId="0" borderId="0" xfId="0" applyFont="1"/>
    <xf numFmtId="43" fontId="4" fillId="0" borderId="22" xfId="1" applyFont="1" applyBorder="1" applyAlignment="1">
      <alignment horizontal="center" vertical="center" wrapText="1"/>
    </xf>
    <xf numFmtId="43" fontId="4" fillId="0" borderId="13" xfId="1" applyFont="1" applyBorder="1" applyAlignment="1">
      <alignment horizontal="center" vertical="center" wrapText="1"/>
    </xf>
    <xf numFmtId="0" fontId="14" fillId="0" borderId="0" xfId="0" applyFont="1" applyBorder="1"/>
    <xf numFmtId="0" fontId="14" fillId="0" borderId="32" xfId="0" applyFont="1" applyBorder="1"/>
    <xf numFmtId="43" fontId="7" fillId="0" borderId="21" xfId="0" applyNumberFormat="1" applyFont="1" applyBorder="1"/>
    <xf numFmtId="43" fontId="7" fillId="0" borderId="28" xfId="0" applyNumberFormat="1" applyFont="1" applyBorder="1"/>
    <xf numFmtId="43" fontId="7" fillId="0" borderId="21" xfId="0" applyNumberFormat="1" applyFont="1" applyFill="1" applyBorder="1"/>
    <xf numFmtId="0" fontId="7" fillId="0" borderId="21" xfId="0" applyFont="1" applyBorder="1"/>
    <xf numFmtId="43" fontId="3" fillId="0" borderId="0" xfId="1" applyFont="1"/>
    <xf numFmtId="43" fontId="0" fillId="0" borderId="0" xfId="1" applyFont="1" applyFill="1"/>
    <xf numFmtId="0" fontId="47" fillId="0" borderId="0" xfId="0" applyFont="1" applyFill="1"/>
    <xf numFmtId="43" fontId="7" fillId="0" borderId="28" xfId="0" applyNumberFormat="1" applyFont="1" applyFill="1" applyBorder="1"/>
    <xf numFmtId="0" fontId="3" fillId="0" borderId="24" xfId="0" applyFont="1" applyFill="1" applyBorder="1"/>
    <xf numFmtId="0" fontId="3" fillId="0" borderId="24" xfId="0" applyFont="1" applyBorder="1" applyAlignment="1">
      <alignment horizontal="left"/>
    </xf>
    <xf numFmtId="0" fontId="3" fillId="0" borderId="24" xfId="0" applyFont="1" applyBorder="1" applyAlignment="1">
      <alignment horizontal="left" vertical="justify"/>
    </xf>
    <xf numFmtId="0" fontId="23" fillId="0" borderId="0" xfId="0" applyFont="1" applyBorder="1"/>
    <xf numFmtId="43" fontId="24" fillId="0" borderId="8" xfId="1" applyFont="1" applyBorder="1" applyAlignment="1">
      <alignment horizontal="center"/>
    </xf>
    <xf numFmtId="43" fontId="25" fillId="0" borderId="11" xfId="1" applyFont="1" applyFill="1" applyBorder="1"/>
    <xf numFmtId="43" fontId="24" fillId="0" borderId="17" xfId="1" applyFont="1" applyBorder="1" applyAlignment="1">
      <alignment horizontal="center"/>
    </xf>
    <xf numFmtId="43" fontId="25" fillId="0" borderId="21" xfId="1" applyFont="1" applyFill="1" applyBorder="1"/>
    <xf numFmtId="43" fontId="25" fillId="0" borderId="34" xfId="1" applyFont="1" applyFill="1" applyBorder="1"/>
    <xf numFmtId="0" fontId="23" fillId="0" borderId="0" xfId="0" applyFont="1"/>
    <xf numFmtId="43" fontId="3" fillId="0" borderId="22" xfId="1" applyFont="1" applyBorder="1"/>
    <xf numFmtId="43" fontId="3" fillId="0" borderId="22" xfId="1" applyFont="1" applyFill="1" applyBorder="1"/>
    <xf numFmtId="0" fontId="3" fillId="0" borderId="30" xfId="0" applyFont="1" applyBorder="1"/>
    <xf numFmtId="0" fontId="3" fillId="0" borderId="35" xfId="0" applyFont="1" applyBorder="1"/>
    <xf numFmtId="43" fontId="21" fillId="0" borderId="21" xfId="0" applyNumberFormat="1" applyFont="1" applyBorder="1"/>
    <xf numFmtId="43" fontId="24" fillId="0" borderId="14" xfId="1" applyFont="1" applyBorder="1" applyAlignment="1">
      <alignment horizontal="center"/>
    </xf>
    <xf numFmtId="43" fontId="7" fillId="0" borderId="34" xfId="0" applyNumberFormat="1" applyFont="1" applyBorder="1"/>
    <xf numFmtId="43" fontId="21" fillId="0" borderId="21" xfId="0" applyNumberFormat="1" applyFont="1" applyFill="1" applyBorder="1"/>
    <xf numFmtId="43" fontId="7" fillId="0" borderId="34" xfId="0" applyNumberFormat="1" applyFont="1" applyFill="1" applyBorder="1"/>
    <xf numFmtId="43" fontId="21" fillId="0" borderId="34" xfId="0" applyNumberFormat="1" applyFont="1" applyBorder="1"/>
    <xf numFmtId="43" fontId="25" fillId="0" borderId="21" xfId="1" applyFont="1" applyBorder="1" applyAlignment="1">
      <alignment horizontal="center"/>
    </xf>
    <xf numFmtId="0" fontId="23" fillId="0" borderId="32" xfId="0" applyFont="1" applyBorder="1"/>
    <xf numFmtId="43" fontId="12" fillId="0" borderId="21" xfId="0" applyNumberFormat="1" applyFont="1" applyFill="1" applyBorder="1"/>
    <xf numFmtId="43" fontId="12" fillId="0" borderId="21" xfId="0" applyNumberFormat="1" applyFont="1" applyBorder="1"/>
    <xf numFmtId="43" fontId="12" fillId="0" borderId="28" xfId="0" applyNumberFormat="1" applyFont="1" applyBorder="1"/>
    <xf numFmtId="43" fontId="12" fillId="0" borderId="34" xfId="0" applyNumberFormat="1" applyFont="1" applyBorder="1"/>
    <xf numFmtId="43" fontId="20" fillId="0" borderId="34" xfId="0" applyNumberFormat="1" applyFont="1" applyBorder="1"/>
    <xf numFmtId="43" fontId="12" fillId="0" borderId="34" xfId="0" applyNumberFormat="1" applyFont="1" applyFill="1" applyBorder="1"/>
    <xf numFmtId="0" fontId="12" fillId="0" borderId="0" xfId="0" applyFont="1"/>
    <xf numFmtId="43" fontId="24" fillId="0" borderId="36" xfId="1" applyFont="1" applyBorder="1" applyAlignment="1">
      <alignment horizontal="center"/>
    </xf>
    <xf numFmtId="0" fontId="12" fillId="0" borderId="21" xfId="0" applyFont="1" applyBorder="1"/>
    <xf numFmtId="43" fontId="25" fillId="0" borderId="5" xfId="1" applyFont="1" applyFill="1" applyBorder="1"/>
    <xf numFmtId="0" fontId="26" fillId="0" borderId="16" xfId="0" applyFont="1" applyBorder="1"/>
    <xf numFmtId="0" fontId="26" fillId="0" borderId="22" xfId="0" applyFont="1" applyBorder="1"/>
    <xf numFmtId="0" fontId="26" fillId="0" borderId="16" xfId="0" applyFont="1" applyFill="1" applyBorder="1"/>
    <xf numFmtId="0" fontId="26" fillId="0" borderId="22" xfId="0" applyFont="1" applyFill="1" applyBorder="1"/>
    <xf numFmtId="0" fontId="26" fillId="0" borderId="0" xfId="0" applyFont="1"/>
    <xf numFmtId="43" fontId="7" fillId="0" borderId="3" xfId="0" applyNumberFormat="1" applyFont="1" applyBorder="1"/>
    <xf numFmtId="43" fontId="12" fillId="0" borderId="25" xfId="0" applyNumberFormat="1" applyFont="1" applyBorder="1"/>
    <xf numFmtId="43" fontId="27" fillId="0" borderId="5" xfId="1" applyFont="1" applyBorder="1" applyAlignment="1">
      <alignment horizontal="center"/>
    </xf>
    <xf numFmtId="43" fontId="27" fillId="0" borderId="21" xfId="1" applyFont="1" applyBorder="1" applyAlignment="1">
      <alignment horizontal="center"/>
    </xf>
    <xf numFmtId="0" fontId="3" fillId="0" borderId="24" xfId="0" applyFont="1" applyFill="1" applyBorder="1" applyAlignment="1">
      <alignment horizontal="left" vertical="justify"/>
    </xf>
    <xf numFmtId="0" fontId="3" fillId="0" borderId="11" xfId="0" applyFont="1" applyBorder="1"/>
    <xf numFmtId="0" fontId="3" fillId="0" borderId="37" xfId="0" applyFont="1" applyBorder="1"/>
    <xf numFmtId="43" fontId="9" fillId="0" borderId="17" xfId="1" applyFont="1" applyFill="1" applyBorder="1"/>
    <xf numFmtId="43" fontId="3" fillId="0" borderId="21" xfId="0" applyNumberFormat="1" applyFont="1" applyBorder="1"/>
    <xf numFmtId="43" fontId="7" fillId="0" borderId="32" xfId="0" applyNumberFormat="1" applyFont="1" applyBorder="1"/>
    <xf numFmtId="43" fontId="8" fillId="0" borderId="17" xfId="1" applyFont="1" applyBorder="1"/>
    <xf numFmtId="0" fontId="26" fillId="0" borderId="0" xfId="0" applyFont="1" applyFill="1" applyAlignment="1">
      <alignment horizontal="center"/>
    </xf>
    <xf numFmtId="0" fontId="26" fillId="0" borderId="0" xfId="0" applyFont="1" applyFill="1"/>
    <xf numFmtId="43" fontId="8" fillId="0" borderId="14" xfId="0" applyNumberFormat="1" applyFont="1" applyBorder="1"/>
    <xf numFmtId="43" fontId="9" fillId="0" borderId="17" xfId="1" applyFont="1" applyBorder="1" applyAlignment="1">
      <alignment horizontal="center"/>
    </xf>
    <xf numFmtId="43" fontId="9" fillId="0" borderId="15" xfId="1" applyFont="1" applyBorder="1" applyAlignment="1">
      <alignment horizontal="center"/>
    </xf>
    <xf numFmtId="43" fontId="8" fillId="0" borderId="21" xfId="0" applyNumberFormat="1" applyFont="1" applyBorder="1"/>
    <xf numFmtId="0" fontId="3" fillId="0" borderId="21" xfId="0" applyFont="1" applyBorder="1"/>
    <xf numFmtId="43" fontId="27" fillId="0" borderId="5" xfId="1" applyFont="1" applyFill="1" applyBorder="1" applyAlignment="1">
      <alignment horizontal="center"/>
    </xf>
    <xf numFmtId="0" fontId="48" fillId="0" borderId="0" xfId="0" applyFont="1" applyFill="1" applyAlignment="1">
      <alignment horizontal="center"/>
    </xf>
    <xf numFmtId="43" fontId="26" fillId="0" borderId="0" xfId="1" applyFont="1" applyFill="1" applyAlignment="1">
      <alignment horizontal="center"/>
    </xf>
    <xf numFmtId="0" fontId="26" fillId="0" borderId="0" xfId="0" applyFont="1" applyFill="1" applyBorder="1" applyAlignment="1">
      <alignment horizontal="center"/>
    </xf>
    <xf numFmtId="43" fontId="26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28" fillId="0" borderId="0" xfId="0" applyFont="1" applyFill="1" applyAlignment="1">
      <alignment horizontal="center"/>
    </xf>
    <xf numFmtId="17" fontId="26" fillId="0" borderId="0" xfId="0" applyNumberFormat="1" applyFont="1" applyFill="1" applyAlignment="1">
      <alignment horizontal="center"/>
    </xf>
    <xf numFmtId="43" fontId="0" fillId="0" borderId="0" xfId="1" applyFont="1" applyFill="1" applyBorder="1"/>
    <xf numFmtId="43" fontId="21" fillId="0" borderId="32" xfId="0" applyNumberFormat="1" applyFont="1" applyBorder="1"/>
    <xf numFmtId="43" fontId="20" fillId="0" borderId="32" xfId="0" applyNumberFormat="1" applyFont="1" applyBorder="1"/>
    <xf numFmtId="0" fontId="29" fillId="0" borderId="24" xfId="0" applyFont="1" applyBorder="1" applyAlignment="1">
      <alignment horizontal="left"/>
    </xf>
    <xf numFmtId="43" fontId="30" fillId="2" borderId="0" xfId="1" applyFont="1" applyFill="1"/>
    <xf numFmtId="43" fontId="3" fillId="0" borderId="14" xfId="1" applyFont="1" applyFill="1" applyBorder="1"/>
    <xf numFmtId="43" fontId="3" fillId="0" borderId="14" xfId="1" applyFont="1" applyBorder="1"/>
    <xf numFmtId="0" fontId="26" fillId="0" borderId="14" xfId="0" applyFont="1" applyBorder="1"/>
    <xf numFmtId="0" fontId="26" fillId="0" borderId="14" xfId="0" applyFont="1" applyFill="1" applyBorder="1"/>
    <xf numFmtId="0" fontId="26" fillId="0" borderId="13" xfId="0" applyFont="1" applyBorder="1"/>
    <xf numFmtId="0" fontId="26" fillId="0" borderId="13" xfId="0" applyFont="1" applyFill="1" applyBorder="1"/>
    <xf numFmtId="43" fontId="8" fillId="0" borderId="17" xfId="1" applyFont="1" applyFill="1" applyBorder="1"/>
    <xf numFmtId="43" fontId="3" fillId="0" borderId="1" xfId="1" applyFont="1" applyBorder="1"/>
    <xf numFmtId="43" fontId="3" fillId="0" borderId="1" xfId="1" applyFont="1" applyFill="1" applyBorder="1"/>
    <xf numFmtId="0" fontId="26" fillId="0" borderId="1" xfId="0" applyFont="1" applyBorder="1"/>
    <xf numFmtId="0" fontId="26" fillId="0" borderId="1" xfId="0" applyFont="1" applyFill="1" applyBorder="1"/>
    <xf numFmtId="43" fontId="3" fillId="0" borderId="0" xfId="1" applyFont="1" applyFill="1"/>
    <xf numFmtId="43" fontId="10" fillId="0" borderId="0" xfId="1" applyFont="1" applyFill="1" applyBorder="1" applyAlignment="1">
      <alignment horizontal="right"/>
    </xf>
    <xf numFmtId="43" fontId="3" fillId="0" borderId="16" xfId="1" applyFont="1" applyFill="1" applyBorder="1" applyAlignment="1">
      <alignment horizontal="right"/>
    </xf>
    <xf numFmtId="43" fontId="8" fillId="0" borderId="14" xfId="1" applyFont="1" applyFill="1" applyBorder="1" applyAlignment="1">
      <alignment horizontal="right"/>
    </xf>
    <xf numFmtId="43" fontId="3" fillId="0" borderId="13" xfId="1" applyFont="1" applyFill="1" applyBorder="1" applyAlignment="1">
      <alignment horizontal="right"/>
    </xf>
    <xf numFmtId="43" fontId="3" fillId="0" borderId="22" xfId="1" applyFont="1" applyFill="1" applyBorder="1" applyAlignment="1">
      <alignment horizontal="right"/>
    </xf>
    <xf numFmtId="43" fontId="3" fillId="0" borderId="14" xfId="1" applyFont="1" applyFill="1" applyBorder="1" applyAlignment="1">
      <alignment horizontal="right"/>
    </xf>
    <xf numFmtId="43" fontId="3" fillId="0" borderId="0" xfId="1" applyFont="1" applyFill="1" applyAlignment="1">
      <alignment horizontal="right"/>
    </xf>
    <xf numFmtId="43" fontId="10" fillId="0" borderId="0" xfId="1" applyFont="1" applyFill="1" applyAlignment="1">
      <alignment horizontal="right"/>
    </xf>
    <xf numFmtId="0" fontId="3" fillId="0" borderId="24" xfId="0" applyFont="1" applyFill="1" applyBorder="1" applyAlignment="1">
      <alignment horizontal="left"/>
    </xf>
    <xf numFmtId="43" fontId="23" fillId="0" borderId="0" xfId="1" applyFont="1" applyBorder="1"/>
    <xf numFmtId="43" fontId="20" fillId="0" borderId="2" xfId="1" applyFont="1" applyBorder="1" applyAlignment="1">
      <alignment horizontal="center" vertical="center" wrapText="1"/>
    </xf>
    <xf numFmtId="43" fontId="20" fillId="0" borderId="4" xfId="1" applyFont="1" applyBorder="1" applyAlignment="1">
      <alignment horizontal="center" vertical="center" wrapText="1"/>
    </xf>
    <xf numFmtId="43" fontId="20" fillId="0" borderId="7" xfId="1" applyFont="1" applyBorder="1" applyAlignment="1">
      <alignment horizontal="center" vertical="center" wrapText="1"/>
    </xf>
    <xf numFmtId="43" fontId="12" fillId="0" borderId="24" xfId="1" applyFont="1" applyFill="1" applyBorder="1" applyAlignment="1">
      <alignment horizontal="left" vertical="justify"/>
    </xf>
    <xf numFmtId="43" fontId="12" fillId="0" borderId="38" xfId="1" applyFont="1" applyFill="1" applyBorder="1"/>
    <xf numFmtId="43" fontId="12" fillId="0" borderId="39" xfId="1" applyFont="1" applyFill="1" applyBorder="1"/>
    <xf numFmtId="43" fontId="23" fillId="0" borderId="0" xfId="1" applyFont="1"/>
    <xf numFmtId="43" fontId="12" fillId="0" borderId="38" xfId="1" applyFont="1" applyFill="1" applyBorder="1" applyAlignment="1">
      <alignment horizontal="left" vertical="justify"/>
    </xf>
    <xf numFmtId="0" fontId="8" fillId="0" borderId="40" xfId="0" applyFont="1" applyBorder="1" applyAlignment="1">
      <alignment horizontal="center"/>
    </xf>
    <xf numFmtId="43" fontId="25" fillId="0" borderId="6" xfId="1" applyFont="1" applyFill="1" applyBorder="1"/>
    <xf numFmtId="43" fontId="25" fillId="0" borderId="28" xfId="1" applyFont="1" applyFill="1" applyBorder="1"/>
    <xf numFmtId="43" fontId="25" fillId="0" borderId="10" xfId="1" applyFont="1" applyFill="1" applyBorder="1"/>
    <xf numFmtId="43" fontId="5" fillId="0" borderId="21" xfId="1" applyFont="1" applyFill="1" applyBorder="1"/>
    <xf numFmtId="43" fontId="9" fillId="0" borderId="17" xfId="1" applyFont="1" applyFill="1" applyBorder="1" applyAlignment="1">
      <alignment horizontal="center"/>
    </xf>
    <xf numFmtId="43" fontId="25" fillId="0" borderId="3" xfId="1" applyFont="1" applyFill="1" applyBorder="1"/>
    <xf numFmtId="43" fontId="24" fillId="0" borderId="3" xfId="1" applyFont="1" applyFill="1" applyBorder="1" applyAlignment="1">
      <alignment horizontal="center"/>
    </xf>
    <xf numFmtId="43" fontId="24" fillId="0" borderId="17" xfId="1" applyFont="1" applyFill="1" applyBorder="1" applyAlignment="1">
      <alignment horizontal="center"/>
    </xf>
    <xf numFmtId="43" fontId="24" fillId="0" borderId="11" xfId="1" applyFont="1" applyFill="1" applyBorder="1" applyAlignment="1">
      <alignment horizontal="center"/>
    </xf>
    <xf numFmtId="43" fontId="25" fillId="0" borderId="11" xfId="1" applyFont="1" applyFill="1" applyBorder="1" applyAlignment="1">
      <alignment horizontal="center"/>
    </xf>
    <xf numFmtId="43" fontId="25" fillId="0" borderId="5" xfId="1" applyFont="1" applyFill="1" applyBorder="1" applyAlignment="1">
      <alignment horizontal="left"/>
    </xf>
    <xf numFmtId="43" fontId="25" fillId="0" borderId="21" xfId="1" applyFont="1" applyFill="1" applyBorder="1" applyAlignment="1">
      <alignment horizontal="left"/>
    </xf>
    <xf numFmtId="43" fontId="25" fillId="0" borderId="3" xfId="1" applyFont="1" applyFill="1" applyBorder="1" applyAlignment="1">
      <alignment horizontal="left"/>
    </xf>
    <xf numFmtId="43" fontId="24" fillId="0" borderId="8" xfId="1" applyFont="1" applyFill="1" applyBorder="1" applyAlignment="1">
      <alignment horizontal="center"/>
    </xf>
    <xf numFmtId="43" fontId="3" fillId="0" borderId="21" xfId="1" applyFont="1" applyFill="1" applyBorder="1" applyAlignment="1">
      <alignment horizontal="right"/>
    </xf>
    <xf numFmtId="43" fontId="3" fillId="0" borderId="41" xfId="1" applyFont="1" applyBorder="1"/>
    <xf numFmtId="43" fontId="3" fillId="0" borderId="41" xfId="1" applyFont="1" applyFill="1" applyBorder="1" applyAlignment="1">
      <alignment horizontal="right"/>
    </xf>
    <xf numFmtId="43" fontId="3" fillId="0" borderId="41" xfId="1" applyFont="1" applyFill="1" applyBorder="1"/>
    <xf numFmtId="0" fontId="26" fillId="0" borderId="41" xfId="0" applyFont="1" applyBorder="1"/>
    <xf numFmtId="0" fontId="26" fillId="0" borderId="41" xfId="0" applyFont="1" applyFill="1" applyBorder="1"/>
    <xf numFmtId="43" fontId="10" fillId="0" borderId="13" xfId="1" applyFont="1" applyFill="1" applyBorder="1" applyAlignment="1">
      <alignment horizontal="right"/>
    </xf>
    <xf numFmtId="43" fontId="10" fillId="0" borderId="13" xfId="1" applyFont="1" applyFill="1" applyBorder="1"/>
    <xf numFmtId="0" fontId="31" fillId="0" borderId="14" xfId="0" applyFont="1" applyBorder="1"/>
    <xf numFmtId="0" fontId="31" fillId="0" borderId="14" xfId="0" applyFont="1" applyFill="1" applyBorder="1"/>
    <xf numFmtId="43" fontId="8" fillId="0" borderId="15" xfId="1" applyFont="1" applyFill="1" applyBorder="1"/>
    <xf numFmtId="0" fontId="28" fillId="0" borderId="0" xfId="0" applyFont="1"/>
    <xf numFmtId="0" fontId="28" fillId="0" borderId="0" xfId="0" applyFont="1" applyBorder="1"/>
    <xf numFmtId="0" fontId="32" fillId="0" borderId="0" xfId="0" applyFont="1"/>
    <xf numFmtId="0" fontId="32" fillId="0" borderId="0" xfId="0" applyFont="1" applyBorder="1"/>
    <xf numFmtId="43" fontId="28" fillId="2" borderId="0" xfId="0" applyNumberFormat="1" applyFont="1" applyFill="1"/>
    <xf numFmtId="0" fontId="28" fillId="0" borderId="3" xfId="0" applyFont="1" applyBorder="1"/>
    <xf numFmtId="43" fontId="28" fillId="2" borderId="3" xfId="0" applyNumberFormat="1" applyFont="1" applyFill="1" applyBorder="1"/>
    <xf numFmtId="43" fontId="32" fillId="0" borderId="3" xfId="1" applyFont="1" applyBorder="1"/>
    <xf numFmtId="43" fontId="32" fillId="2" borderId="0" xfId="0" applyNumberFormat="1" applyFont="1" applyFill="1"/>
    <xf numFmtId="43" fontId="32" fillId="2" borderId="25" xfId="1" applyFont="1" applyFill="1" applyBorder="1"/>
    <xf numFmtId="43" fontId="3" fillId="2" borderId="22" xfId="1" applyFont="1" applyFill="1" applyBorder="1" applyAlignment="1">
      <alignment horizontal="right"/>
    </xf>
    <xf numFmtId="43" fontId="28" fillId="0" borderId="0" xfId="0" applyNumberFormat="1" applyFont="1"/>
    <xf numFmtId="43" fontId="28" fillId="3" borderId="0" xfId="1" applyFont="1" applyFill="1"/>
    <xf numFmtId="43" fontId="49" fillId="0" borderId="13" xfId="1" applyFont="1" applyBorder="1"/>
    <xf numFmtId="43" fontId="49" fillId="0" borderId="16" xfId="1" applyFont="1" applyFill="1" applyBorder="1" applyAlignment="1">
      <alignment horizontal="right"/>
    </xf>
    <xf numFmtId="43" fontId="49" fillId="0" borderId="14" xfId="1" applyFont="1" applyBorder="1"/>
    <xf numFmtId="43" fontId="50" fillId="0" borderId="5" xfId="1" applyFont="1" applyFill="1" applyBorder="1" applyAlignment="1">
      <alignment horizontal="center"/>
    </xf>
    <xf numFmtId="43" fontId="50" fillId="0" borderId="5" xfId="1" applyFont="1" applyBorder="1" applyAlignment="1">
      <alignment horizontal="center"/>
    </xf>
    <xf numFmtId="43" fontId="28" fillId="3" borderId="0" xfId="0" applyNumberFormat="1" applyFont="1" applyFill="1"/>
    <xf numFmtId="203" fontId="28" fillId="0" borderId="0" xfId="1" applyNumberFormat="1" applyFont="1" applyAlignment="1">
      <alignment horizontal="center"/>
    </xf>
    <xf numFmtId="0" fontId="28" fillId="0" borderId="0" xfId="0" applyFont="1" applyAlignment="1">
      <alignment horizontal="center"/>
    </xf>
    <xf numFmtId="203" fontId="28" fillId="0" borderId="0" xfId="1" applyNumberFormat="1" applyFont="1" applyFill="1" applyAlignment="1">
      <alignment horizontal="center"/>
    </xf>
    <xf numFmtId="14" fontId="28" fillId="0" borderId="0" xfId="0" applyNumberFormat="1" applyFont="1" applyFill="1" applyAlignment="1">
      <alignment horizontal="center"/>
    </xf>
    <xf numFmtId="203" fontId="28" fillId="0" borderId="0" xfId="1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203" fontId="28" fillId="2" borderId="0" xfId="1" applyNumberFormat="1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43" fontId="28" fillId="0" borderId="0" xfId="1" applyFont="1" applyAlignment="1">
      <alignment horizontal="center"/>
    </xf>
    <xf numFmtId="43" fontId="28" fillId="0" borderId="0" xfId="1" applyFont="1" applyFill="1" applyAlignment="1">
      <alignment horizontal="center"/>
    </xf>
    <xf numFmtId="203" fontId="51" fillId="0" borderId="0" xfId="1" applyNumberFormat="1" applyFont="1" applyFill="1" applyAlignment="1">
      <alignment horizontal="center"/>
    </xf>
    <xf numFmtId="0" fontId="51" fillId="0" borderId="0" xfId="0" applyFont="1" applyFill="1" applyAlignment="1">
      <alignment horizontal="center"/>
    </xf>
    <xf numFmtId="203" fontId="28" fillId="4" borderId="0" xfId="1" applyNumberFormat="1" applyFont="1" applyFill="1" applyAlignment="1">
      <alignment horizontal="center"/>
    </xf>
    <xf numFmtId="0" fontId="28" fillId="4" borderId="0" xfId="0" applyFont="1" applyFill="1" applyAlignment="1">
      <alignment horizontal="center"/>
    </xf>
    <xf numFmtId="203" fontId="28" fillId="0" borderId="0" xfId="1" applyNumberFormat="1" applyFont="1" applyAlignment="1"/>
    <xf numFmtId="43" fontId="0" fillId="4" borderId="0" xfId="0" applyNumberFormat="1" applyFill="1"/>
    <xf numFmtId="43" fontId="3" fillId="0" borderId="25" xfId="1" applyFont="1" applyBorder="1"/>
    <xf numFmtId="43" fontId="3" fillId="0" borderId="25" xfId="1" applyFont="1" applyFill="1" applyBorder="1"/>
    <xf numFmtId="0" fontId="0" fillId="0" borderId="38" xfId="0" applyBorder="1"/>
    <xf numFmtId="0" fontId="3" fillId="0" borderId="35" xfId="0" applyFont="1" applyFill="1" applyBorder="1"/>
    <xf numFmtId="43" fontId="7" fillId="0" borderId="5" xfId="0" applyNumberFormat="1" applyFont="1" applyBorder="1"/>
    <xf numFmtId="43" fontId="25" fillId="0" borderId="12" xfId="1" applyFont="1" applyFill="1" applyBorder="1"/>
    <xf numFmtId="43" fontId="7" fillId="0" borderId="12" xfId="0" applyNumberFormat="1" applyFont="1" applyBorder="1"/>
    <xf numFmtId="0" fontId="3" fillId="0" borderId="38" xfId="0" applyFont="1" applyBorder="1"/>
    <xf numFmtId="43" fontId="28" fillId="2" borderId="0" xfId="0" applyNumberFormat="1" applyFont="1" applyFill="1" applyBorder="1"/>
    <xf numFmtId="43" fontId="32" fillId="2" borderId="3" xfId="1" applyFont="1" applyFill="1" applyBorder="1"/>
    <xf numFmtId="0" fontId="8" fillId="0" borderId="0" xfId="0" applyFont="1" applyBorder="1" applyAlignment="1">
      <alignment horizontal="center"/>
    </xf>
    <xf numFmtId="43" fontId="3" fillId="0" borderId="42" xfId="1" applyFont="1" applyBorder="1"/>
    <xf numFmtId="43" fontId="3" fillId="0" borderId="21" xfId="1" applyFont="1" applyBorder="1"/>
    <xf numFmtId="43" fontId="8" fillId="0" borderId="15" xfId="1" applyFont="1" applyFill="1" applyBorder="1" applyAlignment="1">
      <alignment horizontal="right"/>
    </xf>
    <xf numFmtId="43" fontId="3" fillId="0" borderId="28" xfId="1" applyFont="1" applyBorder="1"/>
    <xf numFmtId="0" fontId="29" fillId="0" borderId="37" xfId="0" applyFont="1" applyBorder="1" applyAlignment="1">
      <alignment horizontal="left"/>
    </xf>
    <xf numFmtId="43" fontId="25" fillId="0" borderId="11" xfId="1" applyFont="1" applyFill="1" applyBorder="1" applyAlignment="1">
      <alignment horizontal="left"/>
    </xf>
    <xf numFmtId="43" fontId="12" fillId="0" borderId="32" xfId="0" applyNumberFormat="1" applyFont="1" applyBorder="1"/>
    <xf numFmtId="0" fontId="15" fillId="0" borderId="43" xfId="0" applyFont="1" applyBorder="1" applyAlignment="1">
      <alignment horizontal="center"/>
    </xf>
    <xf numFmtId="0" fontId="11" fillId="0" borderId="0" xfId="0" applyFont="1"/>
    <xf numFmtId="43" fontId="24" fillId="0" borderId="44" xfId="1" applyFont="1" applyFill="1" applyBorder="1" applyAlignment="1">
      <alignment horizontal="left"/>
    </xf>
    <xf numFmtId="43" fontId="24" fillId="0" borderId="36" xfId="1" applyFont="1" applyFill="1" applyBorder="1" applyAlignment="1">
      <alignment horizontal="left"/>
    </xf>
    <xf numFmtId="43" fontId="9" fillId="0" borderId="14" xfId="1" applyFont="1" applyFill="1" applyBorder="1" applyAlignment="1">
      <alignment horizontal="center"/>
    </xf>
    <xf numFmtId="43" fontId="25" fillId="0" borderId="32" xfId="1" applyFont="1" applyFill="1" applyBorder="1"/>
    <xf numFmtId="0" fontId="7" fillId="0" borderId="32" xfId="0" applyFont="1" applyBorder="1"/>
    <xf numFmtId="43" fontId="26" fillId="0" borderId="0" xfId="1" applyFont="1" applyFill="1" applyBorder="1" applyAlignment="1">
      <alignment horizontal="center"/>
    </xf>
    <xf numFmtId="43" fontId="20" fillId="0" borderId="25" xfId="0" applyNumberFormat="1" applyFont="1" applyBorder="1"/>
    <xf numFmtId="0" fontId="3" fillId="0" borderId="24" xfId="0" applyFont="1" applyFill="1" applyBorder="1" applyAlignment="1"/>
    <xf numFmtId="0" fontId="3" fillId="0" borderId="38" xfId="0" applyFont="1" applyBorder="1" applyAlignment="1"/>
    <xf numFmtId="43" fontId="26" fillId="0" borderId="0" xfId="0" applyNumberFormat="1" applyFont="1" applyFill="1" applyBorder="1" applyAlignment="1">
      <alignment horizontal="center"/>
    </xf>
    <xf numFmtId="43" fontId="7" fillId="0" borderId="5" xfId="1" applyFont="1" applyFill="1" applyBorder="1" applyAlignment="1">
      <alignment horizontal="center"/>
    </xf>
    <xf numFmtId="43" fontId="7" fillId="0" borderId="5" xfId="1" applyFont="1" applyBorder="1" applyAlignment="1">
      <alignment horizontal="center"/>
    </xf>
    <xf numFmtId="203" fontId="28" fillId="0" borderId="0" xfId="1" applyNumberFormat="1" applyFont="1" applyFill="1" applyAlignment="1"/>
    <xf numFmtId="43" fontId="7" fillId="2" borderId="21" xfId="0" applyNumberFormat="1" applyFont="1" applyFill="1" applyBorder="1"/>
    <xf numFmtId="43" fontId="12" fillId="2" borderId="21" xfId="0" applyNumberFormat="1" applyFont="1" applyFill="1" applyBorder="1"/>
    <xf numFmtId="0" fontId="26" fillId="2" borderId="0" xfId="0" applyFont="1" applyFill="1" applyAlignment="1">
      <alignment horizontal="center"/>
    </xf>
    <xf numFmtId="0" fontId="0" fillId="2" borderId="0" xfId="0" applyFill="1"/>
    <xf numFmtId="0" fontId="7" fillId="0" borderId="2" xfId="0" applyFont="1" applyBorder="1"/>
    <xf numFmtId="0" fontId="7" fillId="0" borderId="24" xfId="0" applyFont="1" applyBorder="1"/>
    <xf numFmtId="0" fontId="7" fillId="0" borderId="37" xfId="0" applyFont="1" applyBorder="1"/>
    <xf numFmtId="0" fontId="7" fillId="0" borderId="35" xfId="0" applyFont="1" applyBorder="1"/>
    <xf numFmtId="0" fontId="21" fillId="0" borderId="9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7" fillId="0" borderId="24" xfId="0" applyFont="1" applyBorder="1" applyAlignment="1">
      <alignment horizontal="left" vertical="justify"/>
    </xf>
    <xf numFmtId="0" fontId="7" fillId="0" borderId="24" xfId="0" applyFont="1" applyFill="1" applyBorder="1" applyAlignment="1">
      <alignment horizontal="left" vertical="justify"/>
    </xf>
    <xf numFmtId="0" fontId="7" fillId="0" borderId="24" xfId="0" applyFont="1" applyFill="1" applyBorder="1"/>
    <xf numFmtId="0" fontId="21" fillId="0" borderId="4" xfId="0" applyFont="1" applyBorder="1" applyAlignment="1">
      <alignment horizontal="center"/>
    </xf>
    <xf numFmtId="0" fontId="21" fillId="0" borderId="40" xfId="0" applyFont="1" applyBorder="1" applyAlignment="1">
      <alignment horizontal="center"/>
    </xf>
    <xf numFmtId="0" fontId="34" fillId="0" borderId="24" xfId="0" applyFont="1" applyBorder="1" applyAlignment="1">
      <alignment horizontal="left"/>
    </xf>
    <xf numFmtId="0" fontId="7" fillId="0" borderId="24" xfId="0" applyFont="1" applyBorder="1" applyAlignment="1">
      <alignment horizontal="left"/>
    </xf>
    <xf numFmtId="0" fontId="21" fillId="0" borderId="2" xfId="0" applyFont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7" fillId="0" borderId="24" xfId="0" applyFont="1" applyFill="1" applyBorder="1" applyAlignment="1">
      <alignment horizontal="left"/>
    </xf>
    <xf numFmtId="0" fontId="7" fillId="0" borderId="35" xfId="0" applyFont="1" applyFill="1" applyBorder="1"/>
    <xf numFmtId="0" fontId="7" fillId="0" borderId="0" xfId="0" applyFont="1" applyFill="1" applyBorder="1" applyAlignment="1">
      <alignment horizontal="right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0" fontId="7" fillId="0" borderId="38" xfId="0" applyFont="1" applyBorder="1" applyAlignment="1">
      <alignment horizontal="left"/>
    </xf>
    <xf numFmtId="0" fontId="21" fillId="0" borderId="24" xfId="0" applyFont="1" applyBorder="1" applyAlignment="1">
      <alignment horizontal="left"/>
    </xf>
    <xf numFmtId="43" fontId="21" fillId="0" borderId="2" xfId="1" applyFont="1" applyBorder="1" applyAlignment="1">
      <alignment horizontal="center" vertical="center" wrapText="1"/>
    </xf>
    <xf numFmtId="43" fontId="21" fillId="0" borderId="4" xfId="1" applyFont="1" applyBorder="1" applyAlignment="1">
      <alignment horizontal="center" vertical="center" wrapText="1"/>
    </xf>
    <xf numFmtId="43" fontId="21" fillId="0" borderId="7" xfId="1" applyFont="1" applyBorder="1" applyAlignment="1">
      <alignment horizontal="center" vertical="center" wrapText="1"/>
    </xf>
    <xf numFmtId="43" fontId="27" fillId="0" borderId="10" xfId="1" applyFont="1" applyFill="1" applyBorder="1"/>
    <xf numFmtId="43" fontId="27" fillId="0" borderId="5" xfId="1" applyFont="1" applyFill="1" applyBorder="1"/>
    <xf numFmtId="43" fontId="27" fillId="0" borderId="6" xfId="1" applyFont="1" applyFill="1" applyBorder="1"/>
    <xf numFmtId="43" fontId="27" fillId="0" borderId="3" xfId="1" applyFont="1" applyFill="1" applyBorder="1"/>
    <xf numFmtId="43" fontId="33" fillId="0" borderId="8" xfId="1" applyFont="1" applyFill="1" applyBorder="1" applyAlignment="1">
      <alignment horizontal="center"/>
    </xf>
    <xf numFmtId="43" fontId="27" fillId="0" borderId="11" xfId="1" applyFont="1" applyFill="1" applyBorder="1"/>
    <xf numFmtId="43" fontId="27" fillId="0" borderId="21" xfId="1" applyFont="1" applyFill="1" applyBorder="1"/>
    <xf numFmtId="43" fontId="33" fillId="0" borderId="17" xfId="1" applyFont="1" applyFill="1" applyBorder="1" applyAlignment="1">
      <alignment horizontal="center"/>
    </xf>
    <xf numFmtId="43" fontId="27" fillId="0" borderId="28" xfId="1" applyFont="1" applyFill="1" applyBorder="1"/>
    <xf numFmtId="43" fontId="7" fillId="0" borderId="39" xfId="1" applyFont="1" applyFill="1" applyBorder="1"/>
    <xf numFmtId="43" fontId="7" fillId="0" borderId="38" xfId="1" applyFont="1" applyFill="1" applyBorder="1"/>
    <xf numFmtId="43" fontId="7" fillId="0" borderId="38" xfId="1" applyFont="1" applyFill="1" applyBorder="1" applyAlignment="1">
      <alignment horizontal="left" vertical="justify"/>
    </xf>
    <xf numFmtId="43" fontId="7" fillId="0" borderId="24" xfId="1" applyFont="1" applyFill="1" applyBorder="1" applyAlignment="1">
      <alignment horizontal="left" vertical="justify"/>
    </xf>
    <xf numFmtId="43" fontId="33" fillId="0" borderId="3" xfId="1" applyFont="1" applyFill="1" applyBorder="1" applyAlignment="1">
      <alignment horizontal="center"/>
    </xf>
    <xf numFmtId="43" fontId="33" fillId="0" borderId="11" xfId="1" applyFont="1" applyFill="1" applyBorder="1" applyAlignment="1">
      <alignment horizontal="center"/>
    </xf>
    <xf numFmtId="43" fontId="27" fillId="0" borderId="11" xfId="1" applyFont="1" applyFill="1" applyBorder="1" applyAlignment="1">
      <alignment horizontal="center"/>
    </xf>
    <xf numFmtId="43" fontId="27" fillId="0" borderId="5" xfId="1" applyFont="1" applyFill="1" applyBorder="1" applyAlignment="1">
      <alignment horizontal="left"/>
    </xf>
    <xf numFmtId="43" fontId="33" fillId="0" borderId="5" xfId="1" applyFont="1" applyFill="1" applyBorder="1" applyAlignment="1">
      <alignment horizontal="left"/>
    </xf>
    <xf numFmtId="43" fontId="27" fillId="0" borderId="21" xfId="1" applyFont="1" applyFill="1" applyBorder="1" applyAlignment="1">
      <alignment horizontal="left"/>
    </xf>
    <xf numFmtId="43" fontId="27" fillId="0" borderId="3" xfId="1" applyFont="1" applyFill="1" applyBorder="1" applyAlignment="1">
      <alignment horizontal="left"/>
    </xf>
    <xf numFmtId="43" fontId="27" fillId="0" borderId="34" xfId="1" applyFont="1" applyFill="1" applyBorder="1"/>
    <xf numFmtId="43" fontId="33" fillId="0" borderId="8" xfId="1" applyFont="1" applyFill="1" applyBorder="1"/>
    <xf numFmtId="43" fontId="7" fillId="0" borderId="21" xfId="1" applyFont="1" applyFill="1" applyBorder="1" applyAlignment="1">
      <alignment horizontal="right"/>
    </xf>
    <xf numFmtId="43" fontId="27" fillId="0" borderId="12" xfId="1" applyFont="1" applyFill="1" applyBorder="1"/>
    <xf numFmtId="43" fontId="33" fillId="0" borderId="17" xfId="1" applyFont="1" applyFill="1" applyBorder="1"/>
    <xf numFmtId="43" fontId="21" fillId="0" borderId="17" xfId="1" applyFont="1" applyFill="1" applyBorder="1"/>
    <xf numFmtId="43" fontId="7" fillId="0" borderId="0" xfId="1" applyFont="1" applyBorder="1"/>
    <xf numFmtId="43" fontId="7" fillId="0" borderId="0" xfId="1" applyFont="1" applyFill="1"/>
    <xf numFmtId="43" fontId="7" fillId="2" borderId="0" xfId="1" applyFont="1" applyFill="1"/>
    <xf numFmtId="43" fontId="7" fillId="0" borderId="0" xfId="1" applyFont="1" applyFill="1" applyBorder="1" applyAlignment="1">
      <alignment horizontal="right"/>
    </xf>
    <xf numFmtId="43" fontId="7" fillId="0" borderId="0" xfId="1" applyFont="1" applyFill="1" applyBorder="1"/>
    <xf numFmtId="0" fontId="7" fillId="0" borderId="0" xfId="0" applyFont="1" applyFill="1" applyBorder="1"/>
    <xf numFmtId="43" fontId="21" fillId="0" borderId="22" xfId="1" applyFont="1" applyBorder="1" applyAlignment="1">
      <alignment horizontal="center" vertical="center" wrapText="1"/>
    </xf>
    <xf numFmtId="43" fontId="21" fillId="0" borderId="13" xfId="1" applyFont="1" applyBorder="1" applyAlignment="1">
      <alignment horizontal="center" vertical="center" wrapText="1"/>
    </xf>
    <xf numFmtId="0" fontId="21" fillId="0" borderId="1" xfId="0" applyFont="1" applyBorder="1"/>
    <xf numFmtId="43" fontId="7" fillId="0" borderId="16" xfId="1" applyFont="1" applyBorder="1"/>
    <xf numFmtId="43" fontId="7" fillId="0" borderId="16" xfId="1" applyFont="1" applyFill="1" applyBorder="1" applyAlignment="1">
      <alignment horizontal="right"/>
    </xf>
    <xf numFmtId="43" fontId="7" fillId="0" borderId="16" xfId="1" applyFont="1" applyFill="1" applyBorder="1"/>
    <xf numFmtId="0" fontId="7" fillId="0" borderId="16" xfId="0" applyFont="1" applyBorder="1"/>
    <xf numFmtId="0" fontId="7" fillId="0" borderId="16" xfId="0" applyFont="1" applyFill="1" applyBorder="1"/>
    <xf numFmtId="0" fontId="21" fillId="0" borderId="3" xfId="0" applyFont="1" applyBorder="1"/>
    <xf numFmtId="0" fontId="7" fillId="0" borderId="3" xfId="0" quotePrefix="1" applyFont="1" applyBorder="1" applyAlignment="1">
      <alignment horizontal="center"/>
    </xf>
    <xf numFmtId="43" fontId="7" fillId="0" borderId="22" xfId="1" applyFont="1" applyFill="1" applyBorder="1"/>
    <xf numFmtId="43" fontId="7" fillId="0" borderId="22" xfId="1" applyFont="1" applyBorder="1"/>
    <xf numFmtId="0" fontId="7" fillId="0" borderId="22" xfId="0" applyFont="1" applyBorder="1"/>
    <xf numFmtId="0" fontId="7" fillId="0" borderId="22" xfId="0" applyFont="1" applyFill="1" applyBorder="1"/>
    <xf numFmtId="0" fontId="7" fillId="0" borderId="8" xfId="0" applyFont="1" applyBorder="1"/>
    <xf numFmtId="43" fontId="21" fillId="0" borderId="15" xfId="1" applyFont="1" applyBorder="1"/>
    <xf numFmtId="43" fontId="21" fillId="0" borderId="15" xfId="1" applyFont="1" applyFill="1" applyBorder="1" applyAlignment="1">
      <alignment horizontal="right"/>
    </xf>
    <xf numFmtId="43" fontId="21" fillId="0" borderId="14" xfId="1" applyFont="1" applyFill="1" applyBorder="1"/>
    <xf numFmtId="43" fontId="21" fillId="0" borderId="14" xfId="1" applyFont="1" applyBorder="1"/>
    <xf numFmtId="43" fontId="7" fillId="0" borderId="13" xfId="1" applyFont="1" applyBorder="1"/>
    <xf numFmtId="43" fontId="7" fillId="0" borderId="13" xfId="1" applyFont="1" applyFill="1" applyBorder="1" applyAlignment="1">
      <alignment horizontal="right"/>
    </xf>
    <xf numFmtId="43" fontId="7" fillId="0" borderId="13" xfId="1" applyFont="1" applyFill="1" applyBorder="1"/>
    <xf numFmtId="0" fontId="7" fillId="0" borderId="13" xfId="0" applyFont="1" applyBorder="1"/>
    <xf numFmtId="0" fontId="21" fillId="0" borderId="8" xfId="0" applyFont="1" applyBorder="1"/>
    <xf numFmtId="43" fontId="21" fillId="0" borderId="14" xfId="1" applyFont="1" applyFill="1" applyBorder="1" applyAlignment="1">
      <alignment horizontal="right"/>
    </xf>
    <xf numFmtId="0" fontId="7" fillId="0" borderId="11" xfId="0" applyFont="1" applyBorder="1"/>
    <xf numFmtId="0" fontId="21" fillId="0" borderId="17" xfId="0" applyFont="1" applyBorder="1"/>
    <xf numFmtId="43" fontId="7" fillId="0" borderId="14" xfId="1" applyFont="1" applyBorder="1"/>
    <xf numFmtId="43" fontId="7" fillId="0" borderId="14" xfId="1" applyFont="1" applyFill="1" applyBorder="1"/>
    <xf numFmtId="0" fontId="7" fillId="0" borderId="30" xfId="0" applyFont="1" applyBorder="1"/>
    <xf numFmtId="0" fontId="7" fillId="0" borderId="3" xfId="0" applyFont="1" applyFill="1" applyBorder="1"/>
    <xf numFmtId="0" fontId="7" fillId="0" borderId="13" xfId="0" applyFont="1" applyFill="1" applyBorder="1"/>
    <xf numFmtId="43" fontId="7" fillId="0" borderId="14" xfId="1" applyFont="1" applyFill="1" applyBorder="1" applyAlignment="1">
      <alignment horizontal="right"/>
    </xf>
    <xf numFmtId="43" fontId="7" fillId="0" borderId="1" xfId="1" applyFont="1" applyBorder="1"/>
    <xf numFmtId="0" fontId="21" fillId="0" borderId="3" xfId="0" applyFont="1" applyFill="1" applyBorder="1"/>
    <xf numFmtId="0" fontId="7" fillId="0" borderId="14" xfId="0" applyFont="1" applyBorder="1"/>
    <xf numFmtId="0" fontId="7" fillId="0" borderId="14" xfId="0" applyFont="1" applyFill="1" applyBorder="1"/>
    <xf numFmtId="0" fontId="7" fillId="0" borderId="1" xfId="0" applyFont="1" applyBorder="1"/>
    <xf numFmtId="43" fontId="7" fillId="0" borderId="25" xfId="1" applyFont="1" applyBorder="1"/>
    <xf numFmtId="43" fontId="7" fillId="0" borderId="25" xfId="1" applyFont="1" applyFill="1" applyBorder="1"/>
    <xf numFmtId="0" fontId="21" fillId="0" borderId="0" xfId="0" applyFont="1" applyBorder="1"/>
    <xf numFmtId="43" fontId="33" fillId="0" borderId="15" xfId="1" applyFont="1" applyFill="1" applyBorder="1"/>
    <xf numFmtId="43" fontId="21" fillId="0" borderId="15" xfId="1" applyFont="1" applyFill="1" applyBorder="1"/>
    <xf numFmtId="43" fontId="7" fillId="0" borderId="41" xfId="1" applyFont="1" applyBorder="1"/>
    <xf numFmtId="43" fontId="7" fillId="0" borderId="41" xfId="1" applyFont="1" applyFill="1" applyBorder="1" applyAlignment="1">
      <alignment horizontal="right"/>
    </xf>
    <xf numFmtId="43" fontId="7" fillId="0" borderId="41" xfId="1" applyFont="1" applyFill="1" applyBorder="1"/>
    <xf numFmtId="0" fontId="7" fillId="0" borderId="41" xfId="0" applyFont="1" applyBorder="1"/>
    <xf numFmtId="0" fontId="7" fillId="0" borderId="41" xfId="0" applyFont="1" applyFill="1" applyBorder="1"/>
    <xf numFmtId="0" fontId="7" fillId="0" borderId="0" xfId="0" applyFont="1" applyFill="1"/>
    <xf numFmtId="43" fontId="7" fillId="0" borderId="0" xfId="1" applyFont="1" applyFill="1" applyAlignment="1">
      <alignment horizontal="right"/>
    </xf>
    <xf numFmtId="43" fontId="4" fillId="0" borderId="2" xfId="1" applyFont="1" applyBorder="1" applyAlignment="1">
      <alignment horizontal="center" vertical="center" wrapText="1"/>
    </xf>
    <xf numFmtId="43" fontId="4" fillId="0" borderId="7" xfId="1" applyFont="1" applyBorder="1" applyAlignment="1">
      <alignment horizontal="center" vertical="center" wrapText="1"/>
    </xf>
    <xf numFmtId="43" fontId="4" fillId="0" borderId="16" xfId="1" applyFont="1" applyFill="1" applyBorder="1" applyAlignment="1">
      <alignment horizontal="center" vertical="center" wrapText="1"/>
    </xf>
    <xf numFmtId="0" fontId="3" fillId="0" borderId="43" xfId="0" applyFont="1" applyBorder="1" applyAlignment="1">
      <alignment horizontal="left"/>
    </xf>
    <xf numFmtId="43" fontId="25" fillId="0" borderId="44" xfId="1" applyFont="1" applyFill="1" applyBorder="1" applyAlignment="1">
      <alignment horizontal="left"/>
    </xf>
    <xf numFmtId="0" fontId="28" fillId="0" borderId="27" xfId="0" applyFont="1" applyBorder="1"/>
    <xf numFmtId="43" fontId="32" fillId="2" borderId="0" xfId="1" applyFont="1" applyFill="1" applyBorder="1"/>
    <xf numFmtId="0" fontId="11" fillId="0" borderId="0" xfId="0" applyFont="1" applyBorder="1"/>
    <xf numFmtId="43" fontId="11" fillId="0" borderId="0" xfId="0" applyNumberFormat="1" applyFont="1" applyBorder="1"/>
    <xf numFmtId="43" fontId="3" fillId="0" borderId="21" xfId="0" applyNumberFormat="1" applyFont="1" applyFill="1" applyBorder="1"/>
    <xf numFmtId="43" fontId="5" fillId="0" borderId="3" xfId="1" applyFont="1" applyFill="1" applyBorder="1"/>
    <xf numFmtId="43" fontId="3" fillId="0" borderId="3" xfId="0" applyNumberFormat="1" applyFont="1" applyBorder="1"/>
    <xf numFmtId="43" fontId="3" fillId="0" borderId="34" xfId="0" applyNumberFormat="1" applyFont="1" applyBorder="1"/>
    <xf numFmtId="43" fontId="3" fillId="0" borderId="28" xfId="0" applyNumberFormat="1" applyFont="1" applyBorder="1"/>
    <xf numFmtId="43" fontId="8" fillId="0" borderId="25" xfId="0" applyNumberFormat="1" applyFont="1" applyBorder="1"/>
    <xf numFmtId="43" fontId="3" fillId="0" borderId="32" xfId="0" applyNumberFormat="1" applyFont="1" applyBorder="1"/>
    <xf numFmtId="43" fontId="8" fillId="0" borderId="34" xfId="0" applyNumberFormat="1" applyFont="1" applyBorder="1"/>
    <xf numFmtId="43" fontId="5" fillId="0" borderId="5" xfId="1" applyFont="1" applyFill="1" applyBorder="1" applyAlignment="1">
      <alignment horizontal="center"/>
    </xf>
    <xf numFmtId="43" fontId="5" fillId="0" borderId="5" xfId="1" applyFont="1" applyBorder="1" applyAlignment="1">
      <alignment horizontal="center"/>
    </xf>
    <xf numFmtId="43" fontId="5" fillId="0" borderId="21" xfId="1" applyFont="1" applyBorder="1" applyAlignment="1">
      <alignment horizontal="center"/>
    </xf>
    <xf numFmtId="43" fontId="49" fillId="0" borderId="5" xfId="1" applyFont="1" applyFill="1" applyBorder="1" applyAlignment="1">
      <alignment horizontal="center"/>
    </xf>
    <xf numFmtId="43" fontId="3" fillId="0" borderId="5" xfId="1" applyFont="1" applyFill="1" applyBorder="1" applyAlignment="1">
      <alignment horizontal="center"/>
    </xf>
    <xf numFmtId="43" fontId="3" fillId="0" borderId="5" xfId="1" applyFont="1" applyBorder="1" applyAlignment="1">
      <alignment horizontal="center"/>
    </xf>
    <xf numFmtId="43" fontId="3" fillId="0" borderId="34" xfId="0" applyNumberFormat="1" applyFont="1" applyFill="1" applyBorder="1"/>
    <xf numFmtId="43" fontId="9" fillId="0" borderId="36" xfId="1" applyFont="1" applyBorder="1" applyAlignment="1">
      <alignment horizontal="center"/>
    </xf>
    <xf numFmtId="43" fontId="8" fillId="0" borderId="32" xfId="0" applyNumberFormat="1" applyFont="1" applyBorder="1"/>
    <xf numFmtId="43" fontId="9" fillId="0" borderId="44" xfId="1" applyFont="1" applyFill="1" applyBorder="1" applyAlignment="1">
      <alignment horizontal="left"/>
    </xf>
    <xf numFmtId="43" fontId="9" fillId="0" borderId="36" xfId="1" applyFont="1" applyFill="1" applyBorder="1" applyAlignment="1">
      <alignment horizontal="left"/>
    </xf>
    <xf numFmtId="0" fontId="3" fillId="0" borderId="32" xfId="0" applyFont="1" applyBorder="1"/>
    <xf numFmtId="43" fontId="3" fillId="0" borderId="5" xfId="0" applyNumberFormat="1" applyFont="1" applyBorder="1"/>
    <xf numFmtId="43" fontId="3" fillId="0" borderId="12" xfId="0" applyNumberFormat="1" applyFont="1" applyBorder="1"/>
    <xf numFmtId="43" fontId="3" fillId="0" borderId="0" xfId="1" applyFont="1" applyFill="1" applyBorder="1"/>
    <xf numFmtId="43" fontId="3" fillId="0" borderId="0" xfId="1" applyFont="1" applyBorder="1"/>
    <xf numFmtId="0" fontId="26" fillId="0" borderId="0" xfId="0" applyFont="1" applyBorder="1"/>
    <xf numFmtId="0" fontId="26" fillId="0" borderId="0" xfId="0" applyFont="1" applyFill="1" applyBorder="1"/>
    <xf numFmtId="43" fontId="8" fillId="0" borderId="22" xfId="1" applyFont="1" applyBorder="1" applyAlignment="1">
      <alignment horizontal="center" vertical="center" wrapText="1"/>
    </xf>
    <xf numFmtId="0" fontId="8" fillId="0" borderId="0" xfId="0" applyFont="1"/>
    <xf numFmtId="43" fontId="8" fillId="0" borderId="13" xfId="1" applyFont="1" applyBorder="1" applyAlignment="1">
      <alignment horizontal="center" vertical="center" wrapText="1"/>
    </xf>
    <xf numFmtId="43" fontId="3" fillId="0" borderId="0" xfId="1" applyFont="1" applyFill="1" applyBorder="1" applyAlignment="1">
      <alignment horizontal="right"/>
    </xf>
    <xf numFmtId="0" fontId="28" fillId="0" borderId="0" xfId="0" applyFont="1" applyFill="1"/>
    <xf numFmtId="0" fontId="32" fillId="0" borderId="0" xfId="0" applyFont="1" applyBorder="1" applyAlignment="1">
      <alignment horizontal="center"/>
    </xf>
    <xf numFmtId="0" fontId="35" fillId="0" borderId="0" xfId="0" applyFont="1" applyBorder="1"/>
    <xf numFmtId="43" fontId="35" fillId="2" borderId="0" xfId="1" applyFont="1" applyFill="1"/>
    <xf numFmtId="0" fontId="3" fillId="0" borderId="5" xfId="0" applyFont="1" applyBorder="1"/>
    <xf numFmtId="43" fontId="3" fillId="0" borderId="25" xfId="1" applyFont="1" applyFill="1" applyBorder="1" applyAlignment="1">
      <alignment horizontal="right"/>
    </xf>
    <xf numFmtId="43" fontId="7" fillId="0" borderId="25" xfId="1" applyFont="1" applyFill="1" applyBorder="1" applyAlignment="1">
      <alignment horizontal="right"/>
    </xf>
    <xf numFmtId="0" fontId="7" fillId="0" borderId="5" xfId="0" applyFont="1" applyBorder="1"/>
    <xf numFmtId="43" fontId="14" fillId="0" borderId="0" xfId="1" applyFont="1" applyBorder="1"/>
    <xf numFmtId="0" fontId="14" fillId="0" borderId="0" xfId="0" applyFont="1" applyFill="1" applyBorder="1"/>
    <xf numFmtId="0" fontId="14" fillId="0" borderId="16" xfId="0" applyFont="1" applyBorder="1"/>
    <xf numFmtId="0" fontId="14" fillId="0" borderId="16" xfId="0" applyFont="1" applyFill="1" applyBorder="1"/>
    <xf numFmtId="0" fontId="14" fillId="0" borderId="22" xfId="0" applyFont="1" applyBorder="1"/>
    <xf numFmtId="0" fontId="14" fillId="0" borderId="22" xfId="0" applyFont="1" applyFill="1" applyBorder="1"/>
    <xf numFmtId="0" fontId="14" fillId="0" borderId="13" xfId="0" applyFont="1" applyFill="1" applyBorder="1"/>
    <xf numFmtId="0" fontId="14" fillId="0" borderId="13" xfId="0" applyFont="1" applyBorder="1"/>
    <xf numFmtId="43" fontId="27" fillId="0" borderId="44" xfId="1" applyFont="1" applyFill="1" applyBorder="1" applyAlignment="1">
      <alignment horizontal="left"/>
    </xf>
    <xf numFmtId="43" fontId="27" fillId="0" borderId="11" xfId="1" applyFont="1" applyFill="1" applyBorder="1" applyAlignment="1">
      <alignment horizontal="left"/>
    </xf>
    <xf numFmtId="43" fontId="14" fillId="0" borderId="0" xfId="1" applyFont="1" applyFill="1"/>
    <xf numFmtId="0" fontId="14" fillId="0" borderId="41" xfId="0" applyFont="1" applyBorder="1"/>
    <xf numFmtId="0" fontId="14" fillId="0" borderId="41" xfId="0" applyFont="1" applyFill="1" applyBorder="1"/>
    <xf numFmtId="0" fontId="14" fillId="0" borderId="0" xfId="0" applyFont="1" applyFill="1"/>
    <xf numFmtId="43" fontId="14" fillId="0" borderId="0" xfId="1" applyFont="1"/>
    <xf numFmtId="43" fontId="36" fillId="2" borderId="0" xfId="1" applyFont="1" applyFill="1" applyBorder="1"/>
    <xf numFmtId="43" fontId="14" fillId="0" borderId="32" xfId="1" applyFont="1" applyBorder="1"/>
    <xf numFmtId="43" fontId="23" fillId="0" borderId="32" xfId="1" applyFont="1" applyBorder="1"/>
    <xf numFmtId="43" fontId="7" fillId="0" borderId="21" xfId="1" applyFont="1" applyBorder="1"/>
    <xf numFmtId="43" fontId="12" fillId="0" borderId="21" xfId="1" applyFont="1" applyFill="1" applyBorder="1"/>
    <xf numFmtId="43" fontId="12" fillId="0" borderId="21" xfId="1" applyFont="1" applyBorder="1"/>
    <xf numFmtId="43" fontId="7" fillId="0" borderId="3" xfId="1" applyFont="1" applyBorder="1"/>
    <xf numFmtId="43" fontId="3" fillId="0" borderId="5" xfId="1" applyFont="1" applyBorder="1"/>
    <xf numFmtId="43" fontId="7" fillId="0" borderId="34" xfId="1" applyFont="1" applyBorder="1"/>
    <xf numFmtId="43" fontId="12" fillId="0" borderId="34" xfId="1" applyFont="1" applyBorder="1"/>
    <xf numFmtId="43" fontId="7" fillId="0" borderId="21" xfId="1" applyFont="1" applyFill="1" applyBorder="1"/>
    <xf numFmtId="43" fontId="21" fillId="0" borderId="21" xfId="1" applyFont="1" applyBorder="1"/>
    <xf numFmtId="43" fontId="20" fillId="0" borderId="25" xfId="1" applyFont="1" applyBorder="1"/>
    <xf numFmtId="43" fontId="7" fillId="0" borderId="32" xfId="1" applyFont="1" applyBorder="1"/>
    <xf numFmtId="43" fontId="20" fillId="0" borderId="34" xfId="1" applyFont="1" applyBorder="1"/>
    <xf numFmtId="43" fontId="7" fillId="0" borderId="34" xfId="1" applyFont="1" applyFill="1" applyBorder="1"/>
    <xf numFmtId="43" fontId="12" fillId="0" borderId="34" xfId="1" applyFont="1" applyFill="1" applyBorder="1"/>
    <xf numFmtId="43" fontId="21" fillId="0" borderId="34" xfId="1" applyFont="1" applyBorder="1"/>
    <xf numFmtId="43" fontId="21" fillId="0" borderId="32" xfId="1" applyFont="1" applyBorder="1"/>
    <xf numFmtId="43" fontId="20" fillId="0" borderId="32" xfId="1" applyFont="1" applyBorder="1"/>
    <xf numFmtId="43" fontId="12" fillId="0" borderId="32" xfId="1" applyFont="1" applyBorder="1"/>
    <xf numFmtId="43" fontId="7" fillId="0" borderId="5" xfId="1" applyFont="1" applyBorder="1"/>
    <xf numFmtId="43" fontId="7" fillId="0" borderId="12" xfId="1" applyFont="1" applyBorder="1"/>
    <xf numFmtId="43" fontId="12" fillId="0" borderId="28" xfId="1" applyFont="1" applyBorder="1"/>
    <xf numFmtId="43" fontId="12" fillId="0" borderId="0" xfId="1" applyFont="1"/>
    <xf numFmtId="43" fontId="37" fillId="2" borderId="0" xfId="0" applyNumberFormat="1" applyFont="1" applyFill="1"/>
    <xf numFmtId="43" fontId="38" fillId="2" borderId="0" xfId="0" applyNumberFormat="1" applyFont="1" applyFill="1" applyBorder="1"/>
    <xf numFmtId="43" fontId="37" fillId="2" borderId="0" xfId="1" applyFont="1" applyFill="1" applyBorder="1"/>
    <xf numFmtId="0" fontId="39" fillId="0" borderId="0" xfId="0" applyFont="1"/>
    <xf numFmtId="0" fontId="39" fillId="0" borderId="0" xfId="0" applyFont="1" applyBorder="1"/>
    <xf numFmtId="0" fontId="36" fillId="0" borderId="0" xfId="0" applyFont="1"/>
    <xf numFmtId="0" fontId="36" fillId="0" borderId="0" xfId="0" applyFont="1" applyBorder="1"/>
    <xf numFmtId="43" fontId="39" fillId="3" borderId="0" xfId="0" applyNumberFormat="1" applyFont="1" applyFill="1"/>
    <xf numFmtId="0" fontId="39" fillId="0" borderId="3" xfId="0" applyFont="1" applyBorder="1"/>
    <xf numFmtId="43" fontId="36" fillId="0" borderId="3" xfId="1" applyFont="1" applyBorder="1"/>
    <xf numFmtId="43" fontId="39" fillId="0" borderId="0" xfId="0" applyNumberFormat="1" applyFont="1"/>
    <xf numFmtId="43" fontId="36" fillId="3" borderId="0" xfId="0" applyNumberFormat="1" applyFont="1" applyFill="1"/>
    <xf numFmtId="43" fontId="39" fillId="0" borderId="27" xfId="0" applyNumberFormat="1" applyFont="1" applyBorder="1"/>
    <xf numFmtId="43" fontId="39" fillId="2" borderId="0" xfId="0" applyNumberFormat="1" applyFont="1" applyFill="1"/>
    <xf numFmtId="43" fontId="36" fillId="2" borderId="0" xfId="0" applyNumberFormat="1" applyFont="1" applyFill="1"/>
    <xf numFmtId="43" fontId="39" fillId="2" borderId="0" xfId="0" applyNumberFormat="1" applyFont="1" applyFill="1" applyBorder="1"/>
    <xf numFmtId="0" fontId="36" fillId="0" borderId="0" xfId="0" applyFont="1" applyBorder="1" applyAlignment="1">
      <alignment horizontal="center"/>
    </xf>
    <xf numFmtId="43" fontId="40" fillId="0" borderId="0" xfId="0" applyNumberFormat="1" applyFont="1" applyBorder="1"/>
    <xf numFmtId="43" fontId="40" fillId="2" borderId="0" xfId="1" applyFont="1" applyFill="1"/>
    <xf numFmtId="43" fontId="39" fillId="3" borderId="0" xfId="1" applyFont="1" applyFill="1"/>
    <xf numFmtId="43" fontId="32" fillId="2" borderId="3" xfId="0" applyNumberFormat="1" applyFont="1" applyFill="1" applyBorder="1"/>
    <xf numFmtId="0" fontId="31" fillId="0" borderId="0" xfId="0" applyFont="1"/>
    <xf numFmtId="43" fontId="12" fillId="0" borderId="25" xfId="1" applyFont="1" applyBorder="1"/>
    <xf numFmtId="43" fontId="9" fillId="0" borderId="36" xfId="1" applyFont="1" applyFill="1" applyBorder="1" applyAlignment="1">
      <alignment horizontal="center"/>
    </xf>
    <xf numFmtId="0" fontId="26" fillId="0" borderId="25" xfId="0" applyFont="1" applyBorder="1"/>
    <xf numFmtId="0" fontId="26" fillId="0" borderId="25" xfId="0" applyFont="1" applyFill="1" applyBorder="1"/>
    <xf numFmtId="0" fontId="3" fillId="0" borderId="37" xfId="0" applyFont="1" applyFill="1" applyBorder="1"/>
    <xf numFmtId="43" fontId="3" fillId="0" borderId="32" xfId="1" applyFont="1" applyBorder="1"/>
    <xf numFmtId="43" fontId="3" fillId="0" borderId="32" xfId="1" applyFont="1" applyFill="1" applyBorder="1" applyAlignment="1">
      <alignment horizontal="right"/>
    </xf>
    <xf numFmtId="43" fontId="3" fillId="0" borderId="32" xfId="1" applyFont="1" applyFill="1" applyBorder="1"/>
    <xf numFmtId="0" fontId="26" fillId="0" borderId="32" xfId="0" applyFont="1" applyBorder="1"/>
    <xf numFmtId="0" fontId="26" fillId="0" borderId="32" xfId="0" applyFont="1" applyFill="1" applyBorder="1"/>
    <xf numFmtId="43" fontId="3" fillId="0" borderId="21" xfId="1" applyFont="1" applyFill="1" applyBorder="1"/>
    <xf numFmtId="0" fontId="26" fillId="0" borderId="21" xfId="0" applyFont="1" applyBorder="1"/>
    <xf numFmtId="0" fontId="26" fillId="0" borderId="21" xfId="0" applyFont="1" applyFill="1" applyBorder="1"/>
    <xf numFmtId="43" fontId="3" fillId="0" borderId="25" xfId="0" applyNumberFormat="1" applyFont="1" applyBorder="1"/>
    <xf numFmtId="43" fontId="3" fillId="5" borderId="21" xfId="0" applyNumberFormat="1" applyFont="1" applyFill="1" applyBorder="1"/>
    <xf numFmtId="0" fontId="0" fillId="5" borderId="0" xfId="0" applyFill="1"/>
    <xf numFmtId="43" fontId="0" fillId="0" borderId="0" xfId="0" applyNumberFormat="1"/>
    <xf numFmtId="43" fontId="3" fillId="2" borderId="21" xfId="0" applyNumberFormat="1" applyFont="1" applyFill="1" applyBorder="1"/>
    <xf numFmtId="43" fontId="5" fillId="0" borderId="21" xfId="1" applyFont="1" applyFill="1" applyBorder="1" applyAlignment="1">
      <alignment horizontal="center"/>
    </xf>
    <xf numFmtId="203" fontId="26" fillId="0" borderId="0" xfId="0" applyNumberFormat="1" applyFont="1" applyFill="1" applyAlignment="1">
      <alignment horizontal="center"/>
    </xf>
    <xf numFmtId="203" fontId="28" fillId="0" borderId="0" xfId="0" applyNumberFormat="1" applyFont="1" applyAlignment="1">
      <alignment horizontal="center"/>
    </xf>
    <xf numFmtId="43" fontId="36" fillId="3" borderId="3" xfId="0" applyNumberFormat="1" applyFont="1" applyFill="1" applyBorder="1"/>
    <xf numFmtId="0" fontId="3" fillId="0" borderId="33" xfId="0" applyFont="1" applyBorder="1" applyAlignment="1">
      <alignment horizontal="left"/>
    </xf>
    <xf numFmtId="43" fontId="27" fillId="0" borderId="6" xfId="1" applyFont="1" applyFill="1" applyBorder="1" applyAlignment="1">
      <alignment horizontal="left"/>
    </xf>
    <xf numFmtId="0" fontId="8" fillId="0" borderId="9" xfId="0" applyFont="1" applyBorder="1" applyAlignment="1">
      <alignment horizontal="left"/>
    </xf>
    <xf numFmtId="43" fontId="33" fillId="0" borderId="8" xfId="1" applyFont="1" applyFill="1" applyBorder="1" applyAlignment="1">
      <alignment horizontal="left"/>
    </xf>
    <xf numFmtId="43" fontId="36" fillId="3" borderId="45" xfId="0" applyNumberFormat="1" applyFont="1" applyFill="1" applyBorder="1"/>
    <xf numFmtId="0" fontId="22" fillId="0" borderId="45" xfId="0" applyFont="1" applyBorder="1"/>
    <xf numFmtId="0" fontId="32" fillId="0" borderId="45" xfId="0" applyFont="1" applyBorder="1"/>
    <xf numFmtId="43" fontId="33" fillId="0" borderId="14" xfId="1" applyFont="1" applyFill="1" applyBorder="1"/>
    <xf numFmtId="43" fontId="3" fillId="0" borderId="28" xfId="0" applyNumberFormat="1" applyFont="1" applyFill="1" applyBorder="1"/>
    <xf numFmtId="0" fontId="3" fillId="0" borderId="12" xfId="0" applyFont="1" applyBorder="1"/>
    <xf numFmtId="43" fontId="5" fillId="0" borderId="12" xfId="1" applyFont="1" applyFill="1" applyBorder="1"/>
    <xf numFmtId="43" fontId="3" fillId="4" borderId="21" xfId="0" applyNumberFormat="1" applyFont="1" applyFill="1" applyBorder="1"/>
    <xf numFmtId="0" fontId="3" fillId="0" borderId="33" xfId="0" applyFont="1" applyFill="1" applyBorder="1"/>
    <xf numFmtId="0" fontId="8" fillId="2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43" fontId="16" fillId="0" borderId="22" xfId="1" applyFont="1" applyBorder="1" applyAlignment="1">
      <alignment horizontal="center" vertical="center" wrapText="1"/>
    </xf>
    <xf numFmtId="43" fontId="16" fillId="0" borderId="25" xfId="1" applyFont="1" applyBorder="1" applyAlignment="1">
      <alignment horizontal="center" vertical="center" wrapText="1"/>
    </xf>
    <xf numFmtId="43" fontId="46" fillId="0" borderId="22" xfId="1" applyFont="1" applyBorder="1" applyAlignment="1">
      <alignment horizontal="center" vertical="center" wrapText="1"/>
    </xf>
    <xf numFmtId="43" fontId="46" fillId="0" borderId="13" xfId="1" applyFont="1" applyBorder="1" applyAlignment="1">
      <alignment horizontal="center" vertical="center" wrapText="1"/>
    </xf>
    <xf numFmtId="43" fontId="16" fillId="0" borderId="13" xfId="1" applyFont="1" applyBorder="1" applyAlignment="1">
      <alignment horizontal="center" vertical="center" wrapText="1"/>
    </xf>
    <xf numFmtId="43" fontId="4" fillId="0" borderId="22" xfId="1" applyFont="1" applyBorder="1" applyAlignment="1">
      <alignment horizontal="center" vertical="center" wrapText="1"/>
    </xf>
    <xf numFmtId="43" fontId="4" fillId="0" borderId="13" xfId="1" applyFont="1" applyBorder="1" applyAlignment="1">
      <alignment horizontal="center" vertical="center" wrapText="1"/>
    </xf>
    <xf numFmtId="43" fontId="4" fillId="0" borderId="16" xfId="1" applyFont="1" applyFill="1" applyBorder="1" applyAlignment="1">
      <alignment horizontal="center" vertical="center" wrapText="1"/>
    </xf>
    <xf numFmtId="43" fontId="4" fillId="0" borderId="16" xfId="1" applyFont="1" applyBorder="1" applyAlignment="1">
      <alignment horizontal="center" vertical="center" wrapText="1"/>
    </xf>
    <xf numFmtId="43" fontId="4" fillId="0" borderId="22" xfId="1" applyFont="1" applyFill="1" applyBorder="1" applyAlignment="1">
      <alignment horizontal="center" vertical="center" wrapText="1"/>
    </xf>
    <xf numFmtId="43" fontId="4" fillId="0" borderId="13" xfId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43" fontId="4" fillId="0" borderId="1" xfId="1" applyFont="1" applyBorder="1" applyAlignment="1">
      <alignment horizontal="center" vertical="center" wrapText="1"/>
    </xf>
    <xf numFmtId="43" fontId="4" fillId="0" borderId="41" xfId="1" applyFont="1" applyBorder="1" applyAlignment="1">
      <alignment horizontal="center" vertical="center" wrapText="1"/>
    </xf>
    <xf numFmtId="43" fontId="4" fillId="0" borderId="2" xfId="1" applyFont="1" applyBorder="1" applyAlignment="1">
      <alignment horizontal="center" vertical="center" wrapText="1"/>
    </xf>
    <xf numFmtId="43" fontId="4" fillId="0" borderId="30" xfId="1" applyFont="1" applyBorder="1" applyAlignment="1">
      <alignment horizontal="center" vertical="center" wrapText="1"/>
    </xf>
    <xf numFmtId="43" fontId="4" fillId="0" borderId="46" xfId="1" applyFont="1" applyBorder="1" applyAlignment="1">
      <alignment horizontal="center" vertical="center" wrapText="1"/>
    </xf>
    <xf numFmtId="43" fontId="4" fillId="0" borderId="7" xfId="1" applyFont="1" applyBorder="1" applyAlignment="1">
      <alignment horizontal="center" vertical="center" wrapText="1"/>
    </xf>
    <xf numFmtId="43" fontId="4" fillId="0" borderId="16" xfId="1" applyFont="1" applyFill="1" applyBorder="1" applyAlignment="1">
      <alignment horizontal="center" vertical="center" wrapText="1" shrinkToFit="1"/>
    </xf>
    <xf numFmtId="43" fontId="8" fillId="0" borderId="16" xfId="1" applyFont="1" applyBorder="1" applyAlignment="1">
      <alignment horizontal="center" vertical="center" wrapText="1"/>
    </xf>
    <xf numFmtId="43" fontId="8" fillId="0" borderId="16" xfId="1" applyFont="1" applyFill="1" applyBorder="1" applyAlignment="1">
      <alignment horizontal="center" vertical="center" wrapText="1"/>
    </xf>
    <xf numFmtId="43" fontId="8" fillId="0" borderId="1" xfId="1" applyFont="1" applyBorder="1" applyAlignment="1">
      <alignment horizontal="center" vertical="center" wrapText="1"/>
    </xf>
    <xf numFmtId="43" fontId="8" fillId="0" borderId="41" xfId="1" applyFont="1" applyBorder="1" applyAlignment="1">
      <alignment horizontal="center" vertical="center" wrapText="1"/>
    </xf>
    <xf numFmtId="43" fontId="8" fillId="0" borderId="2" xfId="1" applyFont="1" applyBorder="1" applyAlignment="1">
      <alignment horizontal="center" vertical="center" wrapText="1"/>
    </xf>
    <xf numFmtId="43" fontId="8" fillId="0" borderId="30" xfId="1" applyFont="1" applyBorder="1" applyAlignment="1">
      <alignment horizontal="center" vertical="center" wrapText="1"/>
    </xf>
    <xf numFmtId="43" fontId="8" fillId="0" borderId="46" xfId="1" applyFont="1" applyBorder="1" applyAlignment="1">
      <alignment horizontal="center" vertical="center" wrapText="1"/>
    </xf>
    <xf numFmtId="43" fontId="8" fillId="0" borderId="7" xfId="1" applyFont="1" applyBorder="1" applyAlignment="1">
      <alignment horizontal="center" vertical="center" wrapText="1"/>
    </xf>
    <xf numFmtId="43" fontId="8" fillId="0" borderId="22" xfId="1" applyFont="1" applyBorder="1" applyAlignment="1">
      <alignment horizontal="center" vertical="center" wrapText="1"/>
    </xf>
    <xf numFmtId="43" fontId="8" fillId="0" borderId="13" xfId="1" applyFont="1" applyBorder="1" applyAlignment="1">
      <alignment horizontal="center" vertical="center" wrapText="1"/>
    </xf>
    <xf numFmtId="43" fontId="8" fillId="0" borderId="22" xfId="1" applyFont="1" applyFill="1" applyBorder="1" applyAlignment="1">
      <alignment horizontal="center" vertical="center" wrapText="1"/>
    </xf>
    <xf numFmtId="43" fontId="8" fillId="0" borderId="13" xfId="1" applyFont="1" applyFill="1" applyBorder="1" applyAlignment="1">
      <alignment horizontal="center" vertical="center" wrapText="1"/>
    </xf>
    <xf numFmtId="43" fontId="8" fillId="0" borderId="16" xfId="1" applyFont="1" applyFill="1" applyBorder="1" applyAlignment="1">
      <alignment horizontal="center" vertical="center" wrapText="1" shrinkToFit="1"/>
    </xf>
    <xf numFmtId="43" fontId="8" fillId="0" borderId="25" xfId="1" applyFont="1" applyFill="1" applyBorder="1" applyAlignment="1">
      <alignment horizontal="center" vertical="center" wrapText="1"/>
    </xf>
    <xf numFmtId="43" fontId="21" fillId="0" borderId="25" xfId="1" applyFont="1" applyBorder="1" applyAlignment="1">
      <alignment horizontal="center" vertical="center"/>
    </xf>
    <xf numFmtId="43" fontId="21" fillId="0" borderId="13" xfId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3" fontId="9" fillId="0" borderId="22" xfId="1" applyFont="1" applyFill="1" applyBorder="1" applyAlignment="1">
      <alignment horizontal="center" vertical="center" wrapText="1"/>
    </xf>
    <xf numFmtId="43" fontId="9" fillId="0" borderId="25" xfId="1" applyFont="1" applyFill="1" applyBorder="1" applyAlignment="1">
      <alignment horizontal="center" vertical="center" wrapText="1"/>
    </xf>
    <xf numFmtId="43" fontId="9" fillId="0" borderId="13" xfId="1" applyFont="1" applyFill="1" applyBorder="1" applyAlignment="1">
      <alignment horizontal="center" vertical="center" wrapText="1"/>
    </xf>
    <xf numFmtId="43" fontId="8" fillId="0" borderId="22" xfId="1" applyFont="1" applyBorder="1" applyAlignment="1">
      <alignment horizontal="center" vertical="center"/>
    </xf>
    <xf numFmtId="43" fontId="8" fillId="0" borderId="13" xfId="1" applyFont="1" applyBorder="1" applyAlignment="1">
      <alignment horizontal="center" vertical="center"/>
    </xf>
    <xf numFmtId="43" fontId="45" fillId="0" borderId="22" xfId="1" applyFont="1" applyFill="1" applyBorder="1" applyAlignment="1">
      <alignment horizontal="center" vertical="center" wrapText="1"/>
    </xf>
    <xf numFmtId="43" fontId="45" fillId="0" borderId="25" xfId="1" applyFont="1" applyFill="1" applyBorder="1" applyAlignment="1">
      <alignment horizontal="center" vertical="center" wrapText="1"/>
    </xf>
    <xf numFmtId="43" fontId="45" fillId="0" borderId="13" xfId="1" applyFont="1" applyFill="1" applyBorder="1" applyAlignment="1">
      <alignment horizontal="center" vertical="center" wrapText="1"/>
    </xf>
    <xf numFmtId="43" fontId="21" fillId="0" borderId="16" xfId="1" applyFont="1" applyBorder="1" applyAlignment="1">
      <alignment horizontal="center" vertical="center" wrapText="1"/>
    </xf>
    <xf numFmtId="43" fontId="21" fillId="0" borderId="16" xfId="1" applyFont="1" applyFill="1" applyBorder="1" applyAlignment="1">
      <alignment horizontal="center" vertical="center" wrapText="1"/>
    </xf>
    <xf numFmtId="43" fontId="21" fillId="0" borderId="1" xfId="1" applyFont="1" applyBorder="1" applyAlignment="1">
      <alignment horizontal="center" vertical="center" wrapText="1"/>
    </xf>
    <xf numFmtId="43" fontId="21" fillId="0" borderId="41" xfId="1" applyFont="1" applyBorder="1" applyAlignment="1">
      <alignment horizontal="center" vertical="center" wrapText="1"/>
    </xf>
    <xf numFmtId="43" fontId="21" fillId="0" borderId="2" xfId="1" applyFont="1" applyBorder="1" applyAlignment="1">
      <alignment horizontal="center" vertical="center" wrapText="1"/>
    </xf>
    <xf numFmtId="43" fontId="21" fillId="0" borderId="30" xfId="1" applyFont="1" applyBorder="1" applyAlignment="1">
      <alignment horizontal="center" vertical="center" wrapText="1"/>
    </xf>
    <xf numFmtId="43" fontId="21" fillId="0" borderId="46" xfId="1" applyFont="1" applyBorder="1" applyAlignment="1">
      <alignment horizontal="center" vertical="center" wrapText="1"/>
    </xf>
    <xf numFmtId="43" fontId="21" fillId="0" borderId="7" xfId="1" applyFont="1" applyBorder="1" applyAlignment="1">
      <alignment horizontal="center" vertical="center" wrapText="1"/>
    </xf>
    <xf numFmtId="43" fontId="21" fillId="0" borderId="22" xfId="1" applyFont="1" applyBorder="1" applyAlignment="1">
      <alignment horizontal="center" vertical="center" wrapText="1"/>
    </xf>
    <xf numFmtId="43" fontId="21" fillId="0" borderId="13" xfId="1" applyFont="1" applyBorder="1" applyAlignment="1">
      <alignment horizontal="center" vertical="center" wrapText="1"/>
    </xf>
    <xf numFmtId="43" fontId="21" fillId="0" borderId="22" xfId="1" applyFont="1" applyFill="1" applyBorder="1" applyAlignment="1">
      <alignment horizontal="center" vertical="center" wrapText="1"/>
    </xf>
    <xf numFmtId="43" fontId="21" fillId="0" borderId="13" xfId="1" applyFont="1" applyFill="1" applyBorder="1" applyAlignment="1">
      <alignment horizontal="center" vertical="center" wrapText="1"/>
    </xf>
    <xf numFmtId="43" fontId="21" fillId="0" borderId="16" xfId="1" applyFont="1" applyFill="1" applyBorder="1" applyAlignment="1">
      <alignment horizontal="center" vertical="center" wrapText="1" shrinkToFit="1"/>
    </xf>
    <xf numFmtId="0" fontId="21" fillId="0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30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43" fontId="21" fillId="0" borderId="25" xfId="1" applyFont="1" applyFill="1" applyBorder="1" applyAlignment="1">
      <alignment horizontal="center" vertical="center" wrapText="1"/>
    </xf>
    <xf numFmtId="43" fontId="4" fillId="0" borderId="25" xfId="1" applyFont="1" applyBorder="1" applyAlignment="1">
      <alignment horizontal="center" vertical="center"/>
    </xf>
    <xf numFmtId="43" fontId="4" fillId="0" borderId="13" xfId="1" applyFont="1" applyBorder="1" applyAlignment="1">
      <alignment horizontal="center" vertical="center"/>
    </xf>
    <xf numFmtId="43" fontId="21" fillId="0" borderId="22" xfId="1" applyFont="1" applyBorder="1" applyAlignment="1">
      <alignment horizontal="center" vertical="center"/>
    </xf>
    <xf numFmtId="43" fontId="52" fillId="0" borderId="22" xfId="1" applyFont="1" applyFill="1" applyBorder="1" applyAlignment="1">
      <alignment horizontal="center" vertical="center" wrapText="1"/>
    </xf>
    <xf numFmtId="43" fontId="52" fillId="0" borderId="25" xfId="1" applyFont="1" applyFill="1" applyBorder="1" applyAlignment="1">
      <alignment horizontal="center" vertical="center" wrapText="1"/>
    </xf>
    <xf numFmtId="43" fontId="52" fillId="0" borderId="13" xfId="1" applyFont="1" applyFill="1" applyBorder="1" applyAlignment="1">
      <alignment horizontal="center" vertical="center" wrapText="1"/>
    </xf>
    <xf numFmtId="15" fontId="4" fillId="0" borderId="25" xfId="1" applyNumberFormat="1" applyFont="1" applyBorder="1" applyAlignment="1">
      <alignment horizontal="center" vertical="center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9"/>
  </sheetPr>
  <dimension ref="A1:K231"/>
  <sheetViews>
    <sheetView topLeftCell="A158" workbookViewId="0">
      <selection activeCell="E66" sqref="E66"/>
    </sheetView>
  </sheetViews>
  <sheetFormatPr defaultRowHeight="21" customHeight="1"/>
  <cols>
    <col min="1" max="1" width="2.28515625" style="63" customWidth="1"/>
    <col min="2" max="2" width="29.42578125" style="63" customWidth="1"/>
    <col min="3" max="3" width="10.140625" style="63" customWidth="1"/>
    <col min="4" max="7" width="10.140625" style="64" customWidth="1"/>
    <col min="8" max="8" width="10.140625" style="149" customWidth="1"/>
    <col min="9" max="9" width="10.140625" style="64" customWidth="1"/>
    <col min="10" max="10" width="9.140625" style="61"/>
    <col min="11" max="11" width="19.42578125" style="59" customWidth="1"/>
    <col min="12" max="16384" width="9.140625" style="60"/>
  </cols>
  <sheetData>
    <row r="1" spans="1:11" ht="1.5" customHeight="1">
      <c r="J1" s="59"/>
    </row>
    <row r="2" spans="1:11" ht="21" hidden="1" customHeight="1">
      <c r="J2" s="59"/>
    </row>
    <row r="3" spans="1:11" ht="21" hidden="1" customHeight="1">
      <c r="J3" s="59"/>
    </row>
    <row r="4" spans="1:11" ht="21.75" customHeight="1">
      <c r="A4" s="634" t="s">
        <v>183</v>
      </c>
      <c r="B4" s="634"/>
      <c r="C4" s="634"/>
      <c r="D4" s="634"/>
      <c r="E4" s="634"/>
      <c r="F4" s="634"/>
      <c r="G4" s="634"/>
      <c r="H4" s="634"/>
      <c r="I4" s="634"/>
      <c r="J4" s="59"/>
    </row>
    <row r="5" spans="1:11" ht="21.75" customHeight="1">
      <c r="A5" s="634" t="s">
        <v>0</v>
      </c>
      <c r="B5" s="634"/>
      <c r="C5" s="634"/>
      <c r="D5" s="634"/>
      <c r="E5" s="634"/>
      <c r="F5" s="634"/>
      <c r="G5" s="634"/>
      <c r="H5" s="634"/>
      <c r="I5" s="634"/>
      <c r="J5" s="59"/>
    </row>
    <row r="6" spans="1:11" ht="21.75" customHeight="1">
      <c r="A6" s="635" t="s">
        <v>199</v>
      </c>
      <c r="B6" s="635"/>
      <c r="C6" s="635"/>
      <c r="D6" s="635"/>
      <c r="E6" s="635"/>
      <c r="F6" s="635"/>
      <c r="G6" s="635"/>
      <c r="H6" s="635"/>
      <c r="I6" s="635"/>
      <c r="J6" s="59"/>
    </row>
    <row r="7" spans="1:11" s="67" customFormat="1" ht="27" customHeight="1">
      <c r="A7" s="636" t="s">
        <v>1</v>
      </c>
      <c r="B7" s="637"/>
      <c r="C7" s="640" t="s">
        <v>2</v>
      </c>
      <c r="D7" s="65" t="s">
        <v>54</v>
      </c>
      <c r="E7" s="65" t="s">
        <v>55</v>
      </c>
      <c r="F7" s="65" t="s">
        <v>56</v>
      </c>
      <c r="G7" s="65" t="s">
        <v>57</v>
      </c>
      <c r="H7" s="642" t="s">
        <v>58</v>
      </c>
      <c r="I7" s="640" t="s">
        <v>59</v>
      </c>
      <c r="J7" s="66"/>
      <c r="K7" s="81"/>
    </row>
    <row r="8" spans="1:11" s="56" customFormat="1" ht="21.75" customHeight="1">
      <c r="A8" s="638"/>
      <c r="B8" s="639"/>
      <c r="C8" s="641"/>
      <c r="D8" s="57" t="s">
        <v>200</v>
      </c>
      <c r="E8" s="57" t="s">
        <v>201</v>
      </c>
      <c r="F8" s="57" t="s">
        <v>202</v>
      </c>
      <c r="G8" s="57" t="s">
        <v>203</v>
      </c>
      <c r="H8" s="643"/>
      <c r="I8" s="644"/>
      <c r="J8" s="58"/>
      <c r="K8" s="633" t="s">
        <v>195</v>
      </c>
    </row>
    <row r="9" spans="1:11" s="69" customFormat="1" ht="21.75" customHeight="1">
      <c r="A9" s="3" t="s">
        <v>3</v>
      </c>
      <c r="B9" s="71"/>
      <c r="C9" s="93"/>
      <c r="D9" s="94"/>
      <c r="E9" s="94"/>
      <c r="F9" s="94"/>
      <c r="G9" s="94"/>
      <c r="H9" s="150"/>
      <c r="I9" s="94"/>
      <c r="J9" s="72"/>
      <c r="K9" s="633"/>
    </row>
    <row r="10" spans="1:11" s="69" customFormat="1" ht="21.75" customHeight="1">
      <c r="A10" s="66"/>
      <c r="B10" s="6" t="s">
        <v>4</v>
      </c>
      <c r="C10" s="7">
        <v>350000</v>
      </c>
      <c r="D10" s="97" t="e">
        <f>+#REF!+#REF!+#REF!</f>
        <v>#REF!</v>
      </c>
      <c r="E10" s="97" t="e">
        <f>+#REF!</f>
        <v>#REF!</v>
      </c>
      <c r="F10" s="97"/>
      <c r="G10" s="97"/>
      <c r="H10" s="148" t="e">
        <f>+D10+E10+F10+G10</f>
        <v>#REF!</v>
      </c>
      <c r="I10" s="97" t="e">
        <f t="shared" ref="I10:I17" si="0">+C10-H10</f>
        <v>#REF!</v>
      </c>
      <c r="J10" s="72"/>
      <c r="K10" s="16"/>
    </row>
    <row r="11" spans="1:11" s="69" customFormat="1" ht="21.75" customHeight="1">
      <c r="A11" s="74"/>
      <c r="B11" s="6" t="s">
        <v>75</v>
      </c>
      <c r="C11" s="7">
        <v>12000</v>
      </c>
      <c r="D11" s="97" t="e">
        <f>+#REF!+#REF!+#REF!</f>
        <v>#REF!</v>
      </c>
      <c r="E11" s="97" t="e">
        <f>+#REF!</f>
        <v>#REF!</v>
      </c>
      <c r="F11" s="97"/>
      <c r="G11" s="97"/>
      <c r="H11" s="148" t="e">
        <f t="shared" ref="H11:H17" si="1">+D11+E11+F11+G11</f>
        <v>#REF!</v>
      </c>
      <c r="I11" s="97" t="e">
        <f t="shared" si="0"/>
        <v>#REF!</v>
      </c>
      <c r="J11" s="72"/>
      <c r="K11" s="108"/>
    </row>
    <row r="12" spans="1:11" s="69" customFormat="1" ht="21.75" customHeight="1">
      <c r="A12" s="68"/>
      <c r="B12" s="6" t="s">
        <v>76</v>
      </c>
      <c r="C12" s="7">
        <f>162400-70000</f>
        <v>92400</v>
      </c>
      <c r="D12" s="97" t="e">
        <f>+#REF!+#REF!+#REF!</f>
        <v>#REF!</v>
      </c>
      <c r="E12" s="97" t="e">
        <f>+#REF!</f>
        <v>#REF!</v>
      </c>
      <c r="F12" s="97"/>
      <c r="G12" s="97"/>
      <c r="H12" s="148" t="e">
        <f t="shared" si="1"/>
        <v>#REF!</v>
      </c>
      <c r="I12" s="97" t="e">
        <f t="shared" si="0"/>
        <v>#REF!</v>
      </c>
      <c r="J12" s="72"/>
      <c r="K12" s="108"/>
    </row>
    <row r="13" spans="1:11" s="69" customFormat="1" ht="21.75" customHeight="1">
      <c r="A13" s="68"/>
      <c r="B13" s="6" t="s">
        <v>77</v>
      </c>
      <c r="C13" s="7">
        <v>25000</v>
      </c>
      <c r="D13" s="97" t="e">
        <f>+#REF!+#REF!+#REF!</f>
        <v>#REF!</v>
      </c>
      <c r="E13" s="97" t="e">
        <f>+#REF!</f>
        <v>#REF!</v>
      </c>
      <c r="F13" s="97"/>
      <c r="G13" s="97"/>
      <c r="H13" s="148" t="e">
        <f t="shared" si="1"/>
        <v>#REF!</v>
      </c>
      <c r="I13" s="97" t="e">
        <f t="shared" si="0"/>
        <v>#REF!</v>
      </c>
      <c r="J13" s="72"/>
      <c r="K13" s="108"/>
    </row>
    <row r="14" spans="1:11" s="69" customFormat="1" ht="21.75" customHeight="1">
      <c r="A14" s="68"/>
      <c r="B14" s="10" t="s">
        <v>78</v>
      </c>
      <c r="C14" s="7">
        <f>130900+3000</f>
        <v>133900</v>
      </c>
      <c r="D14" s="97" t="e">
        <f>+#REF!+#REF!+#REF!</f>
        <v>#REF!</v>
      </c>
      <c r="E14" s="97" t="e">
        <f>+#REF!</f>
        <v>#REF!</v>
      </c>
      <c r="F14" s="97"/>
      <c r="G14" s="97"/>
      <c r="H14" s="148" t="e">
        <f t="shared" si="1"/>
        <v>#REF!</v>
      </c>
      <c r="I14" s="97" t="e">
        <f t="shared" si="0"/>
        <v>#REF!</v>
      </c>
      <c r="J14" s="72"/>
      <c r="K14" s="108"/>
    </row>
    <row r="15" spans="1:11" s="69" customFormat="1" ht="21.75" customHeight="1">
      <c r="A15" s="68"/>
      <c r="B15" s="10" t="s">
        <v>79</v>
      </c>
      <c r="C15" s="11">
        <v>20000</v>
      </c>
      <c r="D15" s="97" t="e">
        <f>+#REF!+#REF!+#REF!</f>
        <v>#REF!</v>
      </c>
      <c r="E15" s="97" t="e">
        <f>+#REF!</f>
        <v>#REF!</v>
      </c>
      <c r="F15" s="97"/>
      <c r="G15" s="97"/>
      <c r="H15" s="148" t="e">
        <f t="shared" si="1"/>
        <v>#REF!</v>
      </c>
      <c r="I15" s="97" t="e">
        <f t="shared" si="0"/>
        <v>#REF!</v>
      </c>
      <c r="J15" s="72"/>
      <c r="K15" s="108"/>
    </row>
    <row r="16" spans="1:11" s="69" customFormat="1" ht="21.75" customHeight="1">
      <c r="A16" s="68"/>
      <c r="B16" s="10" t="s">
        <v>80</v>
      </c>
      <c r="C16" s="120">
        <f>120000+120000</f>
        <v>240000</v>
      </c>
      <c r="D16" s="97" t="e">
        <f>+#REF!+#REF!+#REF!</f>
        <v>#REF!</v>
      </c>
      <c r="E16" s="97" t="e">
        <f>+#REF!</f>
        <v>#REF!</v>
      </c>
      <c r="F16" s="97"/>
      <c r="G16" s="97"/>
      <c r="H16" s="148" t="e">
        <f t="shared" si="1"/>
        <v>#REF!</v>
      </c>
      <c r="I16" s="109" t="e">
        <f t="shared" si="0"/>
        <v>#REF!</v>
      </c>
      <c r="J16" s="72"/>
      <c r="K16" s="108"/>
    </row>
    <row r="17" spans="1:11" s="69" customFormat="1" ht="21.75" customHeight="1">
      <c r="A17" s="121"/>
      <c r="B17" s="62" t="s">
        <v>188</v>
      </c>
      <c r="C17" s="38">
        <f>280000+28310</f>
        <v>308310</v>
      </c>
      <c r="D17" s="78" t="e">
        <f>+#REF!+#REF!+#REF!</f>
        <v>#REF!</v>
      </c>
      <c r="E17" s="97" t="e">
        <f>+#REF!</f>
        <v>#REF!</v>
      </c>
      <c r="F17" s="78"/>
      <c r="G17" s="78"/>
      <c r="H17" s="151" t="e">
        <f t="shared" si="1"/>
        <v>#REF!</v>
      </c>
      <c r="I17" s="117" t="e">
        <f t="shared" si="0"/>
        <v>#REF!</v>
      </c>
      <c r="J17" s="72"/>
      <c r="K17" s="108"/>
    </row>
    <row r="18" spans="1:11" s="1" customFormat="1" ht="21.75" customHeight="1" thickBot="1">
      <c r="A18" s="110"/>
      <c r="B18" s="111" t="s">
        <v>5</v>
      </c>
      <c r="C18" s="124">
        <f>SUM(C10:C17)</f>
        <v>1181610</v>
      </c>
      <c r="D18" s="40" t="e">
        <f>SUM(D10:D17)</f>
        <v>#REF!</v>
      </c>
      <c r="E18" s="40" t="e">
        <f>SUM(E10:E16)</f>
        <v>#REF!</v>
      </c>
      <c r="F18" s="40">
        <f>SUM(F10:F16)</f>
        <v>0</v>
      </c>
      <c r="G18" s="40">
        <f>SUM(G10:G16)</f>
        <v>0</v>
      </c>
      <c r="H18" s="152" t="e">
        <f>+D18+E18+F18+G18</f>
        <v>#REF!</v>
      </c>
      <c r="I18" s="40" t="e">
        <f>+C17-H18</f>
        <v>#REF!</v>
      </c>
      <c r="J18" s="108"/>
      <c r="K18" s="108"/>
    </row>
    <row r="19" spans="1:11" s="69" customFormat="1" ht="21.75" customHeight="1" thickTop="1">
      <c r="A19" s="5" t="s">
        <v>82</v>
      </c>
      <c r="B19" s="6"/>
      <c r="C19" s="19"/>
      <c r="D19" s="98"/>
      <c r="E19" s="98"/>
      <c r="F19" s="98"/>
      <c r="G19" s="98"/>
      <c r="H19" s="153">
        <f t="shared" ref="H19:H24" si="2">+D19+E19+F19+G19</f>
        <v>0</v>
      </c>
      <c r="I19" s="98">
        <f t="shared" ref="I19:I24" si="3">+C19-H19</f>
        <v>0</v>
      </c>
      <c r="J19" s="72"/>
      <c r="K19" s="72"/>
    </row>
    <row r="20" spans="1:11" s="69" customFormat="1" ht="21.75" customHeight="1">
      <c r="A20" s="9"/>
      <c r="B20" s="6" t="s">
        <v>6</v>
      </c>
      <c r="C20" s="7">
        <v>638000</v>
      </c>
      <c r="D20" s="97" t="e">
        <f>+#REF!+#REF!+#REF!</f>
        <v>#REF!</v>
      </c>
      <c r="E20" s="97" t="e">
        <f>+#REF!</f>
        <v>#REF!</v>
      </c>
      <c r="F20" s="97"/>
      <c r="G20" s="97"/>
      <c r="H20" s="148" t="e">
        <f t="shared" si="2"/>
        <v>#REF!</v>
      </c>
      <c r="I20" s="97" t="e">
        <f t="shared" si="3"/>
        <v>#REF!</v>
      </c>
      <c r="J20" s="72"/>
      <c r="K20" s="72"/>
    </row>
    <row r="21" spans="1:11" s="69" customFormat="1" ht="21.75" customHeight="1">
      <c r="A21" s="9"/>
      <c r="B21" s="6" t="s">
        <v>83</v>
      </c>
      <c r="C21" s="7">
        <v>110000</v>
      </c>
      <c r="D21" s="97" t="e">
        <f>+#REF!+#REF!+#REF!</f>
        <v>#REF!</v>
      </c>
      <c r="E21" s="97" t="e">
        <f>+#REF!</f>
        <v>#REF!</v>
      </c>
      <c r="F21" s="97"/>
      <c r="G21" s="97"/>
      <c r="H21" s="148" t="e">
        <f t="shared" si="2"/>
        <v>#REF!</v>
      </c>
      <c r="I21" s="97" t="e">
        <f t="shared" si="3"/>
        <v>#REF!</v>
      </c>
      <c r="J21" s="72"/>
      <c r="K21" s="72"/>
    </row>
    <row r="22" spans="1:11" s="69" customFormat="1" ht="21.75" customHeight="1">
      <c r="A22" s="9"/>
      <c r="B22" s="6" t="s">
        <v>84</v>
      </c>
      <c r="C22" s="7">
        <v>110000</v>
      </c>
      <c r="D22" s="97" t="e">
        <f>+#REF!+#REF!+#REF!</f>
        <v>#REF!</v>
      </c>
      <c r="E22" s="97" t="e">
        <f>+#REF!</f>
        <v>#REF!</v>
      </c>
      <c r="F22" s="97"/>
      <c r="G22" s="97"/>
      <c r="H22" s="148" t="e">
        <f t="shared" si="2"/>
        <v>#REF!</v>
      </c>
      <c r="I22" s="97" t="e">
        <f t="shared" si="3"/>
        <v>#REF!</v>
      </c>
      <c r="J22" s="72"/>
      <c r="K22" s="72"/>
    </row>
    <row r="23" spans="1:11" s="69" customFormat="1" ht="21.75" customHeight="1">
      <c r="A23" s="9"/>
      <c r="B23" s="6" t="s">
        <v>85</v>
      </c>
      <c r="C23" s="7">
        <v>182200</v>
      </c>
      <c r="D23" s="97" t="e">
        <f>+#REF!+#REF!+#REF!</f>
        <v>#REF!</v>
      </c>
      <c r="E23" s="97" t="e">
        <f>+#REF!</f>
        <v>#REF!</v>
      </c>
      <c r="F23" s="97"/>
      <c r="G23" s="97"/>
      <c r="H23" s="148" t="e">
        <f t="shared" si="2"/>
        <v>#REF!</v>
      </c>
      <c r="I23" s="97" t="e">
        <f t="shared" si="3"/>
        <v>#REF!</v>
      </c>
      <c r="J23" s="72"/>
      <c r="K23" s="72"/>
    </row>
    <row r="24" spans="1:11" s="69" customFormat="1" ht="21.75" customHeight="1">
      <c r="A24" s="9"/>
      <c r="B24" s="6" t="s">
        <v>86</v>
      </c>
      <c r="C24" s="19">
        <f>1063000-29000</f>
        <v>1034000</v>
      </c>
      <c r="D24" s="98" t="e">
        <f>+#REF!+#REF!+#REF!</f>
        <v>#REF!</v>
      </c>
      <c r="E24" s="97" t="e">
        <f>+#REF!</f>
        <v>#REF!</v>
      </c>
      <c r="F24" s="98"/>
      <c r="G24" s="98"/>
      <c r="H24" s="153" t="e">
        <f t="shared" si="2"/>
        <v>#REF!</v>
      </c>
      <c r="I24" s="98" t="e">
        <f t="shared" si="3"/>
        <v>#REF!</v>
      </c>
      <c r="J24" s="72"/>
      <c r="K24" s="72"/>
    </row>
    <row r="25" spans="1:11" s="69" customFormat="1" ht="21.75" customHeight="1" thickBot="1">
      <c r="A25" s="13"/>
      <c r="B25" s="14" t="s">
        <v>5</v>
      </c>
      <c r="C25" s="112">
        <f t="shared" ref="C25:I25" si="4">SUM(C20:C24)</f>
        <v>2074200</v>
      </c>
      <c r="D25" s="83" t="e">
        <f t="shared" si="4"/>
        <v>#REF!</v>
      </c>
      <c r="E25" s="83" t="e">
        <f t="shared" si="4"/>
        <v>#REF!</v>
      </c>
      <c r="F25" s="83">
        <f t="shared" si="4"/>
        <v>0</v>
      </c>
      <c r="G25" s="83">
        <f t="shared" si="4"/>
        <v>0</v>
      </c>
      <c r="H25" s="154" t="e">
        <f>SUM(H20:H24)</f>
        <v>#REF!</v>
      </c>
      <c r="I25" s="83" t="e">
        <f t="shared" si="4"/>
        <v>#REF!</v>
      </c>
      <c r="J25" s="72"/>
      <c r="K25" s="72"/>
    </row>
    <row r="26" spans="1:11" s="69" customFormat="1" ht="21.75" customHeight="1" thickTop="1">
      <c r="A26" s="5" t="s">
        <v>87</v>
      </c>
      <c r="B26" s="6"/>
      <c r="C26" s="19"/>
      <c r="D26" s="122"/>
      <c r="E26" s="98"/>
      <c r="F26" s="98"/>
      <c r="G26" s="98"/>
      <c r="H26" s="153"/>
      <c r="I26" s="98"/>
      <c r="J26" s="72"/>
      <c r="K26" s="72"/>
    </row>
    <row r="27" spans="1:11" s="69" customFormat="1" ht="21.75" customHeight="1">
      <c r="A27" s="5"/>
      <c r="B27" s="6" t="s">
        <v>7</v>
      </c>
      <c r="C27" s="7">
        <f>2210000+810000+480000+765200-13300</f>
        <v>4251900</v>
      </c>
      <c r="D27" s="97" t="e">
        <f>+#REF!+#REF!+#REF!+#REF!+#REF!+#REF!+#REF!+#REF!+#REF!+#REF!+#REF!+#REF!</f>
        <v>#REF!</v>
      </c>
      <c r="E27" s="97" t="e">
        <f>+#REF!+#REF!+#REF!+#REF!</f>
        <v>#REF!</v>
      </c>
      <c r="F27" s="97"/>
      <c r="G27" s="97"/>
      <c r="H27" s="148" t="e">
        <f>+D27+E27+F27+G27</f>
        <v>#REF!</v>
      </c>
      <c r="I27" s="97" t="e">
        <f t="shared" ref="I27:I35" si="5">+C27-H27</f>
        <v>#REF!</v>
      </c>
      <c r="J27" s="72"/>
      <c r="K27" s="72"/>
    </row>
    <row r="28" spans="1:11" s="69" customFormat="1" ht="21.75" customHeight="1">
      <c r="A28" s="5"/>
      <c r="B28" s="6" t="s">
        <v>88</v>
      </c>
      <c r="C28" s="7">
        <f>200000+95000+98840+70000</f>
        <v>463840</v>
      </c>
      <c r="D28" s="97" t="e">
        <f>+#REF!+#REF!+#REF!+#REF!+#REF!+#REF!+#REF!+#REF!+#REF!+#REF!+#REF!+#REF!</f>
        <v>#REF!</v>
      </c>
      <c r="E28" s="97" t="e">
        <f>+#REF!+#REF!+#REF!+#REF!</f>
        <v>#REF!</v>
      </c>
      <c r="F28" s="97"/>
      <c r="G28" s="97"/>
      <c r="H28" s="148" t="e">
        <f t="shared" ref="H28:H35" si="6">+D28+E28+F28+G28</f>
        <v>#REF!</v>
      </c>
      <c r="I28" s="97" t="e">
        <f t="shared" si="5"/>
        <v>#REF!</v>
      </c>
      <c r="J28" s="72"/>
      <c r="K28" s="72"/>
    </row>
    <row r="29" spans="1:11" s="69" customFormat="1" ht="21.75" customHeight="1">
      <c r="A29" s="5"/>
      <c r="B29" s="6" t="s">
        <v>89</v>
      </c>
      <c r="C29" s="7">
        <f>70000+20000+19680+10000</f>
        <v>119680</v>
      </c>
      <c r="D29" s="97" t="e">
        <f>+#REF!+#REF!+#REF!+#REF!+#REF!+#REF!+#REF!+#REF!+#REF!+#REF!+#REF!+#REF!</f>
        <v>#REF!</v>
      </c>
      <c r="E29" s="97" t="e">
        <f>+#REF!+#REF!+#REF!+#REF!</f>
        <v>#REF!</v>
      </c>
      <c r="F29" s="97"/>
      <c r="G29" s="97"/>
      <c r="H29" s="148" t="e">
        <f t="shared" si="6"/>
        <v>#REF!</v>
      </c>
      <c r="I29" s="97" t="e">
        <f t="shared" si="5"/>
        <v>#REF!</v>
      </c>
      <c r="J29" s="72"/>
      <c r="K29" s="72"/>
    </row>
    <row r="30" spans="1:11" s="69" customFormat="1" ht="21.75" customHeight="1">
      <c r="A30" s="5"/>
      <c r="B30" s="6" t="s">
        <v>47</v>
      </c>
      <c r="C30" s="7">
        <v>11000</v>
      </c>
      <c r="D30" s="97" t="e">
        <f>+#REF!+#REF!+#REF!+#REF!+#REF!+#REF!+#REF!+#REF!+#REF!+#REF!+#REF!+#REF!</f>
        <v>#REF!</v>
      </c>
      <c r="E30" s="97" t="e">
        <f>+#REF!+#REF!+#REF!+#REF!</f>
        <v>#REF!</v>
      </c>
      <c r="F30" s="97"/>
      <c r="G30" s="97"/>
      <c r="H30" s="148" t="e">
        <f t="shared" si="6"/>
        <v>#REF!</v>
      </c>
      <c r="I30" s="97" t="e">
        <f t="shared" si="5"/>
        <v>#REF!</v>
      </c>
      <c r="J30" s="72"/>
      <c r="K30" s="72"/>
    </row>
    <row r="31" spans="1:11" s="69" customFormat="1" ht="21.75" customHeight="1">
      <c r="A31" s="5"/>
      <c r="B31" s="6" t="s">
        <v>90</v>
      </c>
      <c r="C31" s="7">
        <v>2000</v>
      </c>
      <c r="D31" s="97" t="e">
        <f>+#REF!+#REF!+#REF!+#REF!+#REF!+#REF!+#REF!+#REF!+#REF!+#REF!+#REF!+#REF!</f>
        <v>#REF!</v>
      </c>
      <c r="E31" s="97" t="e">
        <f>+#REF!+#REF!+#REF!+#REF!</f>
        <v>#REF!</v>
      </c>
      <c r="F31" s="97"/>
      <c r="G31" s="97"/>
      <c r="H31" s="148" t="e">
        <f t="shared" si="6"/>
        <v>#REF!</v>
      </c>
      <c r="I31" s="97" t="e">
        <f t="shared" si="5"/>
        <v>#REF!</v>
      </c>
      <c r="J31" s="72"/>
      <c r="K31" s="72"/>
    </row>
    <row r="32" spans="1:11" s="69" customFormat="1" ht="21.75" customHeight="1">
      <c r="A32" s="5"/>
      <c r="B32" s="6" t="s">
        <v>8</v>
      </c>
      <c r="C32" s="7">
        <f>126000+42000+42000+42000</f>
        <v>252000</v>
      </c>
      <c r="D32" s="97" t="e">
        <f>+#REF!+#REF!+#REF!+#REF!+#REF!+#REF!+#REF!+#REF!+#REF!+#REF!+#REF!+#REF!</f>
        <v>#REF!</v>
      </c>
      <c r="E32" s="97" t="e">
        <f>+#REF!+#REF!+#REF!+#REF!</f>
        <v>#REF!</v>
      </c>
      <c r="F32" s="97"/>
      <c r="G32" s="97"/>
      <c r="H32" s="148" t="e">
        <f t="shared" si="6"/>
        <v>#REF!</v>
      </c>
      <c r="I32" s="97" t="e">
        <f t="shared" si="5"/>
        <v>#REF!</v>
      </c>
      <c r="J32" s="72"/>
      <c r="K32" s="72"/>
    </row>
    <row r="33" spans="1:11" s="69" customFormat="1" ht="21.75" customHeight="1">
      <c r="A33" s="9"/>
      <c r="B33" s="6" t="s">
        <v>186</v>
      </c>
      <c r="C33" s="7">
        <f>926000+420000+267240+451200</f>
        <v>2064440</v>
      </c>
      <c r="D33" s="97" t="e">
        <f>+#REF!+#REF!+#REF!+#REF!+#REF!+#REF!+#REF!+#REF!+#REF!+#REF!+#REF!+#REF!</f>
        <v>#REF!</v>
      </c>
      <c r="E33" s="97" t="e">
        <f>+#REF!+#REF!+#REF!+#REF!</f>
        <v>#REF!</v>
      </c>
      <c r="F33" s="97"/>
      <c r="G33" s="97"/>
      <c r="H33" s="148" t="e">
        <f t="shared" si="6"/>
        <v>#REF!</v>
      </c>
      <c r="I33" s="97" t="e">
        <f t="shared" si="5"/>
        <v>#REF!</v>
      </c>
      <c r="J33" s="72"/>
      <c r="K33" s="72"/>
    </row>
    <row r="34" spans="1:11" s="69" customFormat="1" ht="21.75" customHeight="1">
      <c r="A34" s="9"/>
      <c r="B34" s="6" t="s">
        <v>91</v>
      </c>
      <c r="C34" s="7">
        <f>550000+130000+191160+211700</f>
        <v>1082860</v>
      </c>
      <c r="D34" s="97" t="e">
        <f>+#REF!+#REF!+#REF!+#REF!+#REF!+#REF!+#REF!+#REF!+#REF!+#REF!+#REF!+#REF!</f>
        <v>#REF!</v>
      </c>
      <c r="E34" s="97" t="e">
        <f>+#REF!+#REF!+#REF!+#REF!</f>
        <v>#REF!</v>
      </c>
      <c r="F34" s="97"/>
      <c r="G34" s="97"/>
      <c r="H34" s="148" t="e">
        <f>+D34+E34+F34+G34</f>
        <v>#REF!</v>
      </c>
      <c r="I34" s="97" t="e">
        <f t="shared" si="5"/>
        <v>#REF!</v>
      </c>
      <c r="J34" s="72"/>
      <c r="K34" s="72"/>
    </row>
    <row r="35" spans="1:11" s="69" customFormat="1" ht="21.75" customHeight="1">
      <c r="A35" s="9"/>
      <c r="B35" s="6" t="s">
        <v>130</v>
      </c>
      <c r="C35" s="19">
        <f>2400+3900+3000</f>
        <v>9300</v>
      </c>
      <c r="D35" s="98" t="e">
        <f>+#REF!+#REF!+#REF!+#REF!+#REF!+#REF!+#REF!+#REF!+#REF!+#REF!+#REF!+#REF!</f>
        <v>#REF!</v>
      </c>
      <c r="E35" s="97" t="e">
        <f>+#REF!+#REF!+#REF!+#REF!</f>
        <v>#REF!</v>
      </c>
      <c r="F35" s="123"/>
      <c r="G35" s="123"/>
      <c r="H35" s="153" t="e">
        <f t="shared" si="6"/>
        <v>#REF!</v>
      </c>
      <c r="I35" s="98" t="e">
        <f t="shared" si="5"/>
        <v>#REF!</v>
      </c>
      <c r="J35" s="72"/>
      <c r="K35" s="72"/>
    </row>
    <row r="36" spans="1:11" s="69" customFormat="1" ht="21.75" customHeight="1" thickBot="1">
      <c r="A36" s="13"/>
      <c r="B36" s="14" t="s">
        <v>5</v>
      </c>
      <c r="C36" s="112">
        <f t="shared" ref="C36:I36" si="7">SUM(C27:C35)</f>
        <v>8257020</v>
      </c>
      <c r="D36" s="83" t="e">
        <f>SUM(D27:D35)</f>
        <v>#REF!</v>
      </c>
      <c r="E36" s="83" t="e">
        <f t="shared" si="7"/>
        <v>#REF!</v>
      </c>
      <c r="F36" s="83">
        <f t="shared" si="7"/>
        <v>0</v>
      </c>
      <c r="G36" s="83">
        <f t="shared" si="7"/>
        <v>0</v>
      </c>
      <c r="H36" s="154" t="e">
        <f>SUM(H27:H35)</f>
        <v>#REF!</v>
      </c>
      <c r="I36" s="83" t="e">
        <f t="shared" si="7"/>
        <v>#REF!</v>
      </c>
      <c r="J36" s="72" t="s">
        <v>190</v>
      </c>
      <c r="K36" s="72"/>
    </row>
    <row r="37" spans="1:11" s="69" customFormat="1" ht="21.75" customHeight="1" thickTop="1">
      <c r="A37" s="5" t="s">
        <v>98</v>
      </c>
      <c r="B37" s="6"/>
      <c r="C37" s="27"/>
      <c r="D37" s="98"/>
      <c r="E37" s="98"/>
      <c r="F37" s="98"/>
      <c r="G37" s="98"/>
      <c r="H37" s="153">
        <f>+D37+E37+F37+G37</f>
        <v>0</v>
      </c>
      <c r="I37" s="98">
        <f t="shared" ref="I37:I68" si="8">+C37-H37</f>
        <v>0</v>
      </c>
      <c r="J37" s="72"/>
      <c r="K37" s="72"/>
    </row>
    <row r="38" spans="1:11" s="69" customFormat="1" ht="21.75" customHeight="1">
      <c r="A38" s="9"/>
      <c r="B38" s="6" t="s">
        <v>92</v>
      </c>
      <c r="C38" s="7">
        <f>100000+50000+20000+10000-50000-20000-20000</f>
        <v>90000</v>
      </c>
      <c r="D38" s="97" t="e">
        <f>+-#REF!+#REF!+#REF!+#REF!+#REF!+#REF!+#REF!+#REF!+#REF!+#REF!+#REF!+#REF!+#REF!+#REF!+#REF!+#REF!+#REF!+#REF!+#REF!+#REF!+#REF!+#REF!+#REF!+#REF!+#REF!+#REF!</f>
        <v>#REF!</v>
      </c>
      <c r="E38" s="97" t="e">
        <f>+#REF!+#REF!+#REF!+#REF!+#REF!+#REF!+#REF!</f>
        <v>#REF!</v>
      </c>
      <c r="F38" s="97"/>
      <c r="G38" s="97"/>
      <c r="H38" s="148" t="e">
        <f>+D38+E38+F38+G38</f>
        <v>#REF!</v>
      </c>
      <c r="I38" s="97" t="e">
        <f t="shared" si="8"/>
        <v>#REF!</v>
      </c>
      <c r="J38" s="72"/>
      <c r="K38" s="72"/>
    </row>
    <row r="39" spans="1:11" s="69" customFormat="1" ht="21.75" customHeight="1">
      <c r="A39" s="9"/>
      <c r="B39" s="6" t="s">
        <v>93</v>
      </c>
      <c r="C39" s="7">
        <f>10000+5000</f>
        <v>15000</v>
      </c>
      <c r="D39" s="97" t="e">
        <f>+-#REF!+#REF!+#REF!+#REF!+#REF!+#REF!+#REF!+#REF!+#REF!+#REF!+#REF!+#REF!+#REF!+#REF!+#REF!+#REF!+#REF!+#REF!+#REF!+#REF!+#REF!+#REF!+#REF!+#REF!+#REF!+#REF!</f>
        <v>#REF!</v>
      </c>
      <c r="E39" s="97" t="e">
        <f>+#REF!+#REF!+#REF!+#REF!+#REF!+#REF!+#REF!</f>
        <v>#REF!</v>
      </c>
      <c r="F39" s="97"/>
      <c r="G39" s="97"/>
      <c r="H39" s="148" t="e">
        <f t="shared" ref="H39:H45" si="9">+D39+E39+F39+G39</f>
        <v>#REF!</v>
      </c>
      <c r="I39" s="97" t="e">
        <f t="shared" si="8"/>
        <v>#REF!</v>
      </c>
      <c r="J39" s="72"/>
      <c r="K39" s="72"/>
    </row>
    <row r="40" spans="1:11" s="69" customFormat="1" ht="21.75" customHeight="1">
      <c r="A40" s="9"/>
      <c r="B40" s="6" t="s">
        <v>94</v>
      </c>
      <c r="C40" s="7">
        <v>10000</v>
      </c>
      <c r="D40" s="97" t="e">
        <f>+-#REF!+#REF!+#REF!+#REF!+#REF!+#REF!+#REF!+#REF!+#REF!+#REF!+#REF!+#REF!+#REF!+#REF!+#REF!+#REF!+#REF!+#REF!+#REF!+#REF!+#REF!+#REF!+#REF!+#REF!+#REF!+#REF!</f>
        <v>#REF!</v>
      </c>
      <c r="E40" s="97" t="e">
        <f>+#REF!+#REF!+#REF!+#REF!+#REF!+#REF!+#REF!</f>
        <v>#REF!</v>
      </c>
      <c r="F40" s="97"/>
      <c r="G40" s="97"/>
      <c r="H40" s="148" t="e">
        <f t="shared" si="9"/>
        <v>#REF!</v>
      </c>
      <c r="I40" s="97" t="e">
        <f t="shared" si="8"/>
        <v>#REF!</v>
      </c>
      <c r="J40" s="72"/>
      <c r="K40" s="72"/>
    </row>
    <row r="41" spans="1:11" s="69" customFormat="1" ht="21.75" customHeight="1">
      <c r="A41" s="9"/>
      <c r="B41" s="6" t="s">
        <v>95</v>
      </c>
      <c r="C41" s="36">
        <v>5000</v>
      </c>
      <c r="D41" s="97" t="e">
        <f>+-#REF!+#REF!+#REF!+#REF!+#REF!+#REF!+#REF!+#REF!+#REF!+#REF!+#REF!+#REF!+#REF!+#REF!+#REF!+#REF!+#REF!+#REF!+#REF!+#REF!+#REF!+#REF!+#REF!+#REF!+#REF!+#REF!</f>
        <v>#REF!</v>
      </c>
      <c r="E41" s="97" t="e">
        <f>+#REF!+#REF!+#REF!+#REF!+#REF!+#REF!+#REF!</f>
        <v>#REF!</v>
      </c>
      <c r="F41" s="97"/>
      <c r="G41" s="97"/>
      <c r="H41" s="148" t="e">
        <f t="shared" si="9"/>
        <v>#REF!</v>
      </c>
      <c r="I41" s="97" t="e">
        <f t="shared" si="8"/>
        <v>#REF!</v>
      </c>
      <c r="J41" s="72"/>
      <c r="K41" s="72"/>
    </row>
    <row r="42" spans="1:11" s="69" customFormat="1" ht="21.75" customHeight="1">
      <c r="A42" s="9"/>
      <c r="B42" s="6" t="s">
        <v>96</v>
      </c>
      <c r="C42" s="27">
        <f>10000+5000+5000+10000</f>
        <v>30000</v>
      </c>
      <c r="D42" s="97" t="e">
        <f>+-#REF!+#REF!+#REF!+#REF!+#REF!+#REF!+#REF!+#REF!+#REF!+#REF!+#REF!+#REF!+#REF!+#REF!+#REF!+#REF!+#REF!+#REF!+#REF!+#REF!+#REF!+#REF!+#REF!+#REF!+#REF!+#REF!</f>
        <v>#REF!</v>
      </c>
      <c r="E42" s="97" t="e">
        <f>+#REF!+#REF!+#REF!+#REF!+#REF!+#REF!+#REF!</f>
        <v>#REF!</v>
      </c>
      <c r="F42" s="97"/>
      <c r="G42" s="97"/>
      <c r="H42" s="148" t="e">
        <f t="shared" si="9"/>
        <v>#REF!</v>
      </c>
      <c r="I42" s="97" t="e">
        <f t="shared" si="8"/>
        <v>#REF!</v>
      </c>
      <c r="J42" s="72"/>
      <c r="K42" s="72"/>
    </row>
    <row r="43" spans="1:11" s="69" customFormat="1" ht="21.75" customHeight="1">
      <c r="A43" s="9"/>
      <c r="B43" s="6" t="s">
        <v>10</v>
      </c>
      <c r="C43" s="7">
        <f>120000+10000+20000+36000</f>
        <v>186000</v>
      </c>
      <c r="D43" s="97" t="e">
        <f>+-#REF!+#REF!+#REF!+#REF!+#REF!+#REF!+#REF!+#REF!+#REF!+#REF!+#REF!+#REF!+#REF!+#REF!+#REF!+#REF!+#REF!+#REF!+#REF!+#REF!+#REF!+#REF!+#REF!+#REF!+#REF!+#REF!</f>
        <v>#REF!</v>
      </c>
      <c r="E43" s="97" t="e">
        <f>+#REF!+#REF!+#REF!+#REF!+#REF!+#REF!+#REF!</f>
        <v>#REF!</v>
      </c>
      <c r="F43" s="97"/>
      <c r="G43" s="97"/>
      <c r="H43" s="148" t="e">
        <f t="shared" si="9"/>
        <v>#REF!</v>
      </c>
      <c r="I43" s="97" t="e">
        <f t="shared" si="8"/>
        <v>#REF!</v>
      </c>
      <c r="J43" s="72"/>
      <c r="K43" s="72"/>
    </row>
    <row r="44" spans="1:11" s="69" customFormat="1" ht="21.75" customHeight="1">
      <c r="A44" s="9"/>
      <c r="B44" s="6" t="s">
        <v>9</v>
      </c>
      <c r="C44" s="7">
        <f>16000+10000+3000+10000</f>
        <v>39000</v>
      </c>
      <c r="D44" s="97" t="e">
        <f>+-#REF!+#REF!+#REF!+#REF!+#REF!+#REF!+#REF!+#REF!+#REF!+#REF!+#REF!+#REF!+#REF!+#REF!+#REF!+#REF!+#REF!+#REF!+#REF!+#REF!+#REF!+#REF!+#REF!+#REF!+#REF!+#REF!</f>
        <v>#REF!</v>
      </c>
      <c r="E44" s="97" t="e">
        <f>+#REF!+#REF!+#REF!+#REF!+#REF!+#REF!+#REF!</f>
        <v>#REF!</v>
      </c>
      <c r="F44" s="97"/>
      <c r="G44" s="97"/>
      <c r="H44" s="148" t="e">
        <f t="shared" si="9"/>
        <v>#REF!</v>
      </c>
      <c r="I44" s="97" t="e">
        <f t="shared" si="8"/>
        <v>#REF!</v>
      </c>
      <c r="J44" s="72"/>
      <c r="K44" s="72"/>
    </row>
    <row r="45" spans="1:11" s="67" customFormat="1" ht="21.75" customHeight="1">
      <c r="A45" s="9"/>
      <c r="B45" s="6" t="s">
        <v>97</v>
      </c>
      <c r="C45" s="7">
        <f>50000+30000+50000+30000+13300-3900-10000-20000-20000-5000-10000</f>
        <v>104400</v>
      </c>
      <c r="D45" s="97" t="e">
        <f>+-#REF!+#REF!+#REF!+#REF!+#REF!+#REF!+#REF!+#REF!+#REF!+#REF!+#REF!+#REF!+#REF!+#REF!+#REF!+#REF!+#REF!+#REF!+#REF!+#REF!+#REF!+#REF!+#REF!+#REF!+#REF!+#REF!</f>
        <v>#REF!</v>
      </c>
      <c r="E45" s="97" t="e">
        <f>+#REF!+#REF!+#REF!+#REF!+#REF!+#REF!+#REF!</f>
        <v>#REF!</v>
      </c>
      <c r="F45" s="97"/>
      <c r="G45" s="97"/>
      <c r="H45" s="148" t="e">
        <f t="shared" si="9"/>
        <v>#REF!</v>
      </c>
      <c r="I45" s="97" t="e">
        <f t="shared" si="8"/>
        <v>#REF!</v>
      </c>
      <c r="J45" s="79"/>
      <c r="K45" s="140"/>
    </row>
    <row r="46" spans="1:11" s="67" customFormat="1" ht="21.75" customHeight="1">
      <c r="A46" s="9"/>
      <c r="B46" s="6" t="s">
        <v>120</v>
      </c>
      <c r="C46" s="7">
        <v>20000</v>
      </c>
      <c r="D46" s="97" t="e">
        <f>+-#REF!+#REF!+#REF!+#REF!+#REF!+#REF!+#REF!+#REF!+#REF!+#REF!+#REF!+#REF!+#REF!+#REF!+#REF!+#REF!+#REF!+#REF!+#REF!+#REF!+#REF!+#REF!+#REF!+#REF!+#REF!+#REF!</f>
        <v>#REF!</v>
      </c>
      <c r="E46" s="97" t="e">
        <f>+#REF!+#REF!+#REF!+#REF!+#REF!+#REF!+#REF!</f>
        <v>#REF!</v>
      </c>
      <c r="F46" s="97"/>
      <c r="G46" s="97"/>
      <c r="H46" s="148" t="e">
        <f>+D46+E46+F46+G46</f>
        <v>#REF!</v>
      </c>
      <c r="I46" s="97" t="e">
        <f t="shared" si="8"/>
        <v>#REF!</v>
      </c>
      <c r="J46" s="79"/>
      <c r="K46" s="140"/>
    </row>
    <row r="47" spans="1:11" s="69" customFormat="1" ht="21.75" customHeight="1" thickBot="1">
      <c r="A47" s="80"/>
      <c r="B47" s="14" t="s">
        <v>5</v>
      </c>
      <c r="C47" s="76">
        <f>SUM(C38:C46)</f>
        <v>499400</v>
      </c>
      <c r="D47" s="77" t="e">
        <f>SUM(D38:D46)</f>
        <v>#REF!</v>
      </c>
      <c r="E47" s="77" t="e">
        <f>SUM(E38:E46)</f>
        <v>#REF!</v>
      </c>
      <c r="F47" s="77">
        <f>SUM(F38:F46)</f>
        <v>0</v>
      </c>
      <c r="G47" s="77">
        <f>SUM(G38:G46)</f>
        <v>0</v>
      </c>
      <c r="H47" s="155" t="e">
        <f>+D47+E47+F47+G47</f>
        <v>#REF!</v>
      </c>
      <c r="I47" s="77" t="e">
        <f t="shared" si="8"/>
        <v>#REF!</v>
      </c>
      <c r="J47" s="72"/>
      <c r="K47" s="72"/>
    </row>
    <row r="48" spans="1:11" s="69" customFormat="1" ht="21.75" customHeight="1" thickTop="1">
      <c r="A48" s="5" t="s">
        <v>99</v>
      </c>
      <c r="B48" s="6"/>
      <c r="C48" s="27"/>
      <c r="D48" s="98"/>
      <c r="E48" s="98"/>
      <c r="F48" s="98"/>
      <c r="G48" s="98"/>
      <c r="H48" s="153">
        <f>+D48+E48+F48+G48</f>
        <v>0</v>
      </c>
      <c r="I48" s="98">
        <f t="shared" si="8"/>
        <v>0</v>
      </c>
      <c r="J48" s="72"/>
      <c r="K48" s="72"/>
    </row>
    <row r="49" spans="1:11" s="69" customFormat="1" ht="21.75" customHeight="1">
      <c r="A49" s="5"/>
      <c r="B49" s="6" t="s">
        <v>100</v>
      </c>
      <c r="C49" s="27">
        <f>750000+95000+250000+20000-56800-3000-39000-20000</f>
        <v>996200</v>
      </c>
      <c r="D49" s="97" t="e">
        <f>+#REF!+#REF!+#REF!+#REF!+#REF!+#REF!+#REF!+#REF!+#REF!+#REF!</f>
        <v>#REF!</v>
      </c>
      <c r="E49" s="97" t="e">
        <f>+#REF!+#REF!+#REF!+#REF!+#REF!+#REF!+#REF!+#REF!+#REF!+#REF!+#REF!+#REF!+#REF!</f>
        <v>#REF!</v>
      </c>
      <c r="F49" s="97"/>
      <c r="G49" s="97"/>
      <c r="H49" s="148" t="e">
        <f>+D49+E49+F49+G49</f>
        <v>#REF!</v>
      </c>
      <c r="I49" s="97" t="e">
        <f t="shared" si="8"/>
        <v>#REF!</v>
      </c>
      <c r="J49" s="72"/>
      <c r="K49" s="143"/>
    </row>
    <row r="50" spans="1:11" s="69" customFormat="1" ht="21.75" customHeight="1">
      <c r="A50" s="5"/>
      <c r="B50" s="6" t="s">
        <v>11</v>
      </c>
      <c r="C50" s="27">
        <f>10000+7000</f>
        <v>17000</v>
      </c>
      <c r="D50" s="97" t="e">
        <f>+#REF!+#REF!+#REF!+#REF!+#REF!+#REF!+#REF!+#REF!+#REF!+#REF!</f>
        <v>#REF!</v>
      </c>
      <c r="E50" s="97" t="e">
        <f>+#REF!+#REF!+#REF!+#REF!+#REF!+#REF!+#REF!+#REF!+#REF!+#REF!+#REF!+#REF!+#REF!</f>
        <v>#REF!</v>
      </c>
      <c r="F50" s="97"/>
      <c r="G50" s="97"/>
      <c r="H50" s="148" t="e">
        <f>+D50+E50+F50+G50</f>
        <v>#REF!</v>
      </c>
      <c r="I50" s="97" t="e">
        <f t="shared" si="8"/>
        <v>#REF!</v>
      </c>
      <c r="J50" s="72"/>
      <c r="K50" s="144" t="e">
        <f>10162-H50</f>
        <v>#REF!</v>
      </c>
    </row>
    <row r="51" spans="1:11" s="69" customFormat="1" ht="21.75" customHeight="1">
      <c r="A51" s="5"/>
      <c r="B51" s="6" t="s">
        <v>101</v>
      </c>
      <c r="C51" s="27">
        <f>5000+4000</f>
        <v>9000</v>
      </c>
      <c r="D51" s="97" t="e">
        <f>+#REF!+#REF!+#REF!+#REF!+#REF!+#REF!+#REF!+#REF!+#REF!+#REF!</f>
        <v>#REF!</v>
      </c>
      <c r="E51" s="97" t="e">
        <f>+#REF!+#REF!+#REF!+#REF!+#REF!+#REF!+#REF!+#REF!+#REF!+#REF!+#REF!+#REF!+#REF!</f>
        <v>#REF!</v>
      </c>
      <c r="F51" s="97"/>
      <c r="G51" s="97"/>
      <c r="H51" s="148" t="e">
        <f t="shared" ref="H51:H99" si="10">+D51+E51+F51+G51</f>
        <v>#REF!</v>
      </c>
      <c r="I51" s="97" t="e">
        <f t="shared" si="8"/>
        <v>#REF!</v>
      </c>
      <c r="J51" s="72"/>
      <c r="K51" s="141"/>
    </row>
    <row r="52" spans="1:11" s="69" customFormat="1" ht="21.75" customHeight="1">
      <c r="A52" s="5"/>
      <c r="B52" s="6" t="s">
        <v>102</v>
      </c>
      <c r="C52" s="27">
        <f>10000+35000</f>
        <v>45000</v>
      </c>
      <c r="D52" s="97" t="e">
        <f>+#REF!+#REF!+#REF!+#REF!+#REF!+#REF!+#REF!+#REF!+#REF!+#REF!</f>
        <v>#REF!</v>
      </c>
      <c r="E52" s="97" t="e">
        <f>+#REF!+#REF!+#REF!+#REF!+#REF!+#REF!+#REF!+#REF!+#REF!+#REF!+#REF!+#REF!+#REF!</f>
        <v>#REF!</v>
      </c>
      <c r="F52" s="97"/>
      <c r="G52" s="97"/>
      <c r="H52" s="148" t="e">
        <f t="shared" si="10"/>
        <v>#REF!</v>
      </c>
      <c r="I52" s="97" t="e">
        <f t="shared" si="8"/>
        <v>#REF!</v>
      </c>
      <c r="J52" s="72"/>
      <c r="K52" s="141"/>
    </row>
    <row r="53" spans="1:11" s="69" customFormat="1" ht="21.75" customHeight="1">
      <c r="A53" s="9"/>
      <c r="B53" s="6" t="s">
        <v>50</v>
      </c>
      <c r="C53" s="7">
        <f>400000-28310</f>
        <v>371690</v>
      </c>
      <c r="D53" s="97" t="e">
        <f>+#REF!+#REF!+#REF!+#REF!+#REF!+#REF!+#REF!+#REF!+#REF!+#REF!</f>
        <v>#REF!</v>
      </c>
      <c r="E53" s="97" t="e">
        <f>+#REF!+#REF!+#REF!+#REF!+#REF!+#REF!+#REF!+#REF!+#REF!+#REF!+#REF!+#REF!+#REF!</f>
        <v>#REF!</v>
      </c>
      <c r="F53" s="97"/>
      <c r="G53" s="97"/>
      <c r="H53" s="148" t="e">
        <f t="shared" si="10"/>
        <v>#REF!</v>
      </c>
      <c r="I53" s="97" t="e">
        <f t="shared" si="8"/>
        <v>#REF!</v>
      </c>
      <c r="J53" s="72"/>
      <c r="K53" s="141"/>
    </row>
    <row r="54" spans="1:11" s="69" customFormat="1" ht="21.75" customHeight="1">
      <c r="A54" s="9"/>
      <c r="B54" s="6" t="s">
        <v>103</v>
      </c>
      <c r="C54" s="7">
        <v>10000</v>
      </c>
      <c r="D54" s="97" t="e">
        <f>+#REF!+#REF!+#REF!+#REF!+#REF!+#REF!+#REF!+#REF!+#REF!+#REF!</f>
        <v>#REF!</v>
      </c>
      <c r="E54" s="97" t="e">
        <f>+#REF!+#REF!+#REF!+#REF!+#REF!+#REF!+#REF!+#REF!+#REF!+#REF!+#REF!+#REF!+#REF!</f>
        <v>#REF!</v>
      </c>
      <c r="F54" s="97"/>
      <c r="G54" s="97"/>
      <c r="H54" s="148" t="e">
        <f t="shared" si="10"/>
        <v>#REF!</v>
      </c>
      <c r="I54" s="97" t="e">
        <f t="shared" si="8"/>
        <v>#REF!</v>
      </c>
      <c r="J54" s="72"/>
      <c r="K54" s="141"/>
    </row>
    <row r="55" spans="1:11" s="69" customFormat="1" ht="21.75" customHeight="1">
      <c r="A55" s="9"/>
      <c r="B55" s="17" t="s">
        <v>104</v>
      </c>
      <c r="C55" s="18">
        <f>100000-100000</f>
        <v>0</v>
      </c>
      <c r="D55" s="97" t="e">
        <f>+#REF!+#REF!+#REF!+#REF!+#REF!+#REF!+#REF!+#REF!+#REF!+#REF!</f>
        <v>#REF!</v>
      </c>
      <c r="E55" s="97" t="e">
        <f>+#REF!+#REF!+#REF!+#REF!+#REF!+#REF!+#REF!+#REF!+#REF!+#REF!+#REF!+#REF!+#REF!</f>
        <v>#REF!</v>
      </c>
      <c r="F55" s="97"/>
      <c r="G55" s="97"/>
      <c r="H55" s="148" t="e">
        <f t="shared" si="10"/>
        <v>#REF!</v>
      </c>
      <c r="I55" s="97" t="e">
        <f t="shared" si="8"/>
        <v>#REF!</v>
      </c>
      <c r="J55" s="72"/>
      <c r="K55" s="141"/>
    </row>
    <row r="56" spans="1:11" s="69" customFormat="1" ht="21.75" customHeight="1">
      <c r="A56" s="9"/>
      <c r="B56" s="17" t="s">
        <v>105</v>
      </c>
      <c r="C56" s="18">
        <f>100000+170000</f>
        <v>270000</v>
      </c>
      <c r="D56" s="97" t="e">
        <f>+#REF!+#REF!+#REF!+#REF!+#REF!+#REF!+#REF!+#REF!+#REF!+#REF!</f>
        <v>#REF!</v>
      </c>
      <c r="E56" s="97" t="e">
        <f>+#REF!+#REF!+#REF!+#REF!+#REF!+#REF!+#REF!+#REF!+#REF!+#REF!+#REF!+#REF!+#REF!</f>
        <v>#REF!</v>
      </c>
      <c r="F56" s="97"/>
      <c r="G56" s="97"/>
      <c r="H56" s="148" t="e">
        <f t="shared" si="10"/>
        <v>#REF!</v>
      </c>
      <c r="I56" s="97" t="e">
        <f t="shared" si="8"/>
        <v>#REF!</v>
      </c>
      <c r="J56" s="72"/>
      <c r="K56" s="141"/>
    </row>
    <row r="57" spans="1:11" s="69" customFormat="1" ht="21.75" customHeight="1">
      <c r="A57" s="9"/>
      <c r="B57" s="17" t="s">
        <v>106</v>
      </c>
      <c r="C57" s="18">
        <f>200000+50000+70000+30000-20000+55000</f>
        <v>385000</v>
      </c>
      <c r="D57" s="97" t="e">
        <f>+#REF!+#REF!+#REF!+#REF!+#REF!+#REF!+#REF!+#REF!+#REF!+#REF!</f>
        <v>#REF!</v>
      </c>
      <c r="E57" s="97" t="e">
        <f>+#REF!+#REF!+#REF!+#REF!+#REF!+#REF!+#REF!+#REF!+#REF!+#REF!+#REF!+#REF!+#REF!</f>
        <v>#REF!</v>
      </c>
      <c r="F57" s="97"/>
      <c r="G57" s="97"/>
      <c r="H57" s="148" t="e">
        <f>+D57+E57+F57+G57</f>
        <v>#REF!</v>
      </c>
      <c r="I57" s="97" t="e">
        <f t="shared" si="8"/>
        <v>#REF!</v>
      </c>
      <c r="J57" s="72"/>
      <c r="K57" s="145"/>
    </row>
    <row r="58" spans="1:11" s="69" customFormat="1" ht="21.75" customHeight="1">
      <c r="A58" s="9"/>
      <c r="B58" s="17" t="s">
        <v>107</v>
      </c>
      <c r="C58" s="18">
        <f>30000-16000</f>
        <v>14000</v>
      </c>
      <c r="D58" s="97" t="e">
        <f>+#REF!+#REF!+#REF!+#REF!+#REF!+#REF!+#REF!+#REF!+#REF!+#REF!</f>
        <v>#REF!</v>
      </c>
      <c r="E58" s="97" t="e">
        <f>+#REF!+#REF!+#REF!+#REF!+#REF!+#REF!+#REF!+#REF!+#REF!+#REF!+#REF!+#REF!+#REF!</f>
        <v>#REF!</v>
      </c>
      <c r="F58" s="97"/>
      <c r="G58" s="97"/>
      <c r="H58" s="148" t="e">
        <f t="shared" si="10"/>
        <v>#REF!</v>
      </c>
      <c r="I58" s="97" t="e">
        <f t="shared" si="8"/>
        <v>#REF!</v>
      </c>
      <c r="J58" s="72"/>
      <c r="K58" s="141"/>
    </row>
    <row r="59" spans="1:11" s="69" customFormat="1" ht="21.75" customHeight="1">
      <c r="A59" s="9"/>
      <c r="B59" s="17" t="s">
        <v>108</v>
      </c>
      <c r="C59" s="18">
        <v>10000</v>
      </c>
      <c r="D59" s="97" t="e">
        <f>+#REF!+#REF!+#REF!+#REF!+#REF!+#REF!+#REF!+#REF!+#REF!+#REF!</f>
        <v>#REF!</v>
      </c>
      <c r="E59" s="97" t="e">
        <f>+#REF!+#REF!+#REF!+#REF!+#REF!+#REF!+#REF!+#REF!+#REF!+#REF!+#REF!+#REF!+#REF!</f>
        <v>#REF!</v>
      </c>
      <c r="F59" s="97"/>
      <c r="G59" s="97"/>
      <c r="H59" s="148" t="e">
        <f t="shared" si="10"/>
        <v>#REF!</v>
      </c>
      <c r="I59" s="97" t="e">
        <f t="shared" si="8"/>
        <v>#REF!</v>
      </c>
      <c r="J59" s="72"/>
      <c r="K59" s="141"/>
    </row>
    <row r="60" spans="1:11" s="69" customFormat="1" ht="21.75" customHeight="1">
      <c r="A60" s="9"/>
      <c r="B60" s="17" t="s">
        <v>109</v>
      </c>
      <c r="C60" s="18">
        <v>10000</v>
      </c>
      <c r="D60" s="97" t="e">
        <f>+#REF!+#REF!+#REF!+#REF!+#REF!+#REF!+#REF!+#REF!+#REF!+#REF!</f>
        <v>#REF!</v>
      </c>
      <c r="E60" s="97" t="e">
        <f>+#REF!+#REF!+#REF!+#REF!+#REF!+#REF!+#REF!+#REF!+#REF!+#REF!+#REF!+#REF!+#REF!</f>
        <v>#REF!</v>
      </c>
      <c r="F60" s="97"/>
      <c r="G60" s="97"/>
      <c r="H60" s="148" t="e">
        <f t="shared" si="10"/>
        <v>#REF!</v>
      </c>
      <c r="I60" s="97" t="e">
        <f t="shared" si="8"/>
        <v>#REF!</v>
      </c>
      <c r="J60" s="72"/>
      <c r="K60" s="141"/>
    </row>
    <row r="61" spans="1:11" s="69" customFormat="1" ht="21.75" customHeight="1">
      <c r="A61" s="9"/>
      <c r="B61" s="17" t="s">
        <v>110</v>
      </c>
      <c r="C61" s="18">
        <f>60000+15000+50000+160000-86700+40000+20000</f>
        <v>258300</v>
      </c>
      <c r="D61" s="97" t="e">
        <f>+#REF!+#REF!+#REF!+#REF!+#REF!+#REF!+#REF!+#REF!+#REF!+#REF!</f>
        <v>#REF!</v>
      </c>
      <c r="E61" s="97" t="e">
        <f>+#REF!+#REF!+#REF!+#REF!+#REF!+#REF!+#REF!+#REF!+#REF!+#REF!+#REF!+#REF!+#REF!</f>
        <v>#REF!</v>
      </c>
      <c r="F61" s="97"/>
      <c r="G61" s="97"/>
      <c r="H61" s="148" t="e">
        <f t="shared" si="10"/>
        <v>#REF!</v>
      </c>
      <c r="I61" s="97" t="e">
        <f t="shared" si="8"/>
        <v>#REF!</v>
      </c>
      <c r="J61" s="72"/>
      <c r="K61" s="141"/>
    </row>
    <row r="62" spans="1:11" s="69" customFormat="1" ht="21.75" customHeight="1">
      <c r="A62" s="9"/>
      <c r="B62" s="17" t="s">
        <v>121</v>
      </c>
      <c r="C62" s="18">
        <v>50000</v>
      </c>
      <c r="D62" s="97" t="e">
        <f>+#REF!+#REF!+#REF!+#REF!+#REF!+#REF!+#REF!+#REF!+#REF!+#REF!</f>
        <v>#REF!</v>
      </c>
      <c r="E62" s="97" t="e">
        <f>+#REF!+#REF!+#REF!+#REF!+#REF!+#REF!+#REF!+#REF!+#REF!+#REF!+#REF!+#REF!+#REF!</f>
        <v>#REF!</v>
      </c>
      <c r="F62" s="97"/>
      <c r="G62" s="97"/>
      <c r="H62" s="148" t="e">
        <f t="shared" si="10"/>
        <v>#REF!</v>
      </c>
      <c r="I62" s="97" t="e">
        <f t="shared" si="8"/>
        <v>#REF!</v>
      </c>
      <c r="J62" s="72"/>
      <c r="K62" s="141"/>
    </row>
    <row r="63" spans="1:11" s="69" customFormat="1" ht="19.5" customHeight="1">
      <c r="A63" s="9"/>
      <c r="B63" s="17" t="s">
        <v>127</v>
      </c>
      <c r="C63" s="18">
        <f>30000-20000+110000</f>
        <v>120000</v>
      </c>
      <c r="D63" s="97" t="e">
        <f>+#REF!+#REF!+#REF!+#REF!+#REF!+#REF!+#REF!+#REF!+#REF!+#REF!</f>
        <v>#REF!</v>
      </c>
      <c r="E63" s="97" t="e">
        <f>+#REF!+#REF!+#REF!+#REF!+#REF!+#REF!+#REF!+#REF!+#REF!+#REF!+#REF!+#REF!+#REF!</f>
        <v>#REF!</v>
      </c>
      <c r="F63" s="97"/>
      <c r="G63" s="97"/>
      <c r="H63" s="148" t="e">
        <f t="shared" si="10"/>
        <v>#REF!</v>
      </c>
      <c r="I63" s="97" t="e">
        <f t="shared" si="8"/>
        <v>#REF!</v>
      </c>
      <c r="J63" s="72"/>
      <c r="K63" s="141"/>
    </row>
    <row r="64" spans="1:11" s="69" customFormat="1" ht="21.75" customHeight="1">
      <c r="A64" s="9"/>
      <c r="B64" s="17" t="s">
        <v>128</v>
      </c>
      <c r="C64" s="18">
        <f>45000-20000</f>
        <v>25000</v>
      </c>
      <c r="D64" s="97" t="e">
        <f>+#REF!+#REF!+#REF!+#REF!+#REF!+#REF!+#REF!+#REF!+#REF!+#REF!</f>
        <v>#REF!</v>
      </c>
      <c r="E64" s="97" t="e">
        <f>+#REF!+#REF!+#REF!+#REF!+#REF!+#REF!+#REF!+#REF!+#REF!+#REF!+#REF!+#REF!+#REF!</f>
        <v>#REF!</v>
      </c>
      <c r="F64" s="97"/>
      <c r="G64" s="97"/>
      <c r="H64" s="148" t="e">
        <f t="shared" si="10"/>
        <v>#REF!</v>
      </c>
      <c r="I64" s="97" t="e">
        <f t="shared" si="8"/>
        <v>#REF!</v>
      </c>
      <c r="J64" s="72"/>
      <c r="K64" s="141"/>
    </row>
    <row r="65" spans="1:11" s="69" customFormat="1" ht="21.75" customHeight="1">
      <c r="A65" s="9"/>
      <c r="B65" s="17" t="s">
        <v>129</v>
      </c>
      <c r="C65" s="18">
        <f>70000-20000</f>
        <v>50000</v>
      </c>
      <c r="D65" s="97" t="e">
        <f>+#REF!+#REF!+#REF!+#REF!+#REF!+#REF!+#REF!+#REF!+#REF!+#REF!</f>
        <v>#REF!</v>
      </c>
      <c r="E65" s="97" t="e">
        <f>+#REF!+#REF!+#REF!+#REF!+#REF!+#REF!+#REF!+#REF!+#REF!+#REF!+#REF!+#REF!+#REF!</f>
        <v>#REF!</v>
      </c>
      <c r="F65" s="97"/>
      <c r="G65" s="97"/>
      <c r="H65" s="148" t="e">
        <f t="shared" si="10"/>
        <v>#REF!</v>
      </c>
      <c r="I65" s="97" t="e">
        <f t="shared" si="8"/>
        <v>#REF!</v>
      </c>
      <c r="J65" s="72"/>
      <c r="K65" s="141"/>
    </row>
    <row r="66" spans="1:11" s="69" customFormat="1" ht="21" customHeight="1">
      <c r="A66" s="9"/>
      <c r="B66" s="17" t="s">
        <v>131</v>
      </c>
      <c r="C66" s="18">
        <f>30000-20000</f>
        <v>10000</v>
      </c>
      <c r="D66" s="97" t="e">
        <f>+#REF!+#REF!+#REF!+#REF!+#REF!+#REF!+#REF!+#REF!+#REF!+#REF!</f>
        <v>#REF!</v>
      </c>
      <c r="E66" s="97" t="e">
        <f>+#REF!+#REF!+#REF!+#REF!+#REF!+#REF!+#REF!+#REF!+#REF!+#REF!+#REF!+#REF!+#REF!</f>
        <v>#REF!</v>
      </c>
      <c r="F66" s="97"/>
      <c r="G66" s="97"/>
      <c r="H66" s="148" t="e">
        <f t="shared" si="10"/>
        <v>#REF!</v>
      </c>
      <c r="I66" s="97" t="e">
        <f t="shared" si="8"/>
        <v>#REF!</v>
      </c>
      <c r="J66" s="72"/>
      <c r="K66" s="141"/>
    </row>
    <row r="67" spans="1:11" s="69" customFormat="1" ht="21.75" customHeight="1">
      <c r="A67" s="9"/>
      <c r="B67" s="17" t="s">
        <v>132</v>
      </c>
      <c r="C67" s="18">
        <v>5000</v>
      </c>
      <c r="D67" s="97" t="e">
        <f>+#REF!+#REF!+#REF!+#REF!+#REF!+#REF!+#REF!+#REF!+#REF!+#REF!</f>
        <v>#REF!</v>
      </c>
      <c r="E67" s="97" t="e">
        <f>+#REF!+#REF!+#REF!+#REF!+#REF!+#REF!+#REF!+#REF!+#REF!+#REF!+#REF!+#REF!+#REF!</f>
        <v>#REF!</v>
      </c>
      <c r="F67" s="97"/>
      <c r="G67" s="97"/>
      <c r="H67" s="148" t="e">
        <f t="shared" si="10"/>
        <v>#REF!</v>
      </c>
      <c r="I67" s="97" t="e">
        <f t="shared" si="8"/>
        <v>#REF!</v>
      </c>
      <c r="J67" s="72"/>
      <c r="K67" s="141"/>
    </row>
    <row r="68" spans="1:11" s="69" customFormat="1" ht="21.75" customHeight="1">
      <c r="A68" s="9"/>
      <c r="B68" s="17" t="s">
        <v>133</v>
      </c>
      <c r="C68" s="18">
        <v>18000</v>
      </c>
      <c r="D68" s="97" t="e">
        <f>+#REF!+#REF!+#REF!+#REF!+#REF!+#REF!+#REF!+#REF!+#REF!+#REF!</f>
        <v>#REF!</v>
      </c>
      <c r="E68" s="97" t="e">
        <f>+#REF!+#REF!+#REF!+#REF!+#REF!+#REF!+#REF!+#REF!+#REF!+#REF!+#REF!+#REF!+#REF!</f>
        <v>#REF!</v>
      </c>
      <c r="F68" s="97"/>
      <c r="G68" s="97"/>
      <c r="H68" s="148" t="e">
        <f t="shared" si="10"/>
        <v>#REF!</v>
      </c>
      <c r="I68" s="97" t="e">
        <f t="shared" si="8"/>
        <v>#REF!</v>
      </c>
      <c r="J68" s="72"/>
      <c r="K68" s="108"/>
    </row>
    <row r="69" spans="1:11" s="69" customFormat="1" ht="21.75" customHeight="1">
      <c r="A69" s="9"/>
      <c r="B69" s="17" t="s">
        <v>134</v>
      </c>
      <c r="C69" s="37">
        <v>10000</v>
      </c>
      <c r="D69" s="97" t="e">
        <f>+#REF!+#REF!+#REF!+#REF!+#REF!+#REF!+#REF!+#REF!+#REF!+#REF!</f>
        <v>#REF!</v>
      </c>
      <c r="E69" s="97" t="e">
        <f>+#REF!+#REF!+#REF!+#REF!+#REF!+#REF!+#REF!+#REF!+#REF!+#REF!+#REF!+#REF!+#REF!</f>
        <v>#REF!</v>
      </c>
      <c r="F69" s="97"/>
      <c r="G69" s="97"/>
      <c r="H69" s="148" t="e">
        <f t="shared" si="10"/>
        <v>#REF!</v>
      </c>
      <c r="I69" s="97" t="e">
        <f t="shared" ref="I69:I100" si="11">+C69-H69</f>
        <v>#REF!</v>
      </c>
      <c r="J69" s="72"/>
      <c r="K69" s="108"/>
    </row>
    <row r="70" spans="1:11" s="69" customFormat="1" ht="21.75" customHeight="1">
      <c r="A70" s="9"/>
      <c r="B70" s="17" t="s">
        <v>135</v>
      </c>
      <c r="C70" s="44">
        <f>17560-10000</f>
        <v>7560</v>
      </c>
      <c r="D70" s="97" t="e">
        <f>+#REF!+#REF!+#REF!+#REF!+#REF!+#REF!+#REF!+#REF!+#REF!+#REF!</f>
        <v>#REF!</v>
      </c>
      <c r="E70" s="97" t="e">
        <f>+#REF!+#REF!+#REF!+#REF!+#REF!+#REF!+#REF!+#REF!+#REF!+#REF!+#REF!+#REF!+#REF!</f>
        <v>#REF!</v>
      </c>
      <c r="F70" s="97"/>
      <c r="G70" s="97"/>
      <c r="H70" s="148" t="e">
        <f t="shared" si="10"/>
        <v>#REF!</v>
      </c>
      <c r="I70" s="97" t="e">
        <f t="shared" si="11"/>
        <v>#REF!</v>
      </c>
      <c r="J70" s="72"/>
      <c r="K70" s="108"/>
    </row>
    <row r="71" spans="1:11" s="69" customFormat="1" ht="21.75" customHeight="1">
      <c r="A71" s="9"/>
      <c r="B71" s="17" t="s">
        <v>136</v>
      </c>
      <c r="C71" s="18">
        <f>20000+15120</f>
        <v>35120</v>
      </c>
      <c r="D71" s="97" t="e">
        <f>+#REF!+#REF!+#REF!+#REF!+#REF!+#REF!+#REF!+#REF!+#REF!+#REF!</f>
        <v>#REF!</v>
      </c>
      <c r="E71" s="97" t="e">
        <f>+#REF!+#REF!+#REF!+#REF!+#REF!+#REF!+#REF!+#REF!+#REF!+#REF!+#REF!+#REF!+#REF!</f>
        <v>#REF!</v>
      </c>
      <c r="F71" s="142"/>
      <c r="G71" s="142"/>
      <c r="H71" s="148" t="e">
        <f t="shared" si="10"/>
        <v>#REF!</v>
      </c>
      <c r="I71" s="148" t="e">
        <f t="shared" si="11"/>
        <v>#REF!</v>
      </c>
      <c r="J71" s="72"/>
      <c r="K71" s="108"/>
    </row>
    <row r="72" spans="1:11" s="69" customFormat="1" ht="21.75" customHeight="1">
      <c r="A72" s="9"/>
      <c r="B72" s="6" t="s">
        <v>53</v>
      </c>
      <c r="C72" s="147">
        <f>1008000-120000-30000-35000-11200</f>
        <v>811800</v>
      </c>
      <c r="D72" s="97" t="e">
        <f>+#REF!+#REF!+#REF!+#REF!+#REF!+#REF!+#REF!+#REF!+#REF!+#REF!</f>
        <v>#REF!</v>
      </c>
      <c r="E72" s="97" t="e">
        <f>+#REF!+#REF!+#REF!+#REF!+#REF!+#REF!+#REF!+#REF!+#REF!+#REF!+#REF!+#REF!+#REF!</f>
        <v>#REF!</v>
      </c>
      <c r="F72" s="97"/>
      <c r="G72" s="97"/>
      <c r="H72" s="148" t="e">
        <f t="shared" si="10"/>
        <v>#REF!</v>
      </c>
      <c r="I72" s="97" t="e">
        <f t="shared" si="11"/>
        <v>#REF!</v>
      </c>
      <c r="J72" s="72"/>
      <c r="K72" s="141"/>
    </row>
    <row r="73" spans="1:11" s="69" customFormat="1" ht="21.75" customHeight="1">
      <c r="A73" s="9"/>
      <c r="B73" s="6" t="s">
        <v>140</v>
      </c>
      <c r="C73" s="146">
        <f>150000+30000</f>
        <v>180000</v>
      </c>
      <c r="D73" s="97" t="e">
        <f>+#REF!+#REF!+#REF!+#REF!+#REF!+#REF!+#REF!+#REF!+#REF!+#REF!</f>
        <v>#REF!</v>
      </c>
      <c r="E73" s="97" t="e">
        <f>+#REF!+#REF!+#REF!+#REF!+#REF!+#REF!+#REF!+#REF!+#REF!+#REF!+#REF!+#REF!+#REF!</f>
        <v>#REF!</v>
      </c>
      <c r="F73" s="97"/>
      <c r="G73" s="97"/>
      <c r="H73" s="148" t="e">
        <f t="shared" si="10"/>
        <v>#REF!</v>
      </c>
      <c r="I73" s="97" t="e">
        <f t="shared" si="11"/>
        <v>#REF!</v>
      </c>
      <c r="J73" s="72"/>
      <c r="K73" s="141"/>
    </row>
    <row r="74" spans="1:11" s="69" customFormat="1" ht="21.75" customHeight="1">
      <c r="A74" s="9"/>
      <c r="B74" s="10" t="s">
        <v>141</v>
      </c>
      <c r="C74" s="7">
        <v>10000</v>
      </c>
      <c r="D74" s="97" t="e">
        <f>+#REF!+#REF!+#REF!+#REF!+#REF!+#REF!+#REF!+#REF!+#REF!+#REF!</f>
        <v>#REF!</v>
      </c>
      <c r="E74" s="97" t="e">
        <f>+#REF!+#REF!+#REF!+#REF!+#REF!+#REF!+#REF!+#REF!+#REF!+#REF!+#REF!+#REF!+#REF!</f>
        <v>#REF!</v>
      </c>
      <c r="F74" s="97"/>
      <c r="G74" s="97"/>
      <c r="H74" s="148" t="e">
        <f t="shared" si="10"/>
        <v>#REF!</v>
      </c>
      <c r="I74" s="97" t="e">
        <f t="shared" si="11"/>
        <v>#REF!</v>
      </c>
      <c r="J74" s="72"/>
      <c r="K74" s="141"/>
    </row>
    <row r="75" spans="1:11" s="69" customFormat="1" ht="21.75" customHeight="1">
      <c r="A75" s="9"/>
      <c r="B75" s="6" t="s">
        <v>142</v>
      </c>
      <c r="C75" s="7">
        <v>10000</v>
      </c>
      <c r="D75" s="97" t="e">
        <f>+#REF!+#REF!+#REF!+#REF!+#REF!+#REF!+#REF!+#REF!+#REF!+#REF!</f>
        <v>#REF!</v>
      </c>
      <c r="E75" s="97" t="e">
        <f>+#REF!+#REF!+#REF!+#REF!+#REF!+#REF!+#REF!+#REF!+#REF!+#REF!+#REF!+#REF!+#REF!</f>
        <v>#REF!</v>
      </c>
      <c r="F75" s="97"/>
      <c r="G75" s="97"/>
      <c r="H75" s="148" t="e">
        <f t="shared" si="10"/>
        <v>#REF!</v>
      </c>
      <c r="I75" s="97" t="e">
        <f t="shared" si="11"/>
        <v>#REF!</v>
      </c>
      <c r="J75" s="72"/>
      <c r="K75" s="141"/>
    </row>
    <row r="76" spans="1:11" s="69" customFormat="1" ht="22.5" customHeight="1">
      <c r="A76" s="9"/>
      <c r="B76" s="17" t="s">
        <v>143</v>
      </c>
      <c r="C76" s="18">
        <v>60000</v>
      </c>
      <c r="D76" s="97" t="e">
        <f>+#REF!+#REF!+#REF!+#REF!+#REF!+#REF!+#REF!+#REF!+#REF!+#REF!</f>
        <v>#REF!</v>
      </c>
      <c r="E76" s="97" t="e">
        <f>+#REF!+#REF!+#REF!+#REF!+#REF!+#REF!+#REF!+#REF!+#REF!+#REF!+#REF!+#REF!+#REF!</f>
        <v>#REF!</v>
      </c>
      <c r="F76" s="97"/>
      <c r="G76" s="97"/>
      <c r="H76" s="148" t="e">
        <f t="shared" si="10"/>
        <v>#REF!</v>
      </c>
      <c r="I76" s="97" t="e">
        <f t="shared" si="11"/>
        <v>#REF!</v>
      </c>
      <c r="J76" s="72"/>
      <c r="K76" s="141"/>
    </row>
    <row r="77" spans="1:11" s="69" customFormat="1" ht="22.5" customHeight="1">
      <c r="A77" s="9"/>
      <c r="B77" s="17" t="s">
        <v>144</v>
      </c>
      <c r="C77" s="18">
        <f>50000-3000-27000-20000</f>
        <v>0</v>
      </c>
      <c r="D77" s="97" t="e">
        <f>+#REF!+#REF!+#REF!+#REF!+#REF!+#REF!+#REF!+#REF!+#REF!+#REF!</f>
        <v>#REF!</v>
      </c>
      <c r="E77" s="97" t="e">
        <f>+#REF!+#REF!+#REF!+#REF!+#REF!+#REF!+#REF!+#REF!+#REF!+#REF!+#REF!+#REF!+#REF!</f>
        <v>#REF!</v>
      </c>
      <c r="F77" s="97"/>
      <c r="G77" s="97"/>
      <c r="H77" s="148" t="e">
        <f t="shared" si="10"/>
        <v>#REF!</v>
      </c>
      <c r="I77" s="97" t="e">
        <f t="shared" si="11"/>
        <v>#REF!</v>
      </c>
      <c r="J77" s="72"/>
      <c r="K77" s="141"/>
    </row>
    <row r="78" spans="1:11" s="69" customFormat="1" ht="22.5" customHeight="1">
      <c r="A78" s="9"/>
      <c r="B78" s="17" t="s">
        <v>147</v>
      </c>
      <c r="C78" s="18">
        <f>20000+30000</f>
        <v>50000</v>
      </c>
      <c r="D78" s="97" t="e">
        <f>+#REF!+#REF!+#REF!+#REF!+#REF!+#REF!+#REF!+#REF!+#REF!+#REF!</f>
        <v>#REF!</v>
      </c>
      <c r="E78" s="97" t="e">
        <f>+#REF!+#REF!+#REF!+#REF!+#REF!+#REF!+#REF!+#REF!+#REF!+#REF!+#REF!+#REF!+#REF!</f>
        <v>#REF!</v>
      </c>
      <c r="F78" s="97"/>
      <c r="G78" s="97"/>
      <c r="H78" s="148" t="e">
        <f t="shared" si="10"/>
        <v>#REF!</v>
      </c>
      <c r="I78" s="97" t="e">
        <f t="shared" si="11"/>
        <v>#REF!</v>
      </c>
      <c r="J78" s="72"/>
      <c r="K78" s="141"/>
    </row>
    <row r="79" spans="1:11" s="69" customFormat="1" ht="22.5" customHeight="1">
      <c r="A79" s="9"/>
      <c r="B79" s="17" t="s">
        <v>148</v>
      </c>
      <c r="C79" s="18">
        <v>10000</v>
      </c>
      <c r="D79" s="97" t="e">
        <f>+#REF!+#REF!+#REF!+#REF!+#REF!+#REF!+#REF!+#REF!+#REF!+#REF!</f>
        <v>#REF!</v>
      </c>
      <c r="E79" s="97" t="e">
        <f>+#REF!+#REF!+#REF!+#REF!+#REF!+#REF!+#REF!+#REF!+#REF!+#REF!+#REF!+#REF!+#REF!</f>
        <v>#REF!</v>
      </c>
      <c r="F79" s="97"/>
      <c r="G79" s="97"/>
      <c r="H79" s="148" t="e">
        <f t="shared" si="10"/>
        <v>#REF!</v>
      </c>
      <c r="I79" s="97" t="e">
        <f t="shared" si="11"/>
        <v>#REF!</v>
      </c>
      <c r="J79" s="72"/>
      <c r="K79" s="141"/>
    </row>
    <row r="80" spans="1:11" s="69" customFormat="1" ht="22.5" customHeight="1">
      <c r="A80" s="9"/>
      <c r="B80" s="17" t="s">
        <v>157</v>
      </c>
      <c r="C80" s="18">
        <f>20000-2000</f>
        <v>18000</v>
      </c>
      <c r="D80" s="97" t="e">
        <f>+#REF!+#REF!+#REF!+#REF!+#REF!+#REF!+#REF!+#REF!+#REF!+#REF!</f>
        <v>#REF!</v>
      </c>
      <c r="E80" s="97" t="e">
        <f>+#REF!+#REF!+#REF!+#REF!+#REF!+#REF!+#REF!+#REF!+#REF!+#REF!+#REF!+#REF!+#REF!</f>
        <v>#REF!</v>
      </c>
      <c r="F80" s="97"/>
      <c r="G80" s="97"/>
      <c r="H80" s="148" t="e">
        <f t="shared" si="10"/>
        <v>#REF!</v>
      </c>
      <c r="I80" s="97" t="e">
        <f t="shared" si="11"/>
        <v>#REF!</v>
      </c>
      <c r="J80" s="72"/>
      <c r="K80" s="141"/>
    </row>
    <row r="81" spans="1:11" s="69" customFormat="1" ht="22.5" customHeight="1">
      <c r="A81" s="9"/>
      <c r="B81" s="17" t="s">
        <v>158</v>
      </c>
      <c r="C81" s="18">
        <f>20000-20000</f>
        <v>0</v>
      </c>
      <c r="D81" s="97" t="e">
        <f>+#REF!+#REF!+#REF!+#REF!+#REF!+#REF!+#REF!+#REF!+#REF!+#REF!</f>
        <v>#REF!</v>
      </c>
      <c r="E81" s="97" t="e">
        <f>+#REF!+#REF!+#REF!+#REF!+#REF!+#REF!+#REF!+#REF!+#REF!+#REF!+#REF!+#REF!+#REF!</f>
        <v>#REF!</v>
      </c>
      <c r="F81" s="97"/>
      <c r="G81" s="97"/>
      <c r="H81" s="148" t="e">
        <f t="shared" si="10"/>
        <v>#REF!</v>
      </c>
      <c r="I81" s="97" t="e">
        <f t="shared" si="11"/>
        <v>#REF!</v>
      </c>
      <c r="J81" s="72"/>
      <c r="K81" s="141"/>
    </row>
    <row r="82" spans="1:11" s="69" customFormat="1" ht="22.5" customHeight="1">
      <c r="A82" s="9"/>
      <c r="B82" s="17" t="s">
        <v>159</v>
      </c>
      <c r="C82" s="18">
        <f>10000-10000</f>
        <v>0</v>
      </c>
      <c r="D82" s="97" t="e">
        <f>+#REF!+#REF!+#REF!+#REF!+#REF!+#REF!+#REF!+#REF!+#REF!+#REF!</f>
        <v>#REF!</v>
      </c>
      <c r="E82" s="97" t="e">
        <f>+#REF!+#REF!+#REF!+#REF!+#REF!+#REF!+#REF!+#REF!+#REF!+#REF!+#REF!+#REF!+#REF!</f>
        <v>#REF!</v>
      </c>
      <c r="F82" s="97"/>
      <c r="G82" s="97"/>
      <c r="H82" s="148" t="e">
        <f t="shared" si="10"/>
        <v>#REF!</v>
      </c>
      <c r="I82" s="101" t="e">
        <f t="shared" si="11"/>
        <v>#REF!</v>
      </c>
      <c r="J82" s="72"/>
      <c r="K82" s="141"/>
    </row>
    <row r="83" spans="1:11" s="67" customFormat="1" ht="22.5" customHeight="1">
      <c r="A83" s="9"/>
      <c r="B83" s="17" t="s">
        <v>160</v>
      </c>
      <c r="C83" s="18">
        <v>20000</v>
      </c>
      <c r="D83" s="97" t="e">
        <f>+#REF!+#REF!+#REF!+#REF!+#REF!+#REF!+#REF!+#REF!+#REF!+#REF!</f>
        <v>#REF!</v>
      </c>
      <c r="E83" s="97" t="e">
        <f>+#REF!+#REF!+#REF!+#REF!+#REF!+#REF!+#REF!+#REF!+#REF!+#REF!+#REF!+#REF!+#REF!</f>
        <v>#REF!</v>
      </c>
      <c r="F83" s="97"/>
      <c r="G83" s="97"/>
      <c r="H83" s="148" t="e">
        <f t="shared" si="10"/>
        <v>#REF!</v>
      </c>
      <c r="I83" s="97" t="e">
        <f t="shared" si="11"/>
        <v>#REF!</v>
      </c>
      <c r="J83" s="72"/>
      <c r="K83" s="141"/>
    </row>
    <row r="84" spans="1:11" s="69" customFormat="1" ht="22.5" customHeight="1">
      <c r="A84" s="9"/>
      <c r="B84" s="17" t="s">
        <v>161</v>
      </c>
      <c r="C84" s="18">
        <v>10000</v>
      </c>
      <c r="D84" s="97" t="e">
        <f>+#REF!+#REF!+#REF!+#REF!+#REF!+#REF!+#REF!+#REF!+#REF!+#REF!</f>
        <v>#REF!</v>
      </c>
      <c r="E84" s="97" t="e">
        <f>+#REF!+#REF!+#REF!+#REF!+#REF!+#REF!+#REF!+#REF!+#REF!+#REF!+#REF!+#REF!+#REF!</f>
        <v>#REF!</v>
      </c>
      <c r="F84" s="97"/>
      <c r="G84" s="97"/>
      <c r="H84" s="148" t="e">
        <f t="shared" si="10"/>
        <v>#REF!</v>
      </c>
      <c r="I84" s="97" t="e">
        <f t="shared" si="11"/>
        <v>#REF!</v>
      </c>
      <c r="J84" s="72"/>
      <c r="K84" s="141"/>
    </row>
    <row r="85" spans="1:11" s="69" customFormat="1" ht="22.5" customHeight="1">
      <c r="A85" s="9"/>
      <c r="B85" s="17" t="s">
        <v>162</v>
      </c>
      <c r="C85" s="55">
        <f>100000-50000</f>
        <v>50000</v>
      </c>
      <c r="D85" s="97" t="e">
        <f>+#REF!+#REF!+#REF!+#REF!+#REF!+#REF!+#REF!+#REF!+#REF!+#REF!</f>
        <v>#REF!</v>
      </c>
      <c r="E85" s="97" t="e">
        <f>+#REF!+#REF!+#REF!+#REF!+#REF!+#REF!+#REF!+#REF!+#REF!+#REF!+#REF!+#REF!+#REF!</f>
        <v>#REF!</v>
      </c>
      <c r="F85" s="97"/>
      <c r="G85" s="97"/>
      <c r="H85" s="148" t="e">
        <f t="shared" si="10"/>
        <v>#REF!</v>
      </c>
      <c r="I85" s="97" t="e">
        <f t="shared" si="11"/>
        <v>#REF!</v>
      </c>
      <c r="J85" s="72"/>
      <c r="K85" s="141"/>
    </row>
    <row r="86" spans="1:11" s="69" customFormat="1" ht="21.75" customHeight="1">
      <c r="A86" s="9"/>
      <c r="B86" s="17" t="s">
        <v>163</v>
      </c>
      <c r="C86" s="55">
        <f>400000+70000</f>
        <v>470000</v>
      </c>
      <c r="D86" s="97" t="e">
        <f>+#REF!+#REF!+#REF!+#REF!+#REF!+#REF!+#REF!+#REF!+#REF!+#REF!</f>
        <v>#REF!</v>
      </c>
      <c r="E86" s="97" t="e">
        <f>+#REF!+#REF!+#REF!+#REF!+#REF!+#REF!+#REF!+#REF!+#REF!+#REF!+#REF!+#REF!+#REF!</f>
        <v>#REF!</v>
      </c>
      <c r="F86" s="97"/>
      <c r="G86" s="97"/>
      <c r="H86" s="148" t="e">
        <f t="shared" si="10"/>
        <v>#REF!</v>
      </c>
      <c r="I86" s="97" t="e">
        <f t="shared" si="11"/>
        <v>#REF!</v>
      </c>
      <c r="J86" s="72"/>
      <c r="K86" s="141"/>
    </row>
    <row r="87" spans="1:11" s="69" customFormat="1" ht="21.75" customHeight="1">
      <c r="A87" s="9"/>
      <c r="B87" s="17" t="s">
        <v>164</v>
      </c>
      <c r="C87" s="55">
        <f>50000-30000</f>
        <v>20000</v>
      </c>
      <c r="D87" s="97" t="e">
        <f>+#REF!+#REF!+#REF!+#REF!+#REF!+#REF!+#REF!+#REF!+#REF!+#REF!</f>
        <v>#REF!</v>
      </c>
      <c r="E87" s="97" t="e">
        <f>+#REF!+#REF!+#REF!+#REF!+#REF!+#REF!+#REF!+#REF!+#REF!+#REF!+#REF!+#REF!+#REF!</f>
        <v>#REF!</v>
      </c>
      <c r="F87" s="97"/>
      <c r="G87" s="97"/>
      <c r="H87" s="148" t="e">
        <f t="shared" si="10"/>
        <v>#REF!</v>
      </c>
      <c r="I87" s="127" t="e">
        <f t="shared" si="11"/>
        <v>#REF!</v>
      </c>
      <c r="J87" s="72"/>
      <c r="K87" s="141"/>
    </row>
    <row r="88" spans="1:11" s="69" customFormat="1" ht="21.75" customHeight="1">
      <c r="A88" s="9"/>
      <c r="B88" s="17" t="s">
        <v>165</v>
      </c>
      <c r="C88" s="55">
        <f>50000-10000</f>
        <v>40000</v>
      </c>
      <c r="D88" s="97" t="e">
        <f>+#REF!+#REF!+#REF!+#REF!+#REF!+#REF!+#REF!+#REF!+#REF!+#REF!</f>
        <v>#REF!</v>
      </c>
      <c r="E88" s="97" t="e">
        <f>+#REF!+#REF!+#REF!+#REF!+#REF!+#REF!+#REF!+#REF!+#REF!+#REF!+#REF!+#REF!+#REF!</f>
        <v>#REF!</v>
      </c>
      <c r="F88" s="97"/>
      <c r="G88" s="97"/>
      <c r="H88" s="148" t="e">
        <f>+D88+E88+F88+G88</f>
        <v>#REF!</v>
      </c>
      <c r="I88" s="97" t="e">
        <f t="shared" si="11"/>
        <v>#REF!</v>
      </c>
      <c r="J88" s="72"/>
      <c r="K88" s="72"/>
    </row>
    <row r="89" spans="1:11" s="69" customFormat="1" ht="21.75" customHeight="1">
      <c r="A89" s="9"/>
      <c r="B89" s="17" t="s">
        <v>167</v>
      </c>
      <c r="C89" s="18">
        <v>65000</v>
      </c>
      <c r="D89" s="97" t="e">
        <f>+#REF!+#REF!+#REF!+#REF!+#REF!+#REF!+#REF!+#REF!+#REF!+#REF!</f>
        <v>#REF!</v>
      </c>
      <c r="E89" s="97" t="e">
        <f>+#REF!+#REF!+#REF!+#REF!+#REF!+#REF!+#REF!+#REF!+#REF!+#REF!+#REF!+#REF!+#REF!</f>
        <v>#REF!</v>
      </c>
      <c r="F89" s="97"/>
      <c r="G89" s="97"/>
      <c r="H89" s="148" t="e">
        <f t="shared" si="10"/>
        <v>#REF!</v>
      </c>
      <c r="I89" s="97" t="e">
        <f t="shared" si="11"/>
        <v>#REF!</v>
      </c>
      <c r="J89" s="72"/>
      <c r="K89" s="72"/>
    </row>
    <row r="90" spans="1:11" s="69" customFormat="1" ht="21.75" customHeight="1">
      <c r="A90" s="9"/>
      <c r="B90" s="17" t="s">
        <v>168</v>
      </c>
      <c r="C90" s="18">
        <v>30000</v>
      </c>
      <c r="D90" s="97" t="e">
        <f>+#REF!+#REF!+#REF!+#REF!+#REF!+#REF!+#REF!+#REF!+#REF!+#REF!</f>
        <v>#REF!</v>
      </c>
      <c r="E90" s="97" t="e">
        <f>+#REF!+#REF!+#REF!+#REF!+#REF!+#REF!+#REF!+#REF!+#REF!+#REF!+#REF!+#REF!+#REF!</f>
        <v>#REF!</v>
      </c>
      <c r="F90" s="97"/>
      <c r="G90" s="97"/>
      <c r="H90" s="148" t="e">
        <f t="shared" si="10"/>
        <v>#REF!</v>
      </c>
      <c r="I90" s="97" t="e">
        <f t="shared" si="11"/>
        <v>#REF!</v>
      </c>
      <c r="J90" s="72"/>
      <c r="K90" s="72"/>
    </row>
    <row r="91" spans="1:11" s="69" customFormat="1" ht="21.75" customHeight="1">
      <c r="A91" s="9"/>
      <c r="B91" s="17" t="s">
        <v>169</v>
      </c>
      <c r="C91" s="18">
        <f>30000-5000</f>
        <v>25000</v>
      </c>
      <c r="D91" s="97" t="e">
        <f>+#REF!+#REF!+#REF!+#REF!+#REF!+#REF!+#REF!+#REF!+#REF!+#REF!</f>
        <v>#REF!</v>
      </c>
      <c r="E91" s="97" t="e">
        <f>+#REF!+#REF!+#REF!+#REF!+#REF!+#REF!+#REF!+#REF!+#REF!+#REF!+#REF!+#REF!+#REF!</f>
        <v>#REF!</v>
      </c>
      <c r="F91" s="97"/>
      <c r="G91" s="97"/>
      <c r="H91" s="148" t="e">
        <f t="shared" si="10"/>
        <v>#REF!</v>
      </c>
      <c r="I91" s="97" t="e">
        <f t="shared" si="11"/>
        <v>#REF!</v>
      </c>
      <c r="J91" s="72"/>
      <c r="K91" s="72"/>
    </row>
    <row r="92" spans="1:11" s="69" customFormat="1" ht="21.75" customHeight="1">
      <c r="A92" s="9"/>
      <c r="B92" s="17" t="s">
        <v>170</v>
      </c>
      <c r="C92" s="18">
        <f>30000+10000</f>
        <v>40000</v>
      </c>
      <c r="D92" s="97" t="e">
        <f>+#REF!+#REF!+#REF!+#REF!+#REF!+#REF!+#REF!+#REF!+#REF!+#REF!</f>
        <v>#REF!</v>
      </c>
      <c r="E92" s="97" t="e">
        <f>+#REF!+#REF!+#REF!+#REF!+#REF!+#REF!+#REF!+#REF!+#REF!+#REF!+#REF!+#REF!+#REF!</f>
        <v>#REF!</v>
      </c>
      <c r="F92" s="97"/>
      <c r="G92" s="97"/>
      <c r="H92" s="148" t="e">
        <f t="shared" si="10"/>
        <v>#REF!</v>
      </c>
      <c r="I92" s="97" t="e">
        <f t="shared" si="11"/>
        <v>#REF!</v>
      </c>
      <c r="J92" s="72"/>
      <c r="K92" s="72"/>
    </row>
    <row r="93" spans="1:11" s="69" customFormat="1" ht="21.75" customHeight="1">
      <c r="A93" s="9"/>
      <c r="B93" s="17" t="s">
        <v>171</v>
      </c>
      <c r="C93" s="18">
        <v>30000</v>
      </c>
      <c r="D93" s="97" t="e">
        <f>+#REF!+#REF!+#REF!+#REF!+#REF!+#REF!+#REF!+#REF!+#REF!+#REF!</f>
        <v>#REF!</v>
      </c>
      <c r="E93" s="97" t="e">
        <f>+#REF!+#REF!+#REF!+#REF!+#REF!+#REF!+#REF!+#REF!+#REF!+#REF!+#REF!+#REF!+#REF!</f>
        <v>#REF!</v>
      </c>
      <c r="F93" s="97"/>
      <c r="G93" s="97"/>
      <c r="H93" s="148" t="e">
        <f t="shared" si="10"/>
        <v>#REF!</v>
      </c>
      <c r="I93" s="97" t="e">
        <f t="shared" si="11"/>
        <v>#REF!</v>
      </c>
      <c r="J93" s="72"/>
      <c r="K93" s="72"/>
    </row>
    <row r="94" spans="1:11" s="69" customFormat="1" ht="21.75" customHeight="1">
      <c r="A94" s="9"/>
      <c r="B94" s="17" t="s">
        <v>172</v>
      </c>
      <c r="C94" s="18">
        <v>144000</v>
      </c>
      <c r="D94" s="97" t="e">
        <f>+#REF!+#REF!+#REF!+#REF!+#REF!+#REF!+#REF!+#REF!+#REF!+#REF!</f>
        <v>#REF!</v>
      </c>
      <c r="E94" s="97" t="e">
        <f>+#REF!+#REF!+#REF!+#REF!+#REF!+#REF!+#REF!+#REF!+#REF!+#REF!+#REF!+#REF!+#REF!</f>
        <v>#REF!</v>
      </c>
      <c r="F94" s="97"/>
      <c r="G94" s="97"/>
      <c r="H94" s="148" t="e">
        <f t="shared" si="10"/>
        <v>#REF!</v>
      </c>
      <c r="I94" s="97" t="e">
        <f t="shared" si="11"/>
        <v>#REF!</v>
      </c>
      <c r="J94" s="72"/>
      <c r="K94" s="72"/>
    </row>
    <row r="95" spans="1:11" s="72" customFormat="1" ht="21.75" customHeight="1">
      <c r="A95" s="9"/>
      <c r="B95" s="17" t="s">
        <v>194</v>
      </c>
      <c r="C95" s="18">
        <f>10000-5000</f>
        <v>5000</v>
      </c>
      <c r="D95" s="97" t="e">
        <f>+#REF!+#REF!+#REF!+#REF!+#REF!+#REF!+#REF!+#REF!+#REF!+#REF!</f>
        <v>#REF!</v>
      </c>
      <c r="E95" s="97" t="e">
        <f>+#REF!+#REF!+#REF!+#REF!+#REF!+#REF!+#REF!+#REF!+#REF!+#REF!+#REF!+#REF!+#REF!</f>
        <v>#REF!</v>
      </c>
      <c r="F95" s="97"/>
      <c r="G95" s="97"/>
      <c r="H95" s="148" t="e">
        <f t="shared" si="10"/>
        <v>#REF!</v>
      </c>
      <c r="I95" s="97" t="e">
        <f t="shared" si="11"/>
        <v>#REF!</v>
      </c>
    </row>
    <row r="96" spans="1:11" s="69" customFormat="1" ht="21.75" customHeight="1">
      <c r="A96" s="9"/>
      <c r="B96" s="17" t="s">
        <v>173</v>
      </c>
      <c r="C96" s="18">
        <v>10000</v>
      </c>
      <c r="D96" s="97" t="e">
        <f>+#REF!+#REF!+#REF!+#REF!+#REF!+#REF!+#REF!+#REF!+#REF!+#REF!</f>
        <v>#REF!</v>
      </c>
      <c r="E96" s="97" t="e">
        <f>+#REF!+#REF!+#REF!+#REF!+#REF!+#REF!+#REF!+#REF!+#REF!+#REF!+#REF!+#REF!+#REF!</f>
        <v>#REF!</v>
      </c>
      <c r="F96" s="97"/>
      <c r="G96" s="97"/>
      <c r="H96" s="148" t="e">
        <f t="shared" si="10"/>
        <v>#REF!</v>
      </c>
      <c r="I96" s="101" t="e">
        <f t="shared" si="11"/>
        <v>#REF!</v>
      </c>
      <c r="J96" s="72"/>
      <c r="K96" s="72"/>
    </row>
    <row r="97" spans="1:11" s="67" customFormat="1" ht="21.75" customHeight="1">
      <c r="A97" s="9"/>
      <c r="B97" s="17" t="s">
        <v>174</v>
      </c>
      <c r="C97" s="18">
        <v>5000</v>
      </c>
      <c r="D97" s="97" t="e">
        <f>+#REF!+#REF!+#REF!+#REF!+#REF!+#REF!+#REF!+#REF!+#REF!+#REF!</f>
        <v>#REF!</v>
      </c>
      <c r="E97" s="97" t="e">
        <f>+#REF!+#REF!+#REF!+#REF!+#REF!+#REF!+#REF!+#REF!+#REF!+#REF!+#REF!+#REF!+#REF!</f>
        <v>#REF!</v>
      </c>
      <c r="F97" s="97"/>
      <c r="G97" s="97"/>
      <c r="H97" s="148" t="e">
        <f t="shared" si="10"/>
        <v>#REF!</v>
      </c>
      <c r="I97" s="97" t="e">
        <f t="shared" si="11"/>
        <v>#REF!</v>
      </c>
      <c r="J97" s="79"/>
      <c r="K97" s="81"/>
    </row>
    <row r="98" spans="1:11" s="69" customFormat="1" ht="21.75" customHeight="1">
      <c r="A98" s="9"/>
      <c r="B98" s="17" t="s">
        <v>175</v>
      </c>
      <c r="C98" s="18">
        <v>20000</v>
      </c>
      <c r="D98" s="97" t="e">
        <f>+#REF!+#REF!+#REF!+#REF!+#REF!+#REF!+#REF!+#REF!+#REF!+#REF!</f>
        <v>#REF!</v>
      </c>
      <c r="E98" s="97" t="e">
        <f>+#REF!+#REF!+#REF!+#REF!+#REF!+#REF!+#REF!+#REF!+#REF!+#REF!+#REF!+#REF!+#REF!</f>
        <v>#REF!</v>
      </c>
      <c r="F98" s="97"/>
      <c r="G98" s="97"/>
      <c r="H98" s="148" t="e">
        <f t="shared" si="10"/>
        <v>#REF!</v>
      </c>
      <c r="I98" s="97" t="e">
        <f t="shared" si="11"/>
        <v>#REF!</v>
      </c>
      <c r="J98" s="72"/>
      <c r="K98" s="72"/>
    </row>
    <row r="99" spans="1:11" s="69" customFormat="1" ht="21.75" customHeight="1">
      <c r="A99" s="9"/>
      <c r="B99" s="17" t="s">
        <v>189</v>
      </c>
      <c r="C99" s="116">
        <v>22000</v>
      </c>
      <c r="D99" s="97" t="e">
        <f>+#REF!+#REF!+#REF!+#REF!+#REF!+#REF!+#REF!+#REF!+#REF!+#REF!</f>
        <v>#REF!</v>
      </c>
      <c r="E99" s="97" t="e">
        <f>+#REF!+#REF!+#REF!+#REF!+#REF!+#REF!+#REF!+#REF!+#REF!+#REF!+#REF!+#REF!+#REF!</f>
        <v>#REF!</v>
      </c>
      <c r="F99" s="109"/>
      <c r="G99" s="109"/>
      <c r="H99" s="148" t="e">
        <f t="shared" si="10"/>
        <v>#REF!</v>
      </c>
      <c r="I99" s="97" t="e">
        <f t="shared" si="11"/>
        <v>#REF!</v>
      </c>
      <c r="J99" s="72"/>
      <c r="K99" s="72"/>
    </row>
    <row r="100" spans="1:11" s="67" customFormat="1" ht="18" customHeight="1" thickBot="1">
      <c r="A100" s="80"/>
      <c r="B100" s="14" t="s">
        <v>5</v>
      </c>
      <c r="C100" s="76">
        <f>SUM(C49:C99)</f>
        <v>4882670</v>
      </c>
      <c r="D100" s="76" t="e">
        <f>SUM(D49:D99)</f>
        <v>#REF!</v>
      </c>
      <c r="E100" s="76" t="e">
        <f>SUM(E49:E99)</f>
        <v>#REF!</v>
      </c>
      <c r="F100" s="76">
        <f>SUM(F88:F98)</f>
        <v>0</v>
      </c>
      <c r="G100" s="118">
        <f>SUM(G88:G98)</f>
        <v>0</v>
      </c>
      <c r="H100" s="156" t="e">
        <f>SUM(H49:H99)</f>
        <v>#REF!</v>
      </c>
      <c r="I100" s="77" t="e">
        <f t="shared" si="11"/>
        <v>#REF!</v>
      </c>
      <c r="J100" s="81" t="s">
        <v>190</v>
      </c>
      <c r="K100" s="79" t="e">
        <f>1939782.8-H100</f>
        <v>#REF!</v>
      </c>
    </row>
    <row r="101" spans="1:11" s="67" customFormat="1" ht="18" customHeight="1" thickTop="1">
      <c r="A101" s="3" t="s">
        <v>113</v>
      </c>
      <c r="B101" s="4"/>
      <c r="C101" s="125"/>
      <c r="D101" s="100"/>
      <c r="E101" s="100"/>
      <c r="F101" s="100"/>
      <c r="G101" s="100"/>
      <c r="H101" s="157"/>
      <c r="I101" s="99"/>
      <c r="J101" s="81"/>
      <c r="K101" s="81"/>
    </row>
    <row r="102" spans="1:11" s="67" customFormat="1" ht="18" customHeight="1">
      <c r="A102" s="9"/>
      <c r="B102" s="6" t="s">
        <v>111</v>
      </c>
      <c r="C102" s="7">
        <f>70000+25000+5000+25000+15000+20000</f>
        <v>160000</v>
      </c>
      <c r="D102" s="126" t="e">
        <f>+#REF!+#REF!+#REF!+#REF!+#REF!+#REF!+#REF!+#REF!+#REF!+#REF!+#REF!+#REF!+#REF!+#REF!+#REF!+#REF!+#REF!+#REF!+#REF!+#REF!+#REF!+#REF!+#REF!+#REF!+#REF!+#REF!+#REF!+#REF!+#REF!+#REF!+#REF!+#REF!+#REF!</f>
        <v>#REF!</v>
      </c>
      <c r="E102" s="126" t="e">
        <f>+#REF!+#REF!+#REF!+#REF!+#REF!+#REF!+#REF!+#REF!</f>
        <v>#REF!</v>
      </c>
      <c r="F102" s="126"/>
      <c r="G102" s="126"/>
      <c r="H102" s="158" t="e">
        <f>+D102+E102+F102+G102</f>
        <v>#REF!</v>
      </c>
      <c r="I102" s="127" t="e">
        <f t="shared" ref="I102:I117" si="12">+C102-H102</f>
        <v>#REF!</v>
      </c>
      <c r="J102" s="81"/>
      <c r="K102" s="81"/>
    </row>
    <row r="103" spans="1:11" s="67" customFormat="1" ht="18" customHeight="1">
      <c r="A103" s="9"/>
      <c r="B103" s="6" t="s">
        <v>16</v>
      </c>
      <c r="C103" s="7">
        <f>10000+5000+100000+25000+5000</f>
        <v>145000</v>
      </c>
      <c r="D103" s="126" t="e">
        <f>+#REF!+#REF!+#REF!+#REF!+#REF!+#REF!+#REF!+#REF!+#REF!+#REF!+#REF!+#REF!+#REF!+#REF!+#REF!+#REF!+#REF!+#REF!+#REF!+#REF!+#REF!+#REF!+#REF!+#REF!+#REF!+#REF!+#REF!+#REF!+#REF!+#REF!+#REF!+#REF!+#REF!</f>
        <v>#REF!</v>
      </c>
      <c r="E103" s="126" t="e">
        <f>+#REF!+#REF!+#REF!+#REF!+#REF!+#REF!+#REF!+#REF!</f>
        <v>#REF!</v>
      </c>
      <c r="F103" s="126"/>
      <c r="G103" s="126"/>
      <c r="H103" s="158" t="e">
        <f t="shared" ref="H103:H116" si="13">+D103+E103+F103+G103</f>
        <v>#REF!</v>
      </c>
      <c r="I103" s="127" t="e">
        <f t="shared" si="12"/>
        <v>#REF!</v>
      </c>
      <c r="J103" s="81"/>
      <c r="K103" s="81"/>
    </row>
    <row r="104" spans="1:11" s="67" customFormat="1" ht="18" customHeight="1">
      <c r="A104" s="9"/>
      <c r="B104" s="6" t="s">
        <v>12</v>
      </c>
      <c r="C104" s="7">
        <f>10000+10000</f>
        <v>20000</v>
      </c>
      <c r="D104" s="126" t="e">
        <f>+#REF!+#REF!+#REF!+#REF!+#REF!+#REF!+#REF!+#REF!+#REF!+#REF!+#REF!+#REF!+#REF!+#REF!+#REF!+#REF!+#REF!+#REF!+#REF!+#REF!+#REF!+#REF!+#REF!+#REF!+#REF!+#REF!+#REF!+#REF!+#REF!+#REF!+#REF!+#REF!+#REF!</f>
        <v>#REF!</v>
      </c>
      <c r="E104" s="126" t="e">
        <f>+#REF!+#REF!+#REF!+#REF!+#REF!+#REF!+#REF!+#REF!</f>
        <v>#REF!</v>
      </c>
      <c r="F104" s="126"/>
      <c r="G104" s="126"/>
      <c r="H104" s="158" t="e">
        <f t="shared" si="13"/>
        <v>#REF!</v>
      </c>
      <c r="I104" s="127" t="e">
        <f t="shared" si="12"/>
        <v>#REF!</v>
      </c>
      <c r="J104" s="81"/>
      <c r="K104" s="81"/>
    </row>
    <row r="105" spans="1:11" s="67" customFormat="1" ht="18" customHeight="1">
      <c r="A105" s="9"/>
      <c r="B105" s="6" t="s">
        <v>17</v>
      </c>
      <c r="C105" s="7">
        <f>10000+30000+30000+5000+27000</f>
        <v>102000</v>
      </c>
      <c r="D105" s="126" t="e">
        <f>+#REF!+#REF!+#REF!+#REF!+#REF!+#REF!+#REF!+#REF!+#REF!+#REF!+#REF!+#REF!+#REF!+#REF!+#REF!+#REF!+#REF!+#REF!+#REF!+#REF!+#REF!+#REF!+#REF!+#REF!+#REF!+#REF!+#REF!+#REF!+#REF!+#REF!+#REF!+#REF!+#REF!</f>
        <v>#REF!</v>
      </c>
      <c r="E105" s="126" t="e">
        <f>+#REF!+#REF!+#REF!+#REF!+#REF!+#REF!+#REF!+#REF!</f>
        <v>#REF!</v>
      </c>
      <c r="F105" s="126"/>
      <c r="G105" s="126"/>
      <c r="H105" s="158" t="e">
        <f t="shared" si="13"/>
        <v>#REF!</v>
      </c>
      <c r="I105" s="127" t="e">
        <f t="shared" si="12"/>
        <v>#REF!</v>
      </c>
      <c r="J105" s="81"/>
      <c r="K105" s="81"/>
    </row>
    <row r="106" spans="1:11" s="67" customFormat="1" ht="18" customHeight="1">
      <c r="A106" s="9"/>
      <c r="B106" s="6" t="s">
        <v>13</v>
      </c>
      <c r="C106" s="7">
        <f>20000+56800</f>
        <v>76800</v>
      </c>
      <c r="D106" s="126" t="e">
        <f>+#REF!+#REF!+#REF!+#REF!+#REF!+#REF!+#REF!+#REF!+#REF!+#REF!+#REF!+#REF!+#REF!+#REF!+#REF!+#REF!+#REF!+#REF!+#REF!+#REF!+#REF!+#REF!+#REF!+#REF!+#REF!+#REF!+#REF!+#REF!+#REF!+#REF!+#REF!+#REF!+#REF!</f>
        <v>#REF!</v>
      </c>
      <c r="E106" s="126" t="e">
        <f>+#REF!+#REF!+#REF!+#REF!+#REF!+#REF!+#REF!+#REF!</f>
        <v>#REF!</v>
      </c>
      <c r="F106" s="126"/>
      <c r="G106" s="126"/>
      <c r="H106" s="158" t="e">
        <f t="shared" si="13"/>
        <v>#REF!</v>
      </c>
      <c r="I106" s="127" t="e">
        <f t="shared" si="12"/>
        <v>#REF!</v>
      </c>
      <c r="J106" s="81"/>
      <c r="K106" s="81"/>
    </row>
    <row r="107" spans="1:11" s="67" customFormat="1" ht="18" customHeight="1">
      <c r="A107" s="9"/>
      <c r="B107" s="6" t="s">
        <v>14</v>
      </c>
      <c r="C107" s="7">
        <f>250000+5000+50000-10000-20000</f>
        <v>275000</v>
      </c>
      <c r="D107" s="126" t="e">
        <f>+#REF!+#REF!+#REF!+#REF!+#REF!+#REF!+#REF!+#REF!+#REF!+#REF!+#REF!+#REF!+#REF!+#REF!+#REF!+#REF!+#REF!+#REF!+#REF!+#REF!+#REF!+#REF!+#REF!+#REF!+#REF!+#REF!+#REF!+#REF!+#REF!+#REF!+#REF!+#REF!+#REF!</f>
        <v>#REF!</v>
      </c>
      <c r="E107" s="126" t="e">
        <f>+#REF!+#REF!+#REF!+#REF!+#REF!+#REF!+#REF!+#REF!</f>
        <v>#REF!</v>
      </c>
      <c r="F107" s="126"/>
      <c r="G107" s="126"/>
      <c r="H107" s="158" t="e">
        <f t="shared" si="13"/>
        <v>#REF!</v>
      </c>
      <c r="I107" s="127" t="e">
        <f t="shared" si="12"/>
        <v>#REF!</v>
      </c>
      <c r="J107" s="81"/>
      <c r="K107" s="81"/>
    </row>
    <row r="108" spans="1:11" s="67" customFormat="1" ht="18" customHeight="1">
      <c r="A108" s="9"/>
      <c r="B108" s="6" t="s">
        <v>112</v>
      </c>
      <c r="C108" s="7">
        <f>30000+10000+5000</f>
        <v>45000</v>
      </c>
      <c r="D108" s="126" t="e">
        <f>+#REF!+#REF!+#REF!+#REF!+#REF!+#REF!+#REF!+#REF!+#REF!+#REF!+#REF!+#REF!+#REF!+#REF!+#REF!+#REF!+#REF!+#REF!+#REF!+#REF!+#REF!+#REF!+#REF!+#REF!+#REF!+#REF!+#REF!+#REF!+#REF!+#REF!+#REF!+#REF!+#REF!</f>
        <v>#REF!</v>
      </c>
      <c r="E108" s="126" t="e">
        <f>+#REF!+#REF!+#REF!+#REF!+#REF!+#REF!+#REF!+#REF!</f>
        <v>#REF!</v>
      </c>
      <c r="F108" s="126"/>
      <c r="G108" s="126"/>
      <c r="H108" s="158" t="e">
        <f t="shared" si="13"/>
        <v>#REF!</v>
      </c>
      <c r="I108" s="127" t="e">
        <f t="shared" si="12"/>
        <v>#REF!</v>
      </c>
      <c r="J108" s="81"/>
      <c r="K108" s="81"/>
    </row>
    <row r="109" spans="1:11" s="67" customFormat="1" ht="18" customHeight="1">
      <c r="A109" s="9"/>
      <c r="B109" s="6" t="s">
        <v>15</v>
      </c>
      <c r="C109" s="7">
        <f>70000+20000+20000+20000+10000+7000+10000</f>
        <v>157000</v>
      </c>
      <c r="D109" s="126" t="e">
        <f>+#REF!+#REF!+#REF!+#REF!+#REF!+#REF!+#REF!+#REF!+#REF!+#REF!+#REF!+#REF!+#REF!+#REF!+#REF!+#REF!+#REF!+#REF!+#REF!+#REF!+#REF!+#REF!+#REF!+#REF!+#REF!+#REF!+#REF!+#REF!+#REF!+#REF!+#REF!+#REF!+#REF!</f>
        <v>#REF!</v>
      </c>
      <c r="E109" s="126" t="e">
        <f>+#REF!+#REF!+#REF!+#REF!+#REF!+#REF!+#REF!+#REF!</f>
        <v>#REF!</v>
      </c>
      <c r="F109" s="126"/>
      <c r="G109" s="126"/>
      <c r="H109" s="158" t="e">
        <f t="shared" si="13"/>
        <v>#REF!</v>
      </c>
      <c r="I109" s="127" t="e">
        <f t="shared" si="12"/>
        <v>#REF!</v>
      </c>
      <c r="J109" s="81"/>
      <c r="K109" s="81"/>
    </row>
    <row r="110" spans="1:11" s="67" customFormat="1" ht="18" customHeight="1">
      <c r="A110" s="9"/>
      <c r="B110" s="6" t="s">
        <v>19</v>
      </c>
      <c r="C110" s="7">
        <f>10000+20000</f>
        <v>30000</v>
      </c>
      <c r="D110" s="126" t="e">
        <f>+#REF!+#REF!+#REF!+#REF!+#REF!+#REF!+#REF!+#REF!+#REF!+#REF!+#REF!+#REF!+#REF!+#REF!+#REF!+#REF!+#REF!+#REF!+#REF!+#REF!+#REF!+#REF!+#REF!+#REF!+#REF!+#REF!+#REF!+#REF!+#REF!+#REF!+#REF!+#REF!+#REF!</f>
        <v>#REF!</v>
      </c>
      <c r="E110" s="126" t="e">
        <f>+#REF!+#REF!+#REF!+#REF!+#REF!+#REF!+#REF!+#REF!</f>
        <v>#REF!</v>
      </c>
      <c r="F110" s="126"/>
      <c r="G110" s="126"/>
      <c r="H110" s="158" t="e">
        <f t="shared" si="13"/>
        <v>#REF!</v>
      </c>
      <c r="I110" s="127" t="e">
        <f t="shared" si="12"/>
        <v>#REF!</v>
      </c>
      <c r="J110" s="81"/>
      <c r="K110" s="81"/>
    </row>
    <row r="111" spans="1:11" s="67" customFormat="1" ht="18" customHeight="1">
      <c r="A111" s="9"/>
      <c r="B111" s="6" t="s">
        <v>137</v>
      </c>
      <c r="C111" s="7">
        <v>1139320</v>
      </c>
      <c r="D111" s="126" t="e">
        <f>+#REF!+#REF!+#REF!+#REF!+#REF!+#REF!+#REF!+#REF!+#REF!+#REF!+#REF!+#REF!+#REF!+#REF!+#REF!+#REF!+#REF!+#REF!+#REF!+#REF!+#REF!+#REF!+#REF!+#REF!+#REF!+#REF!+#REF!+#REF!+#REF!+#REF!+#REF!+#REF!+#REF!</f>
        <v>#REF!</v>
      </c>
      <c r="E111" s="126" t="e">
        <f>+#REF!+#REF!+#REF!+#REF!+#REF!+#REF!+#REF!+#REF!</f>
        <v>#REF!</v>
      </c>
      <c r="F111" s="126"/>
      <c r="G111" s="126"/>
      <c r="H111" s="158" t="e">
        <f t="shared" si="13"/>
        <v>#REF!</v>
      </c>
      <c r="I111" s="127" t="e">
        <f t="shared" si="12"/>
        <v>#REF!</v>
      </c>
      <c r="J111" s="81"/>
      <c r="K111" s="81"/>
    </row>
    <row r="112" spans="1:11" s="67" customFormat="1" ht="18" customHeight="1">
      <c r="A112" s="9"/>
      <c r="B112" s="6" t="s">
        <v>138</v>
      </c>
      <c r="C112" s="7">
        <f>352800-3920</f>
        <v>348880</v>
      </c>
      <c r="D112" s="126" t="e">
        <f>+#REF!+#REF!+#REF!+#REF!+#REF!+#REF!+#REF!+#REF!+#REF!+#REF!+#REF!+#REF!+#REF!+#REF!+#REF!+#REF!+#REF!+#REF!+#REF!+#REF!+#REF!+#REF!+#REF!+#REF!+#REF!+#REF!+#REF!+#REF!+#REF!+#REF!+#REF!+#REF!+#REF!</f>
        <v>#REF!</v>
      </c>
      <c r="E112" s="126" t="e">
        <f>+#REF!+#REF!+#REF!+#REF!+#REF!+#REF!+#REF!+#REF!</f>
        <v>#REF!</v>
      </c>
      <c r="F112" s="126"/>
      <c r="G112" s="126"/>
      <c r="H112" s="158" t="e">
        <f t="shared" si="13"/>
        <v>#REF!</v>
      </c>
      <c r="I112" s="127" t="e">
        <f t="shared" si="12"/>
        <v>#REF!</v>
      </c>
      <c r="J112" s="81"/>
      <c r="K112" s="81"/>
    </row>
    <row r="113" spans="1:11" s="67" customFormat="1" ht="18" customHeight="1">
      <c r="A113" s="9"/>
      <c r="B113" s="6" t="s">
        <v>145</v>
      </c>
      <c r="C113" s="7">
        <f>60000-25000-5000</f>
        <v>30000</v>
      </c>
      <c r="D113" s="126" t="e">
        <f>+#REF!+#REF!+#REF!+#REF!+#REF!+#REF!+#REF!+#REF!+#REF!+#REF!+#REF!+#REF!+#REF!+#REF!+#REF!+#REF!+#REF!+#REF!+#REF!+#REF!+#REF!+#REF!+#REF!+#REF!+#REF!+#REF!+#REF!+#REF!+#REF!+#REF!+#REF!+#REF!+#REF!</f>
        <v>#REF!</v>
      </c>
      <c r="E113" s="126" t="e">
        <f>+#REF!+#REF!+#REF!+#REF!+#REF!+#REF!+#REF!+#REF!</f>
        <v>#REF!</v>
      </c>
      <c r="F113" s="126"/>
      <c r="G113" s="126"/>
      <c r="H113" s="158" t="e">
        <f t="shared" si="13"/>
        <v>#REF!</v>
      </c>
      <c r="I113" s="127" t="e">
        <f t="shared" si="12"/>
        <v>#REF!</v>
      </c>
      <c r="J113" s="81"/>
      <c r="K113" s="81"/>
    </row>
    <row r="114" spans="1:11" s="67" customFormat="1" ht="18" customHeight="1">
      <c r="A114" s="9"/>
      <c r="B114" s="6" t="s">
        <v>48</v>
      </c>
      <c r="C114" s="7">
        <f>10000-5000</f>
        <v>5000</v>
      </c>
      <c r="D114" s="126" t="e">
        <f>+#REF!+#REF!+#REF!+#REF!+#REF!+#REF!+#REF!+#REF!+#REF!+#REF!+#REF!+#REF!+#REF!+#REF!+#REF!+#REF!+#REF!+#REF!+#REF!+#REF!+#REF!+#REF!+#REF!+#REF!+#REF!+#REF!+#REF!+#REF!+#REF!+#REF!+#REF!+#REF!+#REF!</f>
        <v>#REF!</v>
      </c>
      <c r="E114" s="126" t="e">
        <f>+#REF!+#REF!+#REF!+#REF!+#REF!+#REF!+#REF!+#REF!</f>
        <v>#REF!</v>
      </c>
      <c r="F114" s="126"/>
      <c r="G114" s="126"/>
      <c r="H114" s="158" t="e">
        <f t="shared" si="13"/>
        <v>#REF!</v>
      </c>
      <c r="I114" s="127" t="e">
        <f t="shared" si="12"/>
        <v>#REF!</v>
      </c>
      <c r="J114" s="81"/>
      <c r="K114" s="81"/>
    </row>
    <row r="115" spans="1:11" s="67" customFormat="1" ht="18" customHeight="1">
      <c r="A115" s="9"/>
      <c r="B115" s="6" t="s">
        <v>46</v>
      </c>
      <c r="C115" s="7">
        <v>80000</v>
      </c>
      <c r="D115" s="126" t="e">
        <f>+#REF!+#REF!+#REF!+#REF!+#REF!+#REF!+#REF!+#REF!+#REF!+#REF!+#REF!+#REF!+#REF!+#REF!+#REF!+#REF!+#REF!+#REF!+#REF!+#REF!+#REF!+#REF!+#REF!+#REF!+#REF!+#REF!+#REF!+#REF!+#REF!+#REF!+#REF!+#REF!+#REF!</f>
        <v>#REF!</v>
      </c>
      <c r="E115" s="126" t="e">
        <f>+#REF!+#REF!+#REF!+#REF!+#REF!+#REF!+#REF!+#REF!</f>
        <v>#REF!</v>
      </c>
      <c r="F115" s="126"/>
      <c r="G115" s="126"/>
      <c r="H115" s="158" t="e">
        <f t="shared" si="13"/>
        <v>#REF!</v>
      </c>
      <c r="I115" s="127" t="e">
        <f t="shared" si="12"/>
        <v>#REF!</v>
      </c>
      <c r="J115" s="81"/>
      <c r="K115" s="81"/>
    </row>
    <row r="116" spans="1:11" s="67" customFormat="1" ht="18" customHeight="1">
      <c r="A116" s="9"/>
      <c r="B116" s="6" t="s">
        <v>18</v>
      </c>
      <c r="C116" s="19">
        <v>10000</v>
      </c>
      <c r="D116" s="100" t="e">
        <f>+#REF!+#REF!+#REF!+#REF!+#REF!+#REF!+#REF!+#REF!+#REF!+#REF!+#REF!+#REF!+#REF!+#REF!+#REF!+#REF!+#REF!+#REF!+#REF!+#REF!+#REF!+#REF!+#REF!+#REF!+#REF!+#REF!+#REF!+#REF!+#REF!+#REF!+#REF!+#REF!+#REF!</f>
        <v>#REF!</v>
      </c>
      <c r="E116" s="126" t="e">
        <f>+#REF!+#REF!+#REF!+#REF!+#REF!+#REF!+#REF!+#REF!</f>
        <v>#REF!</v>
      </c>
      <c r="F116" s="100"/>
      <c r="G116" s="100"/>
      <c r="H116" s="157" t="e">
        <f t="shared" si="13"/>
        <v>#REF!</v>
      </c>
      <c r="I116" s="99" t="e">
        <f t="shared" si="12"/>
        <v>#REF!</v>
      </c>
      <c r="J116" s="81"/>
      <c r="K116" s="81"/>
    </row>
    <row r="117" spans="1:11" s="67" customFormat="1" ht="18" customHeight="1" thickBot="1">
      <c r="A117" s="80"/>
      <c r="B117" s="14" t="s">
        <v>5</v>
      </c>
      <c r="C117" s="76">
        <f>SUM(C102:C116)</f>
        <v>2624000</v>
      </c>
      <c r="D117" s="76" t="e">
        <f>SUM(D102:D116)</f>
        <v>#REF!</v>
      </c>
      <c r="E117" s="76" t="e">
        <f>SUM(E106:E116)</f>
        <v>#REF!</v>
      </c>
      <c r="F117" s="76">
        <f>SUM(F106:F116)</f>
        <v>0</v>
      </c>
      <c r="G117" s="76">
        <f>SUM(G106:G116)</f>
        <v>0</v>
      </c>
      <c r="H117" s="155" t="e">
        <f>SUM(H102:H116)</f>
        <v>#REF!</v>
      </c>
      <c r="I117" s="77" t="e">
        <f t="shared" si="12"/>
        <v>#REF!</v>
      </c>
      <c r="J117" s="81"/>
      <c r="K117" s="81"/>
    </row>
    <row r="118" spans="1:11" s="67" customFormat="1" ht="18" customHeight="1" thickTop="1">
      <c r="A118" s="5" t="s">
        <v>114</v>
      </c>
      <c r="B118" s="6"/>
      <c r="C118" s="19"/>
      <c r="D118" s="100"/>
      <c r="E118" s="100"/>
      <c r="F118" s="100"/>
      <c r="G118" s="100"/>
      <c r="H118" s="157"/>
      <c r="I118" s="99"/>
      <c r="J118" s="81"/>
      <c r="K118" s="81"/>
    </row>
    <row r="119" spans="1:11" s="67" customFormat="1" ht="18" customHeight="1">
      <c r="A119" s="9"/>
      <c r="B119" s="6" t="s">
        <v>20</v>
      </c>
      <c r="C119" s="7">
        <f>250000+5000-30000</f>
        <v>225000</v>
      </c>
      <c r="D119" s="126" t="e">
        <f>+#REF!+#REF!+#REF!+#REF!+#REF!+#REF!+#REF!+#REF!+#REF!+#REF!+#REF!+#REF!+#REF!+#REF!+#REF!+#REF!+#REF!+#REF!+#REF!+#REF!+#REF!+#REF!+#REF!+#REF!+#REF!+#REF!+#REF!+#REF!+#REF!+#REF!+#REF!+#REF!+#REF!+#REF!</f>
        <v>#REF!</v>
      </c>
      <c r="E119" s="126" t="e">
        <f>+#REF!+#REF!</f>
        <v>#REF!</v>
      </c>
      <c r="F119" s="126"/>
      <c r="G119" s="126"/>
      <c r="H119" s="158" t="e">
        <f t="shared" ref="H119:H124" si="14">+D119+E119+F119+G119</f>
        <v>#REF!</v>
      </c>
      <c r="I119" s="127" t="e">
        <f t="shared" ref="I119:I130" si="15">+C119-H119</f>
        <v>#REF!</v>
      </c>
      <c r="J119" s="81"/>
      <c r="K119" s="81"/>
    </row>
    <row r="120" spans="1:11" s="67" customFormat="1" ht="18" customHeight="1">
      <c r="A120" s="9"/>
      <c r="B120" s="6" t="s">
        <v>21</v>
      </c>
      <c r="C120" s="7">
        <v>20000</v>
      </c>
      <c r="D120" s="126" t="e">
        <f>+#REF!+#REF!+#REF!+#REF!+#REF!+#REF!+#REF!+#REF!+#REF!+#REF!+#REF!+#REF!+#REF!+#REF!+#REF!+#REF!+#REF!+#REF!+#REF!+#REF!+#REF!+#REF!+#REF!+#REF!+#REF!+#REF!+#REF!+#REF!+#REF!+#REF!+#REF!+#REF!+#REF!+#REF!</f>
        <v>#REF!</v>
      </c>
      <c r="E120" s="126" t="e">
        <f>+#REF!+#REF!</f>
        <v>#REF!</v>
      </c>
      <c r="F120" s="126"/>
      <c r="G120" s="126"/>
      <c r="H120" s="158" t="e">
        <f t="shared" si="14"/>
        <v>#REF!</v>
      </c>
      <c r="I120" s="127" t="e">
        <f t="shared" si="15"/>
        <v>#REF!</v>
      </c>
      <c r="J120" s="81"/>
      <c r="K120" s="81"/>
    </row>
    <row r="121" spans="1:11" s="67" customFormat="1" ht="18" customHeight="1">
      <c r="A121" s="9"/>
      <c r="B121" s="6" t="s">
        <v>22</v>
      </c>
      <c r="C121" s="7">
        <v>20000</v>
      </c>
      <c r="D121" s="126" t="e">
        <f>+#REF!+#REF!+#REF!+#REF!+#REF!+#REF!+#REF!+#REF!+#REF!+#REF!+#REF!+#REF!+#REF!+#REF!+#REF!+#REF!+#REF!+#REF!+#REF!+#REF!+#REF!+#REF!+#REF!+#REF!+#REF!+#REF!+#REF!+#REF!+#REF!+#REF!+#REF!+#REF!+#REF!+#REF!</f>
        <v>#REF!</v>
      </c>
      <c r="E121" s="126" t="e">
        <f>+#REF!+#REF!</f>
        <v>#REF!</v>
      </c>
      <c r="F121" s="126"/>
      <c r="G121" s="126"/>
      <c r="H121" s="158" t="e">
        <f t="shared" si="14"/>
        <v>#REF!</v>
      </c>
      <c r="I121" s="127" t="e">
        <f t="shared" si="15"/>
        <v>#REF!</v>
      </c>
      <c r="J121" s="81"/>
      <c r="K121" s="81"/>
    </row>
    <row r="122" spans="1:11" s="67" customFormat="1" ht="18" customHeight="1">
      <c r="A122" s="9"/>
      <c r="B122" s="6" t="s">
        <v>23</v>
      </c>
      <c r="C122" s="19">
        <v>80000</v>
      </c>
      <c r="D122" s="100" t="e">
        <f>+#REF!+#REF!+#REF!+#REF!+#REF!+#REF!+#REF!+#REF!+#REF!+#REF!+#REF!+#REF!+#REF!+#REF!+#REF!+#REF!+#REF!+#REF!+#REF!+#REF!+#REF!+#REF!+#REF!+#REF!+#REF!+#REF!+#REF!+#REF!+#REF!+#REF!+#REF!+#REF!+#REF!+#REF!</f>
        <v>#REF!</v>
      </c>
      <c r="E122" s="126" t="e">
        <f>+#REF!+#REF!</f>
        <v>#REF!</v>
      </c>
      <c r="F122" s="100"/>
      <c r="G122" s="100"/>
      <c r="H122" s="158" t="e">
        <f t="shared" si="14"/>
        <v>#REF!</v>
      </c>
      <c r="I122" s="127" t="e">
        <f t="shared" si="15"/>
        <v>#REF!</v>
      </c>
      <c r="J122" s="81"/>
      <c r="K122" s="81"/>
    </row>
    <row r="123" spans="1:11" s="67" customFormat="1" ht="18" customHeight="1" thickBot="1">
      <c r="A123" s="80"/>
      <c r="B123" s="14" t="s">
        <v>5</v>
      </c>
      <c r="C123" s="76">
        <f>SUM(C119:C122)</f>
        <v>345000</v>
      </c>
      <c r="D123" s="76" t="e">
        <f>SUM(D119:D122)</f>
        <v>#REF!</v>
      </c>
      <c r="E123" s="76" t="e">
        <f>SUM(E119:E122)</f>
        <v>#REF!</v>
      </c>
      <c r="F123" s="76">
        <f>SUM(F113:F122)</f>
        <v>0</v>
      </c>
      <c r="G123" s="76">
        <f>SUM(G113:G122)</f>
        <v>0</v>
      </c>
      <c r="H123" s="155" t="e">
        <f t="shared" si="14"/>
        <v>#REF!</v>
      </c>
      <c r="I123" s="77" t="e">
        <f t="shared" si="15"/>
        <v>#REF!</v>
      </c>
      <c r="J123" s="81"/>
      <c r="K123" s="81"/>
    </row>
    <row r="124" spans="1:11" s="67" customFormat="1" ht="21" customHeight="1" thickTop="1">
      <c r="A124" s="3" t="s">
        <v>122</v>
      </c>
      <c r="B124" s="4"/>
      <c r="C124" s="25"/>
      <c r="D124" s="99"/>
      <c r="E124" s="99"/>
      <c r="F124" s="99"/>
      <c r="G124" s="99"/>
      <c r="H124" s="157">
        <f t="shared" si="14"/>
        <v>0</v>
      </c>
      <c r="I124" s="98">
        <f t="shared" si="15"/>
        <v>0</v>
      </c>
      <c r="J124" s="81"/>
      <c r="K124" s="81"/>
    </row>
    <row r="125" spans="1:11" s="67" customFormat="1" ht="21" customHeight="1">
      <c r="A125" s="5"/>
      <c r="B125" s="6" t="s">
        <v>118</v>
      </c>
      <c r="C125" s="27">
        <v>20000</v>
      </c>
      <c r="D125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25" s="97" t="e">
        <f>+#REF!+#REF!+#REF!+#REF!+#REF!+#REF!</f>
        <v>#REF!</v>
      </c>
      <c r="F125" s="97"/>
      <c r="G125" s="97"/>
      <c r="H125" s="148" t="e">
        <f>+D125+E125+F125+G125</f>
        <v>#REF!</v>
      </c>
      <c r="I125" s="97" t="e">
        <f t="shared" si="15"/>
        <v>#REF!</v>
      </c>
      <c r="J125" s="81"/>
      <c r="K125" s="81"/>
    </row>
    <row r="126" spans="1:11" s="67" customFormat="1" ht="21" customHeight="1">
      <c r="A126" s="5"/>
      <c r="B126" s="6" t="s">
        <v>119</v>
      </c>
      <c r="C126" s="27">
        <v>10000</v>
      </c>
      <c r="D126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26" s="97" t="e">
        <f>+#REF!+#REF!+#REF!+#REF!+#REF!+#REF!</f>
        <v>#REF!</v>
      </c>
      <c r="F126" s="97"/>
      <c r="G126" s="97"/>
      <c r="H126" s="148" t="e">
        <f>+D126+E126+F126+G126</f>
        <v>#REF!</v>
      </c>
      <c r="I126" s="97" t="e">
        <f t="shared" si="15"/>
        <v>#REF!</v>
      </c>
      <c r="J126" s="81"/>
      <c r="K126" s="81"/>
    </row>
    <row r="127" spans="1:11" s="67" customFormat="1" ht="21" customHeight="1">
      <c r="A127" s="5"/>
      <c r="B127" s="6" t="s">
        <v>139</v>
      </c>
      <c r="C127" s="7">
        <v>2504000</v>
      </c>
      <c r="D127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27" s="97" t="e">
        <f>+#REF!+#REF!+#REF!+#REF!+#REF!+#REF!</f>
        <v>#REF!</v>
      </c>
      <c r="F127" s="97"/>
      <c r="G127" s="97"/>
      <c r="H127" s="148" t="e">
        <f>+D127+E127+F127+G127</f>
        <v>#REF!</v>
      </c>
      <c r="I127" s="97" t="e">
        <f t="shared" si="15"/>
        <v>#REF!</v>
      </c>
      <c r="J127" s="81"/>
      <c r="K127" s="81"/>
    </row>
    <row r="128" spans="1:11" s="67" customFormat="1" ht="21" customHeight="1">
      <c r="A128" s="5"/>
      <c r="B128" s="6" t="s">
        <v>146</v>
      </c>
      <c r="C128" s="7">
        <v>80000</v>
      </c>
      <c r="D128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28" s="97" t="e">
        <f>+#REF!+#REF!+#REF!+#REF!+#REF!+#REF!</f>
        <v>#REF!</v>
      </c>
      <c r="F128" s="97"/>
      <c r="G128" s="97"/>
      <c r="H128" s="148" t="e">
        <f>+D128+E128+F128+G128</f>
        <v>#REF!</v>
      </c>
      <c r="I128" s="97" t="e">
        <f t="shared" si="15"/>
        <v>#REF!</v>
      </c>
      <c r="J128" s="81"/>
      <c r="K128" s="81"/>
    </row>
    <row r="129" spans="1:11" s="67" customFormat="1" ht="21" customHeight="1">
      <c r="A129" s="5"/>
      <c r="B129" s="6" t="s">
        <v>166</v>
      </c>
      <c r="C129" s="11">
        <v>50000</v>
      </c>
      <c r="D129" s="109" t="e">
        <f>+#REF!+#REF!+#REF!+#REF!+#REF!+#REF!+#REF!+#REF!+#REF!+#REF!+#REF!+#REF!+#REF!+#REF!+#REF!+#REF!+#REF!+#REF!+#REF!+#REF!+#REF!+#REF!+#REF!+#REF!+#REF!+#REF!+#REF!+#REF!+#REF!+#REF!+#REF!+#REF!+#REF!+#REF!</f>
        <v>#REF!</v>
      </c>
      <c r="E129" s="97" t="e">
        <f>+#REF!+#REF!+#REF!+#REF!+#REF!+#REF!</f>
        <v>#REF!</v>
      </c>
      <c r="F129" s="109"/>
      <c r="G129" s="109"/>
      <c r="H129" s="159" t="e">
        <f>+D129+E129+F129+G129</f>
        <v>#REF!</v>
      </c>
      <c r="I129" s="109" t="e">
        <f t="shared" si="15"/>
        <v>#REF!</v>
      </c>
      <c r="J129" s="81"/>
      <c r="K129" s="81"/>
    </row>
    <row r="130" spans="1:11" s="67" customFormat="1" ht="18" customHeight="1" thickBot="1">
      <c r="A130" s="80"/>
      <c r="B130" s="14" t="s">
        <v>5</v>
      </c>
      <c r="C130" s="76">
        <f>SUM(C125:C129)</f>
        <v>2664000</v>
      </c>
      <c r="D130" s="76" t="e">
        <f>SUM(D125:D129)</f>
        <v>#REF!</v>
      </c>
      <c r="E130" s="76" t="e">
        <f>SUM(E126:E129)</f>
        <v>#REF!</v>
      </c>
      <c r="F130" s="76">
        <f>SUM(F119:F129)</f>
        <v>0</v>
      </c>
      <c r="G130" s="76">
        <f>SUM(G119:G129)</f>
        <v>0</v>
      </c>
      <c r="H130" s="155" t="e">
        <f>SUM(H125:H129)</f>
        <v>#REF!</v>
      </c>
      <c r="I130" s="77" t="e">
        <f t="shared" si="15"/>
        <v>#REF!</v>
      </c>
      <c r="J130" s="81"/>
      <c r="K130" s="81"/>
    </row>
    <row r="131" spans="1:11" s="67" customFormat="1" ht="21" customHeight="1" thickTop="1">
      <c r="A131" s="66" t="s">
        <v>71</v>
      </c>
      <c r="B131" s="82"/>
      <c r="C131" s="100"/>
      <c r="D131" s="100"/>
      <c r="E131" s="100"/>
      <c r="F131" s="100"/>
      <c r="G131" s="100"/>
      <c r="H131" s="157"/>
      <c r="I131" s="99"/>
      <c r="J131" s="81"/>
      <c r="K131" s="81"/>
    </row>
    <row r="132" spans="1:11" s="67" customFormat="1" ht="21" customHeight="1">
      <c r="A132" s="66"/>
      <c r="B132" s="128" t="s">
        <v>72</v>
      </c>
      <c r="C132" s="129"/>
      <c r="D132" s="109"/>
      <c r="E132" s="109"/>
      <c r="F132" s="109"/>
      <c r="G132" s="109"/>
      <c r="H132" s="159">
        <f>+D132+E132+F132+G132</f>
        <v>0</v>
      </c>
      <c r="I132" s="109">
        <f>+C132-H132</f>
        <v>0</v>
      </c>
      <c r="J132" s="81"/>
      <c r="K132" s="81"/>
    </row>
    <row r="133" spans="1:11" s="67" customFormat="1" ht="21" customHeight="1" thickBot="1">
      <c r="A133" s="80"/>
      <c r="B133" s="14" t="s">
        <v>5</v>
      </c>
      <c r="C133" s="76">
        <f>SUM(C132)</f>
        <v>0</v>
      </c>
      <c r="D133" s="76">
        <f>SUM(D132)</f>
        <v>0</v>
      </c>
      <c r="E133" s="76" t="e">
        <f>SUM(E129:E132)</f>
        <v>#REF!</v>
      </c>
      <c r="F133" s="76">
        <f>SUM(F132)</f>
        <v>0</v>
      </c>
      <c r="G133" s="76">
        <f>SUM(G132)</f>
        <v>0</v>
      </c>
      <c r="H133" s="160">
        <f>SUM(H132)</f>
        <v>0</v>
      </c>
      <c r="I133" s="77">
        <f>+C133-H133</f>
        <v>0</v>
      </c>
      <c r="J133" s="81"/>
      <c r="K133" s="81"/>
    </row>
    <row r="134" spans="1:11" s="67" customFormat="1" ht="21" customHeight="1" thickTop="1">
      <c r="A134" s="20" t="s">
        <v>115</v>
      </c>
      <c r="B134" s="21"/>
      <c r="C134" s="28"/>
      <c r="D134" s="100"/>
      <c r="E134" s="100"/>
      <c r="F134" s="100"/>
      <c r="G134" s="100"/>
      <c r="H134" s="157"/>
      <c r="I134" s="99"/>
      <c r="J134" s="81"/>
      <c r="K134" s="81"/>
    </row>
    <row r="135" spans="1:11" s="67" customFormat="1" ht="21" customHeight="1">
      <c r="A135" s="20"/>
      <c r="B135" s="22" t="s">
        <v>116</v>
      </c>
      <c r="C135" s="107">
        <v>30000</v>
      </c>
      <c r="D135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35" s="97">
        <v>0</v>
      </c>
      <c r="F135" s="97"/>
      <c r="G135" s="97"/>
      <c r="H135" s="148" t="e">
        <f>+D135+E135+F135+G135</f>
        <v>#REF!</v>
      </c>
      <c r="I135" s="97" t="e">
        <f t="shared" ref="I135:I147" si="16">+C135-H135</f>
        <v>#REF!</v>
      </c>
      <c r="J135" s="81"/>
      <c r="K135" s="81"/>
    </row>
    <row r="136" spans="1:11" s="67" customFormat="1" ht="21" customHeight="1">
      <c r="A136" s="20"/>
      <c r="B136" s="22" t="s">
        <v>117</v>
      </c>
      <c r="C136" s="107">
        <v>787000</v>
      </c>
      <c r="D136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36" s="97">
        <v>0</v>
      </c>
      <c r="F136" s="97"/>
      <c r="G136" s="97"/>
      <c r="H136" s="148" t="e">
        <f t="shared" ref="H136:H145" si="17">+D136+E136+F136+G136</f>
        <v>#REF!</v>
      </c>
      <c r="I136" s="97" t="e">
        <f t="shared" si="16"/>
        <v>#REF!</v>
      </c>
      <c r="J136" s="81"/>
      <c r="K136" s="81"/>
    </row>
    <row r="137" spans="1:11" s="67" customFormat="1" ht="21" customHeight="1">
      <c r="A137" s="20"/>
      <c r="B137" s="22" t="s">
        <v>73</v>
      </c>
      <c r="C137" s="107">
        <f>14000+86700</f>
        <v>100700</v>
      </c>
      <c r="D137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37" s="97">
        <v>0</v>
      </c>
      <c r="F137" s="97"/>
      <c r="G137" s="97"/>
      <c r="H137" s="148" t="e">
        <f t="shared" si="17"/>
        <v>#REF!</v>
      </c>
      <c r="I137" s="97" t="e">
        <f t="shared" si="16"/>
        <v>#REF!</v>
      </c>
      <c r="J137" s="81"/>
      <c r="K137" s="81"/>
    </row>
    <row r="138" spans="1:11" s="67" customFormat="1" ht="21" customHeight="1">
      <c r="A138" s="20"/>
      <c r="B138" s="22" t="s">
        <v>123</v>
      </c>
      <c r="C138" s="107">
        <v>19000</v>
      </c>
      <c r="D138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38" s="97">
        <v>0</v>
      </c>
      <c r="F138" s="97"/>
      <c r="G138" s="97"/>
      <c r="H138" s="148" t="e">
        <f t="shared" si="17"/>
        <v>#REF!</v>
      </c>
      <c r="I138" s="97" t="e">
        <f t="shared" si="16"/>
        <v>#REF!</v>
      </c>
      <c r="J138" s="81"/>
      <c r="K138" s="81"/>
    </row>
    <row r="139" spans="1:11" s="67" customFormat="1" ht="21" customHeight="1">
      <c r="A139" s="20"/>
      <c r="B139" s="22" t="s">
        <v>124</v>
      </c>
      <c r="C139" s="29">
        <v>4200</v>
      </c>
      <c r="D139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39" s="97">
        <v>0</v>
      </c>
      <c r="F139" s="97"/>
      <c r="G139" s="97"/>
      <c r="H139" s="148" t="e">
        <f t="shared" si="17"/>
        <v>#REF!</v>
      </c>
      <c r="I139" s="97" t="e">
        <f t="shared" si="16"/>
        <v>#REF!</v>
      </c>
      <c r="J139" s="81"/>
      <c r="K139" s="81"/>
    </row>
    <row r="140" spans="1:11" s="67" customFormat="1" ht="21" customHeight="1">
      <c r="A140" s="20"/>
      <c r="B140" s="22" t="s">
        <v>125</v>
      </c>
      <c r="C140" s="30">
        <v>1700</v>
      </c>
      <c r="D140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40" s="97">
        <v>0</v>
      </c>
      <c r="F140" s="97"/>
      <c r="G140" s="97"/>
      <c r="H140" s="148" t="e">
        <f t="shared" si="17"/>
        <v>#REF!</v>
      </c>
      <c r="I140" s="97" t="e">
        <f t="shared" si="16"/>
        <v>#REF!</v>
      </c>
      <c r="J140" s="81"/>
      <c r="K140" s="81"/>
    </row>
    <row r="141" spans="1:11" s="67" customFormat="1" ht="21" customHeight="1">
      <c r="A141" s="20"/>
      <c r="B141" s="22" t="s">
        <v>51</v>
      </c>
      <c r="C141" s="29">
        <v>4000</v>
      </c>
      <c r="D141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41" s="97">
        <v>0</v>
      </c>
      <c r="F141" s="97"/>
      <c r="G141" s="97"/>
      <c r="H141" s="148" t="e">
        <f t="shared" si="17"/>
        <v>#REF!</v>
      </c>
      <c r="I141" s="97" t="e">
        <f t="shared" si="16"/>
        <v>#REF!</v>
      </c>
      <c r="J141" s="81"/>
      <c r="K141" s="81"/>
    </row>
    <row r="142" spans="1:11" s="69" customFormat="1" ht="21" customHeight="1">
      <c r="A142" s="20"/>
      <c r="B142" s="22" t="s">
        <v>126</v>
      </c>
      <c r="C142" s="29">
        <v>5500</v>
      </c>
      <c r="D142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42" s="97">
        <v>0</v>
      </c>
      <c r="F142" s="97"/>
      <c r="G142" s="97"/>
      <c r="H142" s="148" t="e">
        <f t="shared" si="17"/>
        <v>#REF!</v>
      </c>
      <c r="I142" s="97" t="e">
        <f t="shared" si="16"/>
        <v>#REF!</v>
      </c>
      <c r="J142" s="72"/>
      <c r="K142" s="72"/>
    </row>
    <row r="143" spans="1:11" s="69" customFormat="1" ht="21" customHeight="1">
      <c r="A143" s="20"/>
      <c r="B143" s="22" t="s">
        <v>74</v>
      </c>
      <c r="C143" s="29">
        <f>35000-7000</f>
        <v>28000</v>
      </c>
      <c r="D143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43" s="97">
        <v>0</v>
      </c>
      <c r="F143" s="97"/>
      <c r="G143" s="97"/>
      <c r="H143" s="148" t="e">
        <f t="shared" si="17"/>
        <v>#REF!</v>
      </c>
      <c r="I143" s="97" t="e">
        <f t="shared" si="16"/>
        <v>#REF!</v>
      </c>
      <c r="J143" s="72"/>
      <c r="K143" s="72"/>
    </row>
    <row r="144" spans="1:11" s="69" customFormat="1" ht="21" customHeight="1">
      <c r="A144" s="20"/>
      <c r="B144" s="22" t="s">
        <v>184</v>
      </c>
      <c r="C144" s="115">
        <v>100000</v>
      </c>
      <c r="D144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44" s="97">
        <v>0</v>
      </c>
      <c r="F144" s="97"/>
      <c r="G144" s="97"/>
      <c r="H144" s="148" t="e">
        <f t="shared" si="17"/>
        <v>#REF!</v>
      </c>
      <c r="I144" s="97" t="e">
        <f t="shared" si="16"/>
        <v>#REF!</v>
      </c>
      <c r="J144" s="72"/>
      <c r="K144" s="72"/>
    </row>
    <row r="145" spans="1:11" s="69" customFormat="1" ht="21" customHeight="1">
      <c r="A145" s="20"/>
      <c r="B145" s="22" t="s">
        <v>187</v>
      </c>
      <c r="C145" s="115">
        <v>10000</v>
      </c>
      <c r="D145" s="109" t="e">
        <f>+#REF!+#REF!+#REF!+#REF!+#REF!+#REF!+#REF!+#REF!+#REF!+#REF!+#REF!+#REF!+#REF!+#REF!+#REF!+#REF!+#REF!+#REF!+#REF!+#REF!+#REF!+#REF!+#REF!+#REF!+#REF!+#REF!+#REF!+#REF!+#REF!+#REF!+#REF!+#REF!+#REF!+#REF!</f>
        <v>#REF!</v>
      </c>
      <c r="E145" s="97">
        <v>0</v>
      </c>
      <c r="F145" s="109"/>
      <c r="G145" s="109"/>
      <c r="H145" s="159" t="e">
        <f t="shared" si="17"/>
        <v>#REF!</v>
      </c>
      <c r="I145" s="109" t="e">
        <f t="shared" si="16"/>
        <v>#REF!</v>
      </c>
      <c r="J145" s="72"/>
      <c r="K145" s="72"/>
    </row>
    <row r="146" spans="1:11" s="69" customFormat="1" ht="21" customHeight="1">
      <c r="A146" s="20"/>
      <c r="B146" s="22" t="s">
        <v>193</v>
      </c>
      <c r="C146" s="115">
        <f>65000</f>
        <v>65000</v>
      </c>
      <c r="D146" s="109"/>
      <c r="E146" s="97">
        <v>0</v>
      </c>
      <c r="F146" s="103"/>
      <c r="G146" s="103"/>
      <c r="H146" s="153"/>
      <c r="I146" s="109">
        <f t="shared" si="16"/>
        <v>65000</v>
      </c>
      <c r="J146" s="72"/>
      <c r="K146" s="72"/>
    </row>
    <row r="147" spans="1:11" s="67" customFormat="1" ht="18" customHeight="1" thickBot="1">
      <c r="A147" s="80"/>
      <c r="B147" s="14" t="s">
        <v>5</v>
      </c>
      <c r="C147" s="76">
        <f>SUM(C135:C146)</f>
        <v>1155100</v>
      </c>
      <c r="D147" s="76" t="e">
        <f>SUM(D135:D145)</f>
        <v>#REF!</v>
      </c>
      <c r="E147" s="76" t="e">
        <f>SUM(E133:E143)</f>
        <v>#REF!</v>
      </c>
      <c r="F147" s="76">
        <f>SUM(F133:F143)</f>
        <v>0</v>
      </c>
      <c r="G147" s="76">
        <f>SUM(G133:G143)</f>
        <v>0</v>
      </c>
      <c r="H147" s="155" t="e">
        <f>SUM(H135:H145)</f>
        <v>#REF!</v>
      </c>
      <c r="I147" s="77" t="e">
        <f t="shared" si="16"/>
        <v>#REF!</v>
      </c>
      <c r="J147" s="81"/>
      <c r="K147" s="81"/>
    </row>
    <row r="148" spans="1:11" s="69" customFormat="1" ht="21" customHeight="1" thickTop="1">
      <c r="A148" s="48" t="s">
        <v>149</v>
      </c>
      <c r="B148" s="49"/>
      <c r="C148" s="125"/>
      <c r="D148" s="109"/>
      <c r="E148" s="109"/>
      <c r="F148" s="109"/>
      <c r="G148" s="109"/>
      <c r="H148" s="159"/>
      <c r="I148" s="109"/>
      <c r="J148" s="72"/>
      <c r="K148" s="72"/>
    </row>
    <row r="149" spans="1:11" s="69" customFormat="1" ht="21" customHeight="1">
      <c r="A149" s="50"/>
      <c r="B149" s="4" t="s">
        <v>150</v>
      </c>
      <c r="C149" s="120">
        <v>276000</v>
      </c>
      <c r="D149" s="97" t="e">
        <f>+#REF!+#REF!+#REF!+#REF!+#REF!+#REF!+#REF!+#REF!+#REF!+#REF!+#REF!+#REF!+#REF!+#REF!+#REF!+#REF!+#REF!+#REF!+#REF!+#REF!+#REF!+#REF!+#REF!+#REF!+#REF!+#REF!+#REF!+#REF!+#REF!+#REF!+#REF!+#REF!+#REF!</f>
        <v>#REF!</v>
      </c>
      <c r="E149" s="97"/>
      <c r="F149" s="97"/>
      <c r="G149" s="97"/>
      <c r="H149" s="148" t="e">
        <f>+D149+E149+F149+G149</f>
        <v>#REF!</v>
      </c>
      <c r="I149" s="97" t="e">
        <f t="shared" ref="I149:I155" si="18">+C149-H149</f>
        <v>#REF!</v>
      </c>
      <c r="J149" s="72"/>
      <c r="K149" s="72"/>
    </row>
    <row r="150" spans="1:11" s="69" customFormat="1" ht="21" customHeight="1">
      <c r="A150" s="9"/>
      <c r="B150" s="6" t="s">
        <v>151</v>
      </c>
      <c r="C150" s="7">
        <v>308000</v>
      </c>
      <c r="D150" s="97" t="e">
        <f>+#REF!+#REF!+#REF!+#REF!+#REF!+#REF!+#REF!+#REF!+#REF!+#REF!+#REF!+#REF!+#REF!+#REF!+#REF!+#REF!+#REF!+#REF!+#REF!+#REF!+#REF!+#REF!+#REF!+#REF!+#REF!+#REF!+#REF!+#REF!+#REF!+#REF!+#REF!+#REF!+#REF!</f>
        <v>#REF!</v>
      </c>
      <c r="E150" s="97"/>
      <c r="F150" s="97"/>
      <c r="G150" s="97"/>
      <c r="H150" s="148" t="e">
        <f t="shared" ref="H150:H155" si="19">+D150+E150+F150+G150</f>
        <v>#REF!</v>
      </c>
      <c r="I150" s="97" t="e">
        <f t="shared" si="18"/>
        <v>#REF!</v>
      </c>
      <c r="J150" s="72"/>
      <c r="K150" s="72"/>
    </row>
    <row r="151" spans="1:11" s="69" customFormat="1" ht="21" customHeight="1">
      <c r="A151" s="9"/>
      <c r="B151" s="6" t="s">
        <v>152</v>
      </c>
      <c r="C151" s="7">
        <v>397000</v>
      </c>
      <c r="D151" s="97" t="e">
        <f>+#REF!+#REF!+#REF!+#REF!+#REF!+#REF!+#REF!+#REF!+#REF!+#REF!+#REF!+#REF!+#REF!+#REF!+#REF!+#REF!+#REF!+#REF!+#REF!+#REF!+#REF!+#REF!+#REF!+#REF!+#REF!+#REF!+#REF!+#REF!+#REF!+#REF!+#REF!+#REF!+#REF!</f>
        <v>#REF!</v>
      </c>
      <c r="E151" s="97"/>
      <c r="F151" s="97"/>
      <c r="G151" s="97"/>
      <c r="H151" s="148" t="e">
        <f t="shared" si="19"/>
        <v>#REF!</v>
      </c>
      <c r="I151" s="97" t="e">
        <f t="shared" si="18"/>
        <v>#REF!</v>
      </c>
      <c r="J151" s="72"/>
      <c r="K151" s="72"/>
    </row>
    <row r="152" spans="1:11" s="69" customFormat="1" ht="21" customHeight="1">
      <c r="A152" s="9"/>
      <c r="B152" s="54" t="s">
        <v>153</v>
      </c>
      <c r="C152" s="31">
        <v>176000</v>
      </c>
      <c r="D152" s="97" t="e">
        <f>+#REF!+#REF!+#REF!+#REF!+#REF!+#REF!+#REF!+#REF!+#REF!+#REF!+#REF!+#REF!+#REF!+#REF!+#REF!+#REF!+#REF!+#REF!+#REF!+#REF!+#REF!+#REF!+#REF!+#REF!+#REF!+#REF!+#REF!+#REF!+#REF!+#REF!+#REF!+#REF!+#REF!</f>
        <v>#REF!</v>
      </c>
      <c r="E152" s="97"/>
      <c r="F152" s="97"/>
      <c r="G152" s="97"/>
      <c r="H152" s="148" t="e">
        <f t="shared" si="19"/>
        <v>#REF!</v>
      </c>
      <c r="I152" s="97" t="e">
        <f t="shared" si="18"/>
        <v>#REF!</v>
      </c>
      <c r="J152" s="72"/>
      <c r="K152" s="72"/>
    </row>
    <row r="153" spans="1:11" s="69" customFormat="1" ht="21" customHeight="1">
      <c r="A153" s="9"/>
      <c r="B153" s="23" t="s">
        <v>154</v>
      </c>
      <c r="C153" s="31">
        <v>370000</v>
      </c>
      <c r="D153" s="97" t="e">
        <f>+#REF!+#REF!+#REF!+#REF!+#REF!+#REF!+#REF!+#REF!+#REF!+#REF!+#REF!+#REF!+#REF!+#REF!+#REF!+#REF!+#REF!+#REF!+#REF!+#REF!+#REF!+#REF!+#REF!+#REF!+#REF!+#REF!+#REF!+#REF!+#REF!+#REF!+#REF!+#REF!+#REF!</f>
        <v>#REF!</v>
      </c>
      <c r="E153" s="97"/>
      <c r="F153" s="97"/>
      <c r="G153" s="97"/>
      <c r="H153" s="148" t="e">
        <f t="shared" si="19"/>
        <v>#REF!</v>
      </c>
      <c r="I153" s="97" t="e">
        <f t="shared" si="18"/>
        <v>#REF!</v>
      </c>
      <c r="J153" s="72"/>
      <c r="K153" s="72"/>
    </row>
    <row r="154" spans="1:11" s="69" customFormat="1" ht="21" customHeight="1">
      <c r="A154" s="9"/>
      <c r="B154" s="23" t="s">
        <v>155</v>
      </c>
      <c r="C154" s="31">
        <v>286000</v>
      </c>
      <c r="D154" s="97" t="e">
        <f>+#REF!+#REF!+#REF!+#REF!+#REF!+#REF!+#REF!+#REF!+#REF!+#REF!+#REF!+#REF!+#REF!+#REF!+#REF!+#REF!+#REF!+#REF!+#REF!+#REF!+#REF!+#REF!+#REF!+#REF!+#REF!+#REF!+#REF!+#REF!+#REF!+#REF!+#REF!+#REF!+#REF!</f>
        <v>#REF!</v>
      </c>
      <c r="E154" s="97"/>
      <c r="F154" s="97"/>
      <c r="G154" s="97"/>
      <c r="H154" s="148" t="e">
        <f t="shared" si="19"/>
        <v>#REF!</v>
      </c>
      <c r="I154" s="97" t="e">
        <f t="shared" si="18"/>
        <v>#REF!</v>
      </c>
      <c r="J154" s="72"/>
      <c r="K154" s="72"/>
    </row>
    <row r="155" spans="1:11" s="69" customFormat="1" ht="21" customHeight="1">
      <c r="A155" s="9"/>
      <c r="B155" s="23" t="s">
        <v>156</v>
      </c>
      <c r="C155" s="113">
        <v>137000</v>
      </c>
      <c r="D155" s="97" t="e">
        <f>+#REF!+#REF!+#REF!+#REF!+#REF!+#REF!+#REF!+#REF!+#REF!+#REF!+#REF!+#REF!+#REF!+#REF!+#REF!+#REF!+#REF!+#REF!+#REF!+#REF!+#REF!+#REF!+#REF!+#REF!+#REF!+#REF!+#REF!+#REF!+#REF!+#REF!+#REF!+#REF!+#REF!</f>
        <v>#REF!</v>
      </c>
      <c r="E155" s="109"/>
      <c r="F155" s="109"/>
      <c r="G155" s="109"/>
      <c r="H155" s="148" t="e">
        <f t="shared" si="19"/>
        <v>#REF!</v>
      </c>
      <c r="I155" s="97" t="e">
        <f t="shared" si="18"/>
        <v>#REF!</v>
      </c>
      <c r="J155" s="72"/>
      <c r="K155" s="72"/>
    </row>
    <row r="156" spans="1:11" s="69" customFormat="1" ht="21" customHeight="1" thickBot="1">
      <c r="A156" s="75"/>
      <c r="B156" s="14" t="s">
        <v>5</v>
      </c>
      <c r="C156" s="114">
        <f>SUM(C149:C155)</f>
        <v>1950000</v>
      </c>
      <c r="D156" s="83" t="e">
        <f>SUM(D149:D155)</f>
        <v>#REF!</v>
      </c>
      <c r="E156" s="83"/>
      <c r="F156" s="83"/>
      <c r="G156" s="83"/>
      <c r="H156" s="154" t="e">
        <f>SUM(H149:H155)</f>
        <v>#REF!</v>
      </c>
      <c r="I156" s="83" t="e">
        <f>SUM(I149:I155)</f>
        <v>#REF!</v>
      </c>
      <c r="J156" s="72"/>
      <c r="K156" s="72"/>
    </row>
    <row r="157" spans="1:11" s="69" customFormat="1" ht="21" customHeight="1" thickTop="1">
      <c r="A157" s="70" t="s">
        <v>24</v>
      </c>
      <c r="B157" s="85"/>
      <c r="C157" s="102"/>
      <c r="D157" s="98"/>
      <c r="E157" s="98"/>
      <c r="F157" s="98"/>
      <c r="G157" s="98"/>
      <c r="H157" s="153"/>
      <c r="I157" s="98"/>
      <c r="J157" s="72"/>
      <c r="K157" s="72"/>
    </row>
    <row r="158" spans="1:11" s="69" customFormat="1" ht="21" customHeight="1">
      <c r="A158" s="66"/>
      <c r="B158" s="130" t="s">
        <v>192</v>
      </c>
      <c r="C158" s="84">
        <v>60000</v>
      </c>
      <c r="D158" s="104" t="e">
        <f>+#REF!+#REF!+#REF!+#REF!+#REF!+#REF!+#REF!+#REF!+#REF!</f>
        <v>#REF!</v>
      </c>
      <c r="E158" s="104"/>
      <c r="F158" s="97"/>
      <c r="G158" s="97"/>
      <c r="H158" s="148" t="e">
        <f>+D158+E158+F158+G158</f>
        <v>#REF!</v>
      </c>
      <c r="I158" s="97" t="e">
        <f>+C158-H158</f>
        <v>#REF!</v>
      </c>
      <c r="J158" s="72"/>
      <c r="K158" s="72"/>
    </row>
    <row r="159" spans="1:11" s="69" customFormat="1" ht="21" customHeight="1">
      <c r="A159" s="66"/>
      <c r="B159" s="6" t="s">
        <v>198</v>
      </c>
      <c r="C159" s="86">
        <v>395459</v>
      </c>
      <c r="D159" s="103"/>
      <c r="E159" s="103" t="e">
        <f>+#REF!+#REF!+#REF!+#REF!</f>
        <v>#REF!</v>
      </c>
      <c r="F159" s="97"/>
      <c r="G159" s="98"/>
      <c r="H159" s="148" t="e">
        <f>+D159+E159+F159+G159</f>
        <v>#REF!</v>
      </c>
      <c r="I159" s="97" t="e">
        <f>+C159-H159</f>
        <v>#REF!</v>
      </c>
      <c r="J159" s="72"/>
      <c r="K159" s="72"/>
    </row>
    <row r="160" spans="1:11" s="69" customFormat="1" ht="21" customHeight="1">
      <c r="A160" s="66"/>
      <c r="B160" s="6" t="s">
        <v>196</v>
      </c>
      <c r="C160" s="86">
        <v>95000</v>
      </c>
      <c r="D160" s="103"/>
      <c r="E160" s="103" t="e">
        <f>+#REF!+#REF!+#REF!+#REF!</f>
        <v>#REF!</v>
      </c>
      <c r="F160" s="97"/>
      <c r="G160" s="98"/>
      <c r="H160" s="148" t="e">
        <f>+D160+E160+F160+G160</f>
        <v>#REF!</v>
      </c>
      <c r="I160" s="97" t="e">
        <f>+C160-H160</f>
        <v>#REF!</v>
      </c>
      <c r="J160" s="72"/>
      <c r="K160" s="72"/>
    </row>
    <row r="161" spans="1:11" s="69" customFormat="1" ht="21" customHeight="1">
      <c r="A161" s="66"/>
      <c r="B161" s="6" t="s">
        <v>197</v>
      </c>
      <c r="C161" s="86">
        <v>500000</v>
      </c>
      <c r="D161" s="103"/>
      <c r="E161" s="103" t="e">
        <f>+#REF!+#REF!+#REF!+#REF!</f>
        <v>#REF!</v>
      </c>
      <c r="F161" s="97"/>
      <c r="G161" s="98"/>
      <c r="H161" s="148" t="e">
        <f>+D161+E161+F161+G161</f>
        <v>#REF!</v>
      </c>
      <c r="I161" s="97" t="e">
        <f>+C161-H161</f>
        <v>#REF!</v>
      </c>
      <c r="J161" s="72"/>
      <c r="K161" s="72"/>
    </row>
    <row r="162" spans="1:11" s="69" customFormat="1" ht="21" customHeight="1">
      <c r="A162" s="66"/>
      <c r="B162" s="73"/>
      <c r="C162" s="86"/>
      <c r="D162" s="103"/>
      <c r="E162" s="103"/>
      <c r="F162" s="97"/>
      <c r="G162" s="78"/>
      <c r="H162" s="148">
        <f>+D162+E162+F162+G162</f>
        <v>0</v>
      </c>
      <c r="I162" s="97">
        <f>+C162-H162</f>
        <v>0</v>
      </c>
      <c r="J162" s="72"/>
      <c r="K162" s="72"/>
    </row>
    <row r="163" spans="1:11" s="69" customFormat="1" ht="21" customHeight="1" thickBot="1">
      <c r="A163" s="80"/>
      <c r="B163" s="14" t="s">
        <v>5</v>
      </c>
      <c r="C163" s="76">
        <f>SUM(C158:C162)</f>
        <v>1050459</v>
      </c>
      <c r="D163" s="76" t="e">
        <f t="shared" ref="D163:I163" si="20">SUM(D158:D162)</f>
        <v>#REF!</v>
      </c>
      <c r="E163" s="76" t="e">
        <f t="shared" si="20"/>
        <v>#REF!</v>
      </c>
      <c r="F163" s="76">
        <f t="shared" si="20"/>
        <v>0</v>
      </c>
      <c r="G163" s="76">
        <f t="shared" si="20"/>
        <v>0</v>
      </c>
      <c r="H163" s="160" t="e">
        <f t="shared" si="20"/>
        <v>#REF!</v>
      </c>
      <c r="I163" s="118" t="e">
        <f t="shared" si="20"/>
        <v>#REF!</v>
      </c>
      <c r="J163" s="72"/>
      <c r="K163" s="72"/>
    </row>
    <row r="164" spans="1:11" s="69" customFormat="1" ht="21" customHeight="1" thickTop="1">
      <c r="A164" s="20" t="s">
        <v>44</v>
      </c>
      <c r="B164" s="23"/>
      <c r="C164" s="32"/>
      <c r="D164" s="98"/>
      <c r="E164" s="98"/>
      <c r="F164" s="98"/>
      <c r="G164" s="98"/>
      <c r="H164" s="153"/>
      <c r="I164" s="98">
        <f t="shared" ref="I164:I172" si="21">+C164-H164</f>
        <v>0</v>
      </c>
      <c r="J164" s="72"/>
      <c r="K164" s="72"/>
    </row>
    <row r="165" spans="1:11" s="69" customFormat="1" ht="21" customHeight="1">
      <c r="A165" s="20"/>
      <c r="B165" s="23" t="s">
        <v>45</v>
      </c>
      <c r="C165" s="32">
        <f>5722800-13400</f>
        <v>5709400</v>
      </c>
      <c r="D165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65" s="97" t="e">
        <f>+#REF!+#REF!</f>
        <v>#REF!</v>
      </c>
      <c r="F165" s="97"/>
      <c r="G165" s="97"/>
      <c r="H165" s="148" t="e">
        <f>+D165+E165+F165+G165</f>
        <v>#REF!</v>
      </c>
      <c r="I165" s="98" t="e">
        <f t="shared" si="21"/>
        <v>#REF!</v>
      </c>
      <c r="J165" s="106"/>
      <c r="K165" s="72"/>
    </row>
    <row r="166" spans="1:11" s="69" customFormat="1" ht="21" customHeight="1">
      <c r="A166" s="20"/>
      <c r="B166" s="23" t="s">
        <v>69</v>
      </c>
      <c r="C166" s="32">
        <f>1386000-5000</f>
        <v>1381000</v>
      </c>
      <c r="D166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66" s="97" t="e">
        <f>+#REF!+#REF!</f>
        <v>#REF!</v>
      </c>
      <c r="F166" s="97"/>
      <c r="G166" s="97"/>
      <c r="H166" s="148" t="e">
        <f>+D166+E166+F166+G166</f>
        <v>#REF!</v>
      </c>
      <c r="I166" s="97" t="e">
        <f t="shared" si="21"/>
        <v>#REF!</v>
      </c>
      <c r="J166" s="106"/>
      <c r="K166" s="72"/>
    </row>
    <row r="167" spans="1:11" s="69" customFormat="1" ht="21" customHeight="1">
      <c r="A167" s="20"/>
      <c r="B167" s="23" t="s">
        <v>70</v>
      </c>
      <c r="C167" s="32"/>
      <c r="D167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67" s="97" t="e">
        <f>+#REF!+#REF!</f>
        <v>#REF!</v>
      </c>
      <c r="F167" s="97"/>
      <c r="G167" s="97"/>
      <c r="H167" s="148" t="e">
        <f>+D167+E167+F167+G167</f>
        <v>#REF!</v>
      </c>
      <c r="I167" s="97" t="e">
        <f t="shared" si="21"/>
        <v>#REF!</v>
      </c>
      <c r="J167" s="72"/>
      <c r="K167" s="72"/>
    </row>
    <row r="168" spans="1:11" s="69" customFormat="1" ht="21" customHeight="1">
      <c r="A168" s="20"/>
      <c r="B168" s="23" t="s">
        <v>176</v>
      </c>
      <c r="C168" s="32">
        <f>480560+120000</f>
        <v>600560</v>
      </c>
      <c r="D168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68" s="97" t="e">
        <f>+#REF!+#REF!</f>
        <v>#REF!</v>
      </c>
      <c r="F168" s="97"/>
      <c r="G168" s="97"/>
      <c r="H168" s="148" t="e">
        <f>+D168+E168</f>
        <v>#REF!</v>
      </c>
      <c r="I168" s="97" t="e">
        <f t="shared" si="21"/>
        <v>#REF!</v>
      </c>
      <c r="J168" s="72"/>
      <c r="K168" s="72"/>
    </row>
    <row r="169" spans="1:11" s="69" customFormat="1" ht="21" customHeight="1">
      <c r="A169" s="20"/>
      <c r="B169" s="23" t="s">
        <v>177</v>
      </c>
      <c r="C169" s="32">
        <v>59440</v>
      </c>
      <c r="D169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69" s="97" t="e">
        <f>+#REF!+#REF!</f>
        <v>#REF!</v>
      </c>
      <c r="F169" s="97"/>
      <c r="G169" s="97"/>
      <c r="H169" s="148" t="e">
        <f>+D169+E169+F169+G169</f>
        <v>#REF!</v>
      </c>
      <c r="I169" s="97" t="e">
        <f t="shared" si="21"/>
        <v>#REF!</v>
      </c>
      <c r="J169" s="72"/>
      <c r="K169" s="72"/>
    </row>
    <row r="170" spans="1:11" s="69" customFormat="1" ht="21" customHeight="1">
      <c r="A170" s="20"/>
      <c r="B170" s="23" t="s">
        <v>178</v>
      </c>
      <c r="C170" s="32">
        <v>134800</v>
      </c>
      <c r="D170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70" s="97" t="e">
        <f>+#REF!+#REF!</f>
        <v>#REF!</v>
      </c>
      <c r="F170" s="97"/>
      <c r="G170" s="97"/>
      <c r="H170" s="148" t="e">
        <f>+D170+E170+F170+G170</f>
        <v>#REF!</v>
      </c>
      <c r="I170" s="97" t="e">
        <f t="shared" si="21"/>
        <v>#REF!</v>
      </c>
      <c r="J170" s="72"/>
      <c r="K170" s="72"/>
    </row>
    <row r="171" spans="1:11" s="69" customFormat="1" ht="21" customHeight="1">
      <c r="A171" s="20"/>
      <c r="B171" s="23" t="s">
        <v>179</v>
      </c>
      <c r="C171" s="32">
        <v>27200</v>
      </c>
      <c r="D171" s="97">
        <v>13910</v>
      </c>
      <c r="E171" s="97" t="e">
        <f>+#REF!+#REF!</f>
        <v>#REF!</v>
      </c>
      <c r="F171" s="97"/>
      <c r="G171" s="97"/>
      <c r="H171" s="148" t="e">
        <f>+D171+E171+F171+G171</f>
        <v>#REF!</v>
      </c>
      <c r="I171" s="97" t="e">
        <f t="shared" si="21"/>
        <v>#REF!</v>
      </c>
      <c r="J171" s="72"/>
      <c r="K171" s="72"/>
    </row>
    <row r="172" spans="1:11" s="69" customFormat="1" ht="21" customHeight="1">
      <c r="A172" s="20"/>
      <c r="B172" s="23" t="s">
        <v>180</v>
      </c>
      <c r="C172" s="32">
        <v>7290</v>
      </c>
      <c r="D172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72" s="97" t="e">
        <f>+#REF!+#REF!</f>
        <v>#REF!</v>
      </c>
      <c r="F172" s="97"/>
      <c r="G172" s="97"/>
      <c r="H172" s="148" t="e">
        <f>+D172+E172+F172+G172</f>
        <v>#REF!</v>
      </c>
      <c r="I172" s="97" t="e">
        <f t="shared" si="21"/>
        <v>#REF!</v>
      </c>
      <c r="J172" s="72"/>
      <c r="K172" s="72"/>
    </row>
    <row r="173" spans="1:11" s="69" customFormat="1" ht="21" customHeight="1" thickBot="1">
      <c r="A173" s="80"/>
      <c r="B173" s="14" t="s">
        <v>5</v>
      </c>
      <c r="C173" s="76">
        <f t="shared" ref="C173:I173" si="22">SUM(C171:C172)</f>
        <v>34490</v>
      </c>
      <c r="D173" s="76" t="e">
        <f>SUM(D165:D172)</f>
        <v>#REF!</v>
      </c>
      <c r="E173" s="76" t="e">
        <f t="shared" si="22"/>
        <v>#REF!</v>
      </c>
      <c r="F173" s="76">
        <f t="shared" si="22"/>
        <v>0</v>
      </c>
      <c r="G173" s="76">
        <f t="shared" si="22"/>
        <v>0</v>
      </c>
      <c r="H173" s="160" t="e">
        <f>SUM(H165:H172)</f>
        <v>#REF!</v>
      </c>
      <c r="I173" s="118" t="e">
        <f t="shared" si="22"/>
        <v>#REF!</v>
      </c>
      <c r="J173" s="72"/>
      <c r="K173" s="72"/>
    </row>
    <row r="174" spans="1:11" s="69" customFormat="1" ht="21" customHeight="1" thickTop="1">
      <c r="A174" s="20" t="s">
        <v>191</v>
      </c>
      <c r="B174" s="23"/>
      <c r="C174" s="43"/>
      <c r="D174" s="98"/>
      <c r="E174" s="98"/>
      <c r="F174" s="98"/>
      <c r="G174" s="98"/>
      <c r="H174" s="153"/>
      <c r="I174" s="98"/>
      <c r="J174" s="72"/>
      <c r="K174" s="72"/>
    </row>
    <row r="175" spans="1:11" s="69" customFormat="1" ht="21" customHeight="1">
      <c r="A175" s="20"/>
      <c r="B175" s="23" t="s">
        <v>61</v>
      </c>
      <c r="C175" s="42">
        <v>168896</v>
      </c>
      <c r="D175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75" s="97"/>
      <c r="F175" s="97"/>
      <c r="G175" s="97"/>
      <c r="H175" s="148" t="e">
        <f>+D175+E175+F175+G175</f>
        <v>#REF!</v>
      </c>
      <c r="I175" s="97" t="e">
        <f>+C175-H175</f>
        <v>#REF!</v>
      </c>
      <c r="J175" s="72"/>
      <c r="K175" s="72"/>
    </row>
    <row r="176" spans="1:11" s="69" customFormat="1" ht="21" customHeight="1">
      <c r="A176" s="20"/>
      <c r="B176" s="23" t="s">
        <v>181</v>
      </c>
      <c r="C176" s="42">
        <v>86935.2</v>
      </c>
      <c r="D176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76" s="97"/>
      <c r="F176" s="97"/>
      <c r="G176" s="97"/>
      <c r="H176" s="148" t="e">
        <f>+D176+E176+F176+G176</f>
        <v>#REF!</v>
      </c>
      <c r="I176" s="97" t="e">
        <f>+C176-H176</f>
        <v>#REF!</v>
      </c>
      <c r="J176" s="72"/>
      <c r="K176" s="72"/>
    </row>
    <row r="177" spans="1:11" s="69" customFormat="1" ht="21" customHeight="1">
      <c r="A177" s="20"/>
      <c r="B177" s="23" t="s">
        <v>182</v>
      </c>
      <c r="C177" s="42">
        <v>296458.7</v>
      </c>
      <c r="D177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77" s="97"/>
      <c r="F177" s="97"/>
      <c r="G177" s="97"/>
      <c r="H177" s="148" t="e">
        <f>+D177+E177+F177+G177</f>
        <v>#REF!</v>
      </c>
      <c r="I177" s="97" t="e">
        <f>+C177-H177</f>
        <v>#REF!</v>
      </c>
      <c r="J177" s="72"/>
      <c r="K177" s="72"/>
    </row>
    <row r="178" spans="1:11" s="69" customFormat="1" ht="21" customHeight="1">
      <c r="A178" s="20"/>
      <c r="B178" s="23" t="s">
        <v>52</v>
      </c>
      <c r="C178" s="42">
        <v>214000</v>
      </c>
      <c r="D178" s="97" t="e">
        <f>+#REF!+#REF!+#REF!+#REF!+#REF!+#REF!+#REF!+#REF!+#REF!+#REF!+#REF!+#REF!+#REF!+#REF!+#REF!+#REF!+#REF!+#REF!+#REF!+#REF!+#REF!+#REF!+#REF!+#REF!+#REF!+#REF!+#REF!+#REF!+#REF!+#REF!+#REF!+#REF!+#REF!+#REF!</f>
        <v>#REF!</v>
      </c>
      <c r="E178" s="97"/>
      <c r="F178" s="97"/>
      <c r="G178" s="97"/>
      <c r="H178" s="148" t="e">
        <f>+D178+E178+F178+G178</f>
        <v>#REF!</v>
      </c>
      <c r="I178" s="97" t="e">
        <f>+C178-H178</f>
        <v>#REF!</v>
      </c>
      <c r="J178" s="72"/>
      <c r="K178" s="72"/>
    </row>
    <row r="179" spans="1:11" s="69" customFormat="1" ht="21" customHeight="1" thickBot="1">
      <c r="A179" s="80"/>
      <c r="B179" s="14" t="s">
        <v>5</v>
      </c>
      <c r="C179" s="76">
        <f>SUM(C175:C178)</f>
        <v>766289.9</v>
      </c>
      <c r="D179" s="76" t="e">
        <f>SUM(D175:D178)</f>
        <v>#REF!</v>
      </c>
      <c r="E179" s="76">
        <f>SUM(E177:E178)</f>
        <v>0</v>
      </c>
      <c r="F179" s="76">
        <f>SUM(F177:F178)</f>
        <v>0</v>
      </c>
      <c r="G179" s="76">
        <f>SUM(G177:G178)</f>
        <v>0</v>
      </c>
      <c r="H179" s="160" t="e">
        <f>SUM(H175:H178)</f>
        <v>#REF!</v>
      </c>
      <c r="I179" s="118" t="e">
        <f>SUM(I175:I178)</f>
        <v>#REF!</v>
      </c>
      <c r="J179" s="72"/>
      <c r="K179" s="72"/>
    </row>
    <row r="180" spans="1:11" s="69" customFormat="1" ht="21" customHeight="1" thickTop="1" thickBot="1">
      <c r="A180" s="81"/>
      <c r="B180" s="87" t="s">
        <v>185</v>
      </c>
      <c r="C180" s="88">
        <f>+C18+C25+C36+C47+C100+C117+C123+C130+C133+C147+C156</f>
        <v>25633000</v>
      </c>
      <c r="D180" s="88" t="e">
        <f t="shared" ref="D180:I180" si="23">+D18+D25+D36+D47+D100+D117+D123+D130+D133+D147+D156</f>
        <v>#REF!</v>
      </c>
      <c r="E180" s="88" t="e">
        <f t="shared" si="23"/>
        <v>#REF!</v>
      </c>
      <c r="F180" s="88">
        <f t="shared" si="23"/>
        <v>0</v>
      </c>
      <c r="G180" s="88">
        <f t="shared" si="23"/>
        <v>0</v>
      </c>
      <c r="H180" s="161" t="e">
        <f t="shared" si="23"/>
        <v>#REF!</v>
      </c>
      <c r="I180" s="119" t="e">
        <f t="shared" si="23"/>
        <v>#REF!</v>
      </c>
      <c r="J180" s="72"/>
      <c r="K180" s="72"/>
    </row>
    <row r="181" spans="1:11" s="67" customFormat="1" ht="21" customHeight="1" thickTop="1" thickBot="1">
      <c r="A181" s="89"/>
      <c r="B181" s="90" t="s">
        <v>60</v>
      </c>
      <c r="C181" s="91">
        <f>+C180+C179+C163+C173</f>
        <v>27484238.899999999</v>
      </c>
      <c r="D181" s="91" t="e">
        <f t="shared" ref="D181:I181" si="24">+D180+D179+D163</f>
        <v>#REF!</v>
      </c>
      <c r="E181" s="91" t="e">
        <f t="shared" si="24"/>
        <v>#REF!</v>
      </c>
      <c r="F181" s="91">
        <f t="shared" si="24"/>
        <v>0</v>
      </c>
      <c r="G181" s="91">
        <f t="shared" si="24"/>
        <v>0</v>
      </c>
      <c r="H181" s="162" t="e">
        <f t="shared" si="24"/>
        <v>#REF!</v>
      </c>
      <c r="I181" s="91" t="e">
        <f t="shared" si="24"/>
        <v>#REF!</v>
      </c>
      <c r="K181" s="81"/>
    </row>
    <row r="182" spans="1:11" s="69" customFormat="1" ht="21" customHeight="1" thickTop="1">
      <c r="A182" s="89"/>
      <c r="B182" s="89"/>
      <c r="C182" s="89"/>
      <c r="D182" s="92"/>
      <c r="E182" s="92"/>
      <c r="F182" s="92"/>
      <c r="G182" s="92"/>
      <c r="H182" s="163"/>
      <c r="I182" s="92"/>
      <c r="J182" s="68"/>
      <c r="K182" s="72"/>
    </row>
    <row r="183" spans="1:11" s="69" customFormat="1" ht="21" customHeight="1">
      <c r="A183" s="89"/>
      <c r="B183" s="89"/>
      <c r="C183" s="89"/>
      <c r="D183" s="92"/>
      <c r="E183" s="92"/>
      <c r="F183" s="92"/>
      <c r="G183" s="92"/>
      <c r="H183" s="163"/>
      <c r="I183" s="92"/>
      <c r="J183" s="68"/>
      <c r="K183" s="72"/>
    </row>
    <row r="184" spans="1:11" s="69" customFormat="1" ht="21" customHeight="1">
      <c r="A184" s="89"/>
      <c r="B184" s="89"/>
      <c r="C184" s="89"/>
      <c r="D184" s="92"/>
      <c r="E184" s="92"/>
      <c r="F184" s="92"/>
      <c r="G184" s="92"/>
      <c r="H184" s="163"/>
      <c r="I184" s="92"/>
      <c r="J184" s="68"/>
      <c r="K184" s="72"/>
    </row>
    <row r="185" spans="1:11" s="69" customFormat="1" ht="21" customHeight="1">
      <c r="A185" s="89"/>
      <c r="B185" s="164"/>
      <c r="C185" s="89"/>
      <c r="D185" s="92"/>
      <c r="E185" s="92"/>
      <c r="F185" s="92"/>
      <c r="G185" s="92"/>
      <c r="H185" s="163"/>
      <c r="I185" s="92"/>
      <c r="J185" s="68"/>
      <c r="K185" s="72"/>
    </row>
    <row r="186" spans="1:11" s="69" customFormat="1" ht="21" customHeight="1">
      <c r="A186" s="89"/>
      <c r="B186" s="89"/>
      <c r="C186" s="89"/>
      <c r="D186" s="92"/>
      <c r="E186" s="92"/>
      <c r="F186" s="92"/>
      <c r="G186" s="92"/>
      <c r="H186" s="163"/>
      <c r="I186" s="92"/>
      <c r="J186" s="68"/>
      <c r="K186" s="72"/>
    </row>
    <row r="187" spans="1:11" s="69" customFormat="1" ht="21" customHeight="1">
      <c r="A187" s="89"/>
      <c r="B187" s="89"/>
      <c r="C187" s="89"/>
      <c r="D187" s="92"/>
      <c r="E187" s="92"/>
      <c r="F187" s="92"/>
      <c r="G187" s="92"/>
      <c r="H187" s="163"/>
      <c r="I187" s="92"/>
      <c r="J187" s="68"/>
      <c r="K187" s="72"/>
    </row>
    <row r="188" spans="1:11" s="69" customFormat="1" ht="21" customHeight="1">
      <c r="A188" s="89"/>
      <c r="B188" s="89"/>
      <c r="C188" s="89"/>
      <c r="D188" s="92"/>
      <c r="E188" s="92"/>
      <c r="F188" s="92"/>
      <c r="G188" s="92"/>
      <c r="H188" s="163"/>
      <c r="I188" s="92"/>
      <c r="J188" s="68"/>
      <c r="K188" s="72"/>
    </row>
    <row r="189" spans="1:11" s="69" customFormat="1" ht="21" customHeight="1">
      <c r="A189" s="89"/>
      <c r="B189" s="89"/>
      <c r="C189" s="89"/>
      <c r="D189" s="92"/>
      <c r="E189" s="92"/>
      <c r="F189" s="92"/>
      <c r="G189" s="92"/>
      <c r="H189" s="163"/>
      <c r="I189" s="92"/>
      <c r="J189" s="68"/>
      <c r="K189" s="72"/>
    </row>
    <row r="190" spans="1:11" s="69" customFormat="1" ht="21" customHeight="1">
      <c r="A190" s="89"/>
      <c r="B190" s="89"/>
      <c r="C190" s="89"/>
      <c r="D190" s="92"/>
      <c r="E190" s="92"/>
      <c r="F190" s="92"/>
      <c r="G190" s="92"/>
      <c r="H190" s="163"/>
      <c r="I190" s="92"/>
      <c r="J190" s="68"/>
      <c r="K190" s="72"/>
    </row>
    <row r="191" spans="1:11" s="69" customFormat="1" ht="21" customHeight="1">
      <c r="A191" s="89"/>
      <c r="B191" s="89"/>
      <c r="C191" s="89"/>
      <c r="D191" s="92"/>
      <c r="E191" s="92"/>
      <c r="F191" s="92"/>
      <c r="G191" s="92"/>
      <c r="H191" s="163"/>
      <c r="I191" s="92"/>
      <c r="J191" s="68"/>
      <c r="K191" s="72"/>
    </row>
    <row r="192" spans="1:11" s="69" customFormat="1" ht="21" customHeight="1">
      <c r="A192" s="89"/>
      <c r="B192" s="89"/>
      <c r="C192" s="89"/>
      <c r="D192" s="92"/>
      <c r="E192" s="92"/>
      <c r="F192" s="92"/>
      <c r="G192" s="92"/>
      <c r="H192" s="163"/>
      <c r="I192" s="92"/>
      <c r="J192" s="68"/>
      <c r="K192" s="72"/>
    </row>
    <row r="193" spans="1:11" s="69" customFormat="1" ht="21" customHeight="1">
      <c r="A193" s="89"/>
      <c r="B193" s="89"/>
      <c r="C193" s="89"/>
      <c r="D193" s="92"/>
      <c r="E193" s="92"/>
      <c r="F193" s="92"/>
      <c r="G193" s="92"/>
      <c r="H193" s="163"/>
      <c r="I193" s="92"/>
      <c r="J193" s="68"/>
      <c r="K193" s="72"/>
    </row>
    <row r="194" spans="1:11" s="69" customFormat="1" ht="21" customHeight="1">
      <c r="A194" s="89"/>
      <c r="B194" s="89"/>
      <c r="C194" s="89"/>
      <c r="D194" s="92"/>
      <c r="E194" s="92"/>
      <c r="F194" s="92"/>
      <c r="G194" s="92"/>
      <c r="H194" s="163"/>
      <c r="I194" s="92"/>
      <c r="J194" s="68"/>
      <c r="K194" s="72"/>
    </row>
    <row r="195" spans="1:11" s="69" customFormat="1" ht="21" customHeight="1">
      <c r="A195" s="89"/>
      <c r="B195" s="89"/>
      <c r="C195" s="89"/>
      <c r="D195" s="92"/>
      <c r="E195" s="92"/>
      <c r="F195" s="92"/>
      <c r="G195" s="92"/>
      <c r="H195" s="163"/>
      <c r="I195" s="92"/>
      <c r="J195" s="68"/>
      <c r="K195" s="72"/>
    </row>
    <row r="196" spans="1:11" s="69" customFormat="1" ht="21" customHeight="1">
      <c r="A196" s="89"/>
      <c r="B196" s="89"/>
      <c r="C196" s="89"/>
      <c r="D196" s="92"/>
      <c r="E196" s="92"/>
      <c r="F196" s="92"/>
      <c r="G196" s="92"/>
      <c r="H196" s="163"/>
      <c r="I196" s="92"/>
      <c r="J196" s="68"/>
      <c r="K196" s="72"/>
    </row>
    <row r="197" spans="1:11" s="69" customFormat="1" ht="21" customHeight="1">
      <c r="A197" s="89"/>
      <c r="B197" s="89"/>
      <c r="C197" s="89"/>
      <c r="D197" s="92"/>
      <c r="E197" s="92"/>
      <c r="F197" s="92"/>
      <c r="G197" s="92"/>
      <c r="H197" s="163"/>
      <c r="I197" s="92"/>
      <c r="J197" s="68"/>
      <c r="K197" s="72"/>
    </row>
    <row r="198" spans="1:11" s="69" customFormat="1" ht="21" customHeight="1">
      <c r="A198" s="89"/>
      <c r="B198" s="89"/>
      <c r="C198" s="89"/>
      <c r="D198" s="92"/>
      <c r="E198" s="92"/>
      <c r="F198" s="92"/>
      <c r="G198" s="92"/>
      <c r="H198" s="163"/>
      <c r="I198" s="92"/>
      <c r="J198" s="68"/>
      <c r="K198" s="72"/>
    </row>
    <row r="199" spans="1:11" s="69" customFormat="1" ht="21" customHeight="1">
      <c r="A199" s="89"/>
      <c r="B199" s="89"/>
      <c r="C199" s="89"/>
      <c r="D199" s="92"/>
      <c r="E199" s="92"/>
      <c r="F199" s="92"/>
      <c r="G199" s="92"/>
      <c r="H199" s="163"/>
      <c r="I199" s="92"/>
      <c r="J199" s="68"/>
      <c r="K199" s="72"/>
    </row>
    <row r="200" spans="1:11" s="69" customFormat="1" ht="21" customHeight="1">
      <c r="A200" s="89"/>
      <c r="B200" s="89"/>
      <c r="C200" s="89"/>
      <c r="D200" s="92"/>
      <c r="E200" s="92"/>
      <c r="F200" s="92"/>
      <c r="G200" s="92"/>
      <c r="H200" s="163"/>
      <c r="I200" s="92"/>
      <c r="J200" s="68"/>
      <c r="K200" s="72"/>
    </row>
    <row r="201" spans="1:11" s="69" customFormat="1" ht="21" customHeight="1">
      <c r="A201" s="89"/>
      <c r="B201" s="89"/>
      <c r="C201" s="89"/>
      <c r="D201" s="92"/>
      <c r="E201" s="92"/>
      <c r="F201" s="92"/>
      <c r="G201" s="92"/>
      <c r="H201" s="163"/>
      <c r="I201" s="92"/>
      <c r="J201" s="68"/>
      <c r="K201" s="72"/>
    </row>
    <row r="202" spans="1:11" s="69" customFormat="1" ht="21" customHeight="1">
      <c r="A202" s="89"/>
      <c r="B202" s="89"/>
      <c r="C202" s="89"/>
      <c r="D202" s="92"/>
      <c r="E202" s="92"/>
      <c r="F202" s="92"/>
      <c r="G202" s="92"/>
      <c r="H202" s="163"/>
      <c r="I202" s="92"/>
      <c r="J202" s="68"/>
      <c r="K202" s="72"/>
    </row>
    <row r="203" spans="1:11" s="69" customFormat="1" ht="21" customHeight="1">
      <c r="A203" s="89"/>
      <c r="B203" s="89"/>
      <c r="C203" s="89"/>
      <c r="D203" s="92"/>
      <c r="E203" s="92"/>
      <c r="F203" s="92"/>
      <c r="G203" s="92"/>
      <c r="H203" s="163"/>
      <c r="I203" s="92"/>
      <c r="J203" s="68"/>
      <c r="K203" s="72"/>
    </row>
    <row r="204" spans="1:11" s="69" customFormat="1" ht="21" customHeight="1">
      <c r="A204" s="89"/>
      <c r="B204" s="89"/>
      <c r="C204" s="89"/>
      <c r="D204" s="92"/>
      <c r="E204" s="92"/>
      <c r="F204" s="92"/>
      <c r="G204" s="92"/>
      <c r="H204" s="163"/>
      <c r="I204" s="92"/>
      <c r="J204" s="68"/>
      <c r="K204" s="72"/>
    </row>
    <row r="205" spans="1:11" s="69" customFormat="1" ht="21" customHeight="1">
      <c r="A205" s="89"/>
      <c r="B205" s="89"/>
      <c r="C205" s="89"/>
      <c r="D205" s="92"/>
      <c r="E205" s="92"/>
      <c r="F205" s="92"/>
      <c r="G205" s="92"/>
      <c r="H205" s="163"/>
      <c r="I205" s="92"/>
      <c r="J205" s="68"/>
      <c r="K205" s="72"/>
    </row>
    <row r="206" spans="1:11" s="69" customFormat="1" ht="21" customHeight="1">
      <c r="A206" s="89"/>
      <c r="B206" s="89"/>
      <c r="C206" s="89"/>
      <c r="D206" s="92"/>
      <c r="E206" s="92"/>
      <c r="F206" s="92"/>
      <c r="G206" s="92"/>
      <c r="H206" s="163"/>
      <c r="I206" s="92"/>
      <c r="J206" s="68"/>
      <c r="K206" s="72"/>
    </row>
    <row r="207" spans="1:11" s="69" customFormat="1" ht="21" customHeight="1">
      <c r="A207" s="89"/>
      <c r="B207" s="89"/>
      <c r="C207" s="89"/>
      <c r="D207" s="92"/>
      <c r="E207" s="92"/>
      <c r="F207" s="92"/>
      <c r="G207" s="92"/>
      <c r="H207" s="163"/>
      <c r="I207" s="92"/>
      <c r="J207" s="68"/>
      <c r="K207" s="72"/>
    </row>
    <row r="208" spans="1:11" s="69" customFormat="1" ht="21" customHeight="1">
      <c r="A208" s="89"/>
      <c r="B208" s="89"/>
      <c r="C208" s="89"/>
      <c r="D208" s="92"/>
      <c r="E208" s="92"/>
      <c r="F208" s="92"/>
      <c r="G208" s="92"/>
      <c r="H208" s="163"/>
      <c r="I208" s="92"/>
      <c r="J208" s="68"/>
      <c r="K208" s="72"/>
    </row>
    <row r="209" spans="1:11" s="69" customFormat="1" ht="21" customHeight="1">
      <c r="A209" s="89"/>
      <c r="B209" s="89"/>
      <c r="C209" s="89"/>
      <c r="D209" s="92"/>
      <c r="E209" s="92"/>
      <c r="F209" s="92"/>
      <c r="G209" s="92"/>
      <c r="H209" s="163"/>
      <c r="I209" s="92"/>
      <c r="J209" s="68"/>
      <c r="K209" s="72"/>
    </row>
    <row r="210" spans="1:11" s="69" customFormat="1" ht="21" customHeight="1">
      <c r="A210" s="89"/>
      <c r="B210" s="89"/>
      <c r="C210" s="89"/>
      <c r="D210" s="92"/>
      <c r="E210" s="92"/>
      <c r="F210" s="92"/>
      <c r="G210" s="92"/>
      <c r="H210" s="163"/>
      <c r="I210" s="92"/>
      <c r="J210" s="68"/>
      <c r="K210" s="72"/>
    </row>
    <row r="211" spans="1:11" s="69" customFormat="1" ht="21" customHeight="1">
      <c r="A211" s="89"/>
      <c r="B211" s="89"/>
      <c r="C211" s="89"/>
      <c r="D211" s="92"/>
      <c r="E211" s="92"/>
      <c r="F211" s="92"/>
      <c r="G211" s="92"/>
      <c r="H211" s="163"/>
      <c r="I211" s="92"/>
      <c r="J211" s="68"/>
      <c r="K211" s="72"/>
    </row>
    <row r="212" spans="1:11" s="69" customFormat="1" ht="21" customHeight="1">
      <c r="A212" s="89"/>
      <c r="B212" s="89"/>
      <c r="C212" s="89"/>
      <c r="D212" s="92"/>
      <c r="E212" s="92"/>
      <c r="F212" s="92"/>
      <c r="G212" s="92"/>
      <c r="H212" s="163"/>
      <c r="I212" s="92"/>
      <c r="J212" s="68"/>
      <c r="K212" s="72"/>
    </row>
    <row r="213" spans="1:11" s="69" customFormat="1" ht="21" customHeight="1">
      <c r="A213" s="89"/>
      <c r="B213" s="89"/>
      <c r="C213" s="89"/>
      <c r="D213" s="92"/>
      <c r="E213" s="92"/>
      <c r="F213" s="92"/>
      <c r="G213" s="92"/>
      <c r="H213" s="163"/>
      <c r="I213" s="92"/>
      <c r="J213" s="68"/>
      <c r="K213" s="72"/>
    </row>
    <row r="214" spans="1:11" s="69" customFormat="1" ht="21" customHeight="1">
      <c r="A214" s="89"/>
      <c r="B214" s="89"/>
      <c r="C214" s="89"/>
      <c r="D214" s="92"/>
      <c r="E214" s="92"/>
      <c r="F214" s="92"/>
      <c r="G214" s="92"/>
      <c r="H214" s="163"/>
      <c r="I214" s="92"/>
      <c r="J214" s="68"/>
      <c r="K214" s="72"/>
    </row>
    <row r="215" spans="1:11" s="69" customFormat="1" ht="21" customHeight="1">
      <c r="A215" s="89"/>
      <c r="B215" s="89"/>
      <c r="C215" s="89"/>
      <c r="D215" s="92"/>
      <c r="E215" s="92"/>
      <c r="F215" s="92"/>
      <c r="G215" s="92"/>
      <c r="H215" s="163"/>
      <c r="I215" s="92"/>
      <c r="J215" s="68"/>
      <c r="K215" s="72"/>
    </row>
    <row r="216" spans="1:11" s="69" customFormat="1" ht="21" customHeight="1">
      <c r="A216" s="89"/>
      <c r="B216" s="89"/>
      <c r="C216" s="89"/>
      <c r="D216" s="92"/>
      <c r="E216" s="92"/>
      <c r="F216" s="92"/>
      <c r="G216" s="92"/>
      <c r="H216" s="163"/>
      <c r="I216" s="92"/>
      <c r="J216" s="68"/>
      <c r="K216" s="72"/>
    </row>
    <row r="217" spans="1:11" s="69" customFormat="1" ht="21" customHeight="1">
      <c r="A217" s="89"/>
      <c r="B217" s="89"/>
      <c r="C217" s="89"/>
      <c r="D217" s="92"/>
      <c r="E217" s="92"/>
      <c r="F217" s="92"/>
      <c r="G217" s="92"/>
      <c r="H217" s="163"/>
      <c r="I217" s="92"/>
      <c r="J217" s="68"/>
      <c r="K217" s="72"/>
    </row>
    <row r="218" spans="1:11" s="69" customFormat="1" ht="21" customHeight="1">
      <c r="A218" s="89"/>
      <c r="B218" s="89"/>
      <c r="C218" s="89"/>
      <c r="D218" s="92"/>
      <c r="E218" s="92"/>
      <c r="F218" s="92"/>
      <c r="G218" s="92"/>
      <c r="H218" s="163"/>
      <c r="I218" s="92"/>
      <c r="J218" s="68"/>
      <c r="K218" s="72"/>
    </row>
    <row r="219" spans="1:11" s="69" customFormat="1" ht="21" customHeight="1">
      <c r="A219" s="89"/>
      <c r="B219" s="89"/>
      <c r="C219" s="89"/>
      <c r="D219" s="92"/>
      <c r="E219" s="92"/>
      <c r="F219" s="92"/>
      <c r="G219" s="92"/>
      <c r="H219" s="163"/>
      <c r="I219" s="92"/>
      <c r="J219" s="68"/>
      <c r="K219" s="72"/>
    </row>
    <row r="220" spans="1:11" s="69" customFormat="1" ht="21" customHeight="1">
      <c r="A220" s="89"/>
      <c r="B220" s="89"/>
      <c r="C220" s="89"/>
      <c r="D220" s="92"/>
      <c r="E220" s="92"/>
      <c r="F220" s="92"/>
      <c r="G220" s="92"/>
      <c r="H220" s="163"/>
      <c r="I220" s="92"/>
      <c r="J220" s="68"/>
      <c r="K220" s="72"/>
    </row>
    <row r="221" spans="1:11" s="69" customFormat="1" ht="21" customHeight="1">
      <c r="A221" s="89"/>
      <c r="B221" s="89"/>
      <c r="C221" s="89"/>
      <c r="D221" s="92"/>
      <c r="E221" s="92"/>
      <c r="F221" s="92"/>
      <c r="G221" s="92"/>
      <c r="H221" s="163"/>
      <c r="I221" s="92"/>
      <c r="J221" s="68"/>
      <c r="K221" s="72"/>
    </row>
    <row r="222" spans="1:11" s="69" customFormat="1" ht="21" customHeight="1">
      <c r="A222" s="89"/>
      <c r="B222" s="89"/>
      <c r="C222" s="89"/>
      <c r="D222" s="92"/>
      <c r="E222" s="92"/>
      <c r="F222" s="92"/>
      <c r="G222" s="92"/>
      <c r="H222" s="163"/>
      <c r="I222" s="92"/>
      <c r="J222" s="68"/>
      <c r="K222" s="72"/>
    </row>
    <row r="223" spans="1:11" s="69" customFormat="1" ht="21" customHeight="1">
      <c r="A223" s="89"/>
      <c r="B223" s="89"/>
      <c r="C223" s="89"/>
      <c r="D223" s="92"/>
      <c r="E223" s="92"/>
      <c r="F223" s="92"/>
      <c r="G223" s="92"/>
      <c r="H223" s="163"/>
      <c r="I223" s="92"/>
      <c r="J223" s="68"/>
      <c r="K223" s="72"/>
    </row>
    <row r="224" spans="1:11" s="69" customFormat="1" ht="21" customHeight="1">
      <c r="A224" s="89"/>
      <c r="B224" s="89"/>
      <c r="C224" s="89"/>
      <c r="D224" s="92"/>
      <c r="E224" s="92"/>
      <c r="F224" s="92"/>
      <c r="G224" s="92"/>
      <c r="H224" s="163"/>
      <c r="I224" s="92"/>
      <c r="J224" s="68"/>
      <c r="K224" s="72"/>
    </row>
    <row r="225" spans="1:11" s="69" customFormat="1" ht="21" customHeight="1">
      <c r="A225" s="89"/>
      <c r="B225" s="89"/>
      <c r="C225" s="89"/>
      <c r="D225" s="92"/>
      <c r="E225" s="92"/>
      <c r="F225" s="92"/>
      <c r="G225" s="92"/>
      <c r="H225" s="163"/>
      <c r="I225" s="92"/>
      <c r="J225" s="68"/>
      <c r="K225" s="72"/>
    </row>
    <row r="226" spans="1:11" s="69" customFormat="1" ht="21" customHeight="1">
      <c r="A226" s="89"/>
      <c r="B226" s="89"/>
      <c r="C226" s="89"/>
      <c r="D226" s="92"/>
      <c r="E226" s="92"/>
      <c r="F226" s="92"/>
      <c r="G226" s="92"/>
      <c r="H226" s="163"/>
      <c r="I226" s="92"/>
      <c r="J226" s="68"/>
      <c r="K226" s="72"/>
    </row>
    <row r="227" spans="1:11" s="69" customFormat="1" ht="21" customHeight="1">
      <c r="A227" s="89"/>
      <c r="B227" s="89"/>
      <c r="C227" s="89"/>
      <c r="D227" s="92"/>
      <c r="E227" s="92"/>
      <c r="F227" s="92"/>
      <c r="G227" s="92"/>
      <c r="H227" s="163"/>
      <c r="I227" s="92"/>
      <c r="J227" s="68"/>
      <c r="K227" s="72"/>
    </row>
    <row r="228" spans="1:11" s="69" customFormat="1" ht="21" customHeight="1">
      <c r="A228" s="89"/>
      <c r="B228" s="89"/>
      <c r="C228" s="89"/>
      <c r="D228" s="92"/>
      <c r="E228" s="92"/>
      <c r="F228" s="92"/>
      <c r="G228" s="92"/>
      <c r="H228" s="163"/>
      <c r="I228" s="92"/>
      <c r="J228" s="68"/>
      <c r="K228" s="72"/>
    </row>
    <row r="229" spans="1:11" s="69" customFormat="1" ht="21" customHeight="1">
      <c r="A229" s="89"/>
      <c r="B229" s="89"/>
      <c r="C229" s="89"/>
      <c r="D229" s="92"/>
      <c r="E229" s="92"/>
      <c r="F229" s="92"/>
      <c r="G229" s="92"/>
      <c r="H229" s="163"/>
      <c r="I229" s="92"/>
      <c r="J229" s="68"/>
      <c r="K229" s="72"/>
    </row>
    <row r="230" spans="1:11" s="69" customFormat="1" ht="21" customHeight="1">
      <c r="A230" s="89"/>
      <c r="B230" s="89"/>
      <c r="C230" s="89"/>
      <c r="D230" s="92"/>
      <c r="E230" s="92"/>
      <c r="F230" s="92"/>
      <c r="G230" s="92"/>
      <c r="H230" s="163"/>
      <c r="I230" s="92"/>
      <c r="J230" s="68"/>
      <c r="K230" s="72"/>
    </row>
    <row r="231" spans="1:11" s="69" customFormat="1" ht="21" customHeight="1">
      <c r="A231" s="89"/>
      <c r="B231" s="89"/>
      <c r="C231" s="89"/>
      <c r="D231" s="92"/>
      <c r="E231" s="92"/>
      <c r="F231" s="92"/>
      <c r="G231" s="92"/>
      <c r="H231" s="163"/>
      <c r="I231" s="92"/>
      <c r="J231" s="68"/>
      <c r="K231" s="72"/>
    </row>
  </sheetData>
  <mergeCells count="8">
    <mergeCell ref="K8:K9"/>
    <mergeCell ref="A4:I4"/>
    <mergeCell ref="A5:I5"/>
    <mergeCell ref="A6:I6"/>
    <mergeCell ref="A7:B8"/>
    <mergeCell ref="C7:C8"/>
    <mergeCell ref="H7:H8"/>
    <mergeCell ref="I7:I8"/>
  </mergeCells>
  <phoneticPr fontId="13" type="noConversion"/>
  <pageMargins left="0.17" right="0.18" top="0.57999999999999996" bottom="0.19" header="0.5" footer="0.18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X376"/>
  <sheetViews>
    <sheetView workbookViewId="0">
      <pane ySplit="8" topLeftCell="A264" activePane="bottomLeft" state="frozen"/>
      <selection activeCell="C78" sqref="C78"/>
      <selection pane="bottomLeft" activeCell="T4" sqref="T1:T65536"/>
    </sheetView>
  </sheetViews>
  <sheetFormatPr defaultRowHeight="25.5" customHeight="1"/>
  <cols>
    <col min="1" max="1" width="1.140625" customWidth="1"/>
    <col min="2" max="2" width="37" customWidth="1"/>
    <col min="3" max="3" width="11.28515625" style="282" customWidth="1"/>
    <col min="4" max="4" width="9.7109375" style="33" customWidth="1"/>
    <col min="5" max="5" width="9.5703125" style="273" customWidth="1"/>
    <col min="6" max="6" width="8.85546875" style="138" customWidth="1"/>
    <col min="7" max="7" width="0.5703125" style="138" customWidth="1"/>
    <col min="8" max="8" width="9.5703125" style="138" customWidth="1"/>
    <col min="9" max="9" width="8.7109375" style="33" customWidth="1"/>
    <col min="10" max="10" width="1.7109375" style="33" customWidth="1"/>
    <col min="11" max="12" width="1.85546875" style="33" customWidth="1"/>
    <col min="13" max="13" width="9.140625" style="138" customWidth="1"/>
    <col min="14" max="14" width="9.85546875" style="33" customWidth="1"/>
    <col min="15" max="15" width="1.85546875" style="33" customWidth="1"/>
    <col min="16" max="16" width="8.140625" style="33" customWidth="1"/>
    <col min="17" max="17" width="1.85546875" style="33" customWidth="1"/>
    <col min="18" max="18" width="8.140625" customWidth="1"/>
    <col min="19" max="20" width="1.85546875" style="168" customWidth="1"/>
    <col min="21" max="22" width="1.85546875" customWidth="1"/>
    <col min="23" max="23" width="15.285156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419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28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410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12914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529500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199200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>
        <v>216399</v>
      </c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/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2" t="s">
        <v>81</v>
      </c>
      <c r="C19" s="285">
        <v>344150</v>
      </c>
      <c r="D19" s="131"/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6"/>
      <c r="C20" s="290"/>
      <c r="D20" s="195"/>
      <c r="E20" s="270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SUM(C10:C19)</f>
        <v>10086782</v>
      </c>
      <c r="D21" s="132">
        <f>SUM(D10:D19)</f>
        <v>960653</v>
      </c>
      <c r="E21" s="26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960653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1283280-10000-14000</f>
        <v>1259280</v>
      </c>
      <c r="D27" s="131"/>
      <c r="E27" s="267">
        <v>98762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2393520</v>
      </c>
      <c r="D28" s="132">
        <f>SUM(D23:D27)</f>
        <v>0</v>
      </c>
      <c r="E28" s="268">
        <f>SUM(E23:E27)</f>
        <v>193282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193282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</f>
        <v>6441360</v>
      </c>
      <c r="D30" s="133"/>
      <c r="E30" s="269">
        <v>213590</v>
      </c>
      <c r="F30" s="269">
        <v>76170</v>
      </c>
      <c r="G30" s="269"/>
      <c r="H30" s="269">
        <v>72700</v>
      </c>
      <c r="I30" s="269"/>
      <c r="J30" s="269"/>
      <c r="K30" s="269"/>
      <c r="L30" s="269"/>
      <c r="M30" s="269">
        <v>107990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269">
        <v>0</v>
      </c>
      <c r="G31" s="269"/>
      <c r="H31" s="269">
        <v>154260</v>
      </c>
      <c r="I31" s="269"/>
      <c r="J31" s="269"/>
      <c r="K31" s="269"/>
      <c r="L31" s="269"/>
      <c r="M31" s="269"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269">
        <v>0</v>
      </c>
      <c r="G32" s="269"/>
      <c r="H32" s="269">
        <v>0</v>
      </c>
      <c r="I32" s="269"/>
      <c r="J32" s="269"/>
      <c r="K32" s="269"/>
      <c r="L32" s="269"/>
      <c r="M32" s="269"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v>11000</v>
      </c>
      <c r="F33" s="269">
        <v>0</v>
      </c>
      <c r="G33" s="269"/>
      <c r="H33" s="269">
        <v>3500</v>
      </c>
      <c r="I33" s="269"/>
      <c r="J33" s="269"/>
      <c r="K33" s="269"/>
      <c r="L33" s="269"/>
      <c r="M33" s="269">
        <v>3500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787000+589000+559480+350880+100000+184500+153000</f>
        <v>2723860</v>
      </c>
      <c r="D34" s="131"/>
      <c r="E34" s="269">
        <v>85330</v>
      </c>
      <c r="F34" s="269">
        <v>58130</v>
      </c>
      <c r="G34" s="269"/>
      <c r="H34" s="269">
        <v>64910</v>
      </c>
      <c r="I34" s="269"/>
      <c r="J34" s="269"/>
      <c r="K34" s="269"/>
      <c r="L34" s="269"/>
      <c r="M34" s="269">
        <v>29240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v>0</v>
      </c>
      <c r="F35" s="269">
        <v>0</v>
      </c>
      <c r="G35" s="269"/>
      <c r="H35" s="269">
        <v>20970</v>
      </c>
      <c r="I35" s="269"/>
      <c r="J35" s="269"/>
      <c r="K35" s="269"/>
      <c r="L35" s="269"/>
      <c r="M35" s="269"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76000+72000+84000+22000+25100+11000</f>
        <v>290100</v>
      </c>
      <c r="D36" s="131"/>
      <c r="E36" s="269">
        <v>9160</v>
      </c>
      <c r="F36" s="269">
        <v>6355</v>
      </c>
      <c r="G36" s="269"/>
      <c r="H36" s="269">
        <v>8500</v>
      </c>
      <c r="I36" s="269"/>
      <c r="J36" s="269"/>
      <c r="K36" s="269"/>
      <c r="L36" s="269"/>
      <c r="M36" s="269">
        <v>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v>0</v>
      </c>
      <c r="F37" s="269">
        <v>0</v>
      </c>
      <c r="G37" s="269"/>
      <c r="H37" s="269">
        <v>1830</v>
      </c>
      <c r="I37" s="269"/>
      <c r="J37" s="269"/>
      <c r="K37" s="269"/>
      <c r="L37" s="269"/>
      <c r="M37" s="269"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ht="25.5" customHeight="1" thickBot="1">
      <c r="A38" s="46"/>
      <c r="B38" s="47" t="s">
        <v>5</v>
      </c>
      <c r="C38" s="289">
        <f>SUM(C30:C37)</f>
        <v>11883100</v>
      </c>
      <c r="D38" s="255">
        <f>SUM(D30:D37)</f>
        <v>0</v>
      </c>
      <c r="E38" s="254">
        <f>SUM(E30:E37)</f>
        <v>319520</v>
      </c>
      <c r="F38" s="254">
        <f>SUM(F30:F37)</f>
        <v>140655</v>
      </c>
      <c r="G38" s="254">
        <f t="shared" ref="G38:V38" si="2">SUM(G30:G37)</f>
        <v>0</v>
      </c>
      <c r="H38" s="254">
        <f>SUM(H30:H37)</f>
        <v>326670</v>
      </c>
      <c r="I38" s="255">
        <f t="shared" si="2"/>
        <v>0</v>
      </c>
      <c r="J38" s="255">
        <f t="shared" si="2"/>
        <v>0</v>
      </c>
      <c r="K38" s="255">
        <f t="shared" si="2"/>
        <v>0</v>
      </c>
      <c r="L38" s="255">
        <f t="shared" si="2"/>
        <v>0</v>
      </c>
      <c r="M38" s="254">
        <f>SUM(M30:M37)</f>
        <v>140730</v>
      </c>
      <c r="N38" s="255">
        <f t="shared" si="2"/>
        <v>0</v>
      </c>
      <c r="O38" s="255">
        <f t="shared" si="2"/>
        <v>0</v>
      </c>
      <c r="P38" s="255">
        <f t="shared" si="2"/>
        <v>0</v>
      </c>
      <c r="Q38" s="255">
        <f t="shared" si="2"/>
        <v>0</v>
      </c>
      <c r="R38" s="255">
        <f t="shared" si="2"/>
        <v>0</v>
      </c>
      <c r="S38" s="255">
        <f t="shared" si="2"/>
        <v>0</v>
      </c>
      <c r="T38" s="255"/>
      <c r="U38" s="255">
        <f t="shared" si="2"/>
        <v>0</v>
      </c>
      <c r="V38" s="255">
        <f t="shared" si="2"/>
        <v>0</v>
      </c>
      <c r="W38" s="316">
        <f>SUM(D38:V38)</f>
        <v>927575</v>
      </c>
    </row>
    <row r="39" spans="1:23" ht="25.5" customHeight="1" thickTop="1">
      <c r="A39" s="5" t="s">
        <v>98</v>
      </c>
      <c r="B39" s="6"/>
      <c r="C39" s="190"/>
      <c r="D39" s="133"/>
      <c r="E39" s="269"/>
      <c r="F39" s="136"/>
      <c r="G39" s="136"/>
      <c r="H39" s="136"/>
      <c r="I39" s="133"/>
      <c r="J39" s="133"/>
      <c r="K39" s="133"/>
      <c r="L39" s="133"/>
      <c r="M39" s="136"/>
      <c r="N39" s="133"/>
      <c r="O39" s="133"/>
      <c r="P39" s="133"/>
      <c r="Q39" s="133"/>
      <c r="R39" s="217"/>
      <c r="S39" s="219"/>
      <c r="T39" s="259"/>
      <c r="U39" s="258"/>
      <c r="V39" s="258"/>
      <c r="W39" s="317"/>
    </row>
    <row r="40" spans="1:23" ht="25.5" customHeight="1">
      <c r="A40" s="9"/>
      <c r="B40" s="130" t="s">
        <v>93</v>
      </c>
      <c r="C40" s="216">
        <v>5000</v>
      </c>
      <c r="D40" s="133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315"/>
    </row>
    <row r="41" spans="1:23" ht="25.5" customHeight="1">
      <c r="A41" s="9"/>
      <c r="B41" s="130" t="s">
        <v>205</v>
      </c>
      <c r="C41" s="285">
        <v>10000</v>
      </c>
      <c r="D41" s="131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315"/>
    </row>
    <row r="42" spans="1:23" ht="25.5" customHeight="1">
      <c r="A42" s="9"/>
      <c r="B42" s="130" t="s">
        <v>94</v>
      </c>
      <c r="C42" s="285">
        <v>10000</v>
      </c>
      <c r="D42" s="131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311"/>
    </row>
    <row r="43" spans="1:23" ht="25.5" customHeight="1">
      <c r="A43" s="9"/>
      <c r="B43" s="130" t="s">
        <v>95</v>
      </c>
      <c r="C43" s="192">
        <v>5000</v>
      </c>
      <c r="D43" s="131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</row>
    <row r="44" spans="1:23" ht="25.5" customHeight="1">
      <c r="A44" s="9"/>
      <c r="B44" s="130" t="s">
        <v>96</v>
      </c>
      <c r="C44" s="192">
        <v>5000</v>
      </c>
      <c r="D44" s="131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</row>
    <row r="45" spans="1:23" ht="25.5" customHeight="1">
      <c r="A45" s="9"/>
      <c r="B45" s="130" t="s">
        <v>10</v>
      </c>
      <c r="C45" s="216">
        <f>144000+36000+78000+78000</f>
        <v>336000</v>
      </c>
      <c r="D45" s="133"/>
      <c r="E45" s="269">
        <v>10000</v>
      </c>
      <c r="F45" s="269">
        <v>3000</v>
      </c>
      <c r="G45" s="269"/>
      <c r="H45" s="269">
        <v>6500</v>
      </c>
      <c r="I45" s="269"/>
      <c r="J45" s="269"/>
      <c r="K45" s="269"/>
      <c r="L45" s="269"/>
      <c r="M45" s="269">
        <v>6500</v>
      </c>
      <c r="N45" s="269"/>
      <c r="O45" s="269"/>
      <c r="P45" s="269"/>
      <c r="Q45" s="269"/>
      <c r="R45" s="269"/>
      <c r="S45" s="269"/>
      <c r="T45" s="269"/>
      <c r="U45" s="269"/>
      <c r="V45" s="269"/>
    </row>
    <row r="46" spans="1:23" ht="25.5" customHeight="1">
      <c r="A46" s="9"/>
      <c r="B46" s="130" t="s">
        <v>9</v>
      </c>
      <c r="C46" s="216">
        <f>25000+10000+30000+20000</f>
        <v>85000</v>
      </c>
      <c r="D46" s="131"/>
      <c r="E46" s="269"/>
      <c r="F46" s="269"/>
      <c r="G46" s="269"/>
      <c r="H46" s="269">
        <v>4800</v>
      </c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</row>
    <row r="47" spans="1:23" ht="25.5" customHeight="1">
      <c r="A47" s="197"/>
      <c r="B47" s="198" t="s">
        <v>241</v>
      </c>
      <c r="C47" s="286">
        <v>44200</v>
      </c>
      <c r="D47" s="131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</row>
    <row r="48" spans="1:23" ht="25.5" customHeight="1" thickBot="1">
      <c r="A48" s="46"/>
      <c r="B48" s="47" t="s">
        <v>5</v>
      </c>
      <c r="C48" s="289">
        <f>SUM(C40:C47)</f>
        <v>500200</v>
      </c>
      <c r="D48" s="255">
        <f>SUM(D40:D47)</f>
        <v>0</v>
      </c>
      <c r="E48" s="254">
        <f>SUM(E40:E47)</f>
        <v>10000</v>
      </c>
      <c r="F48" s="254">
        <f>SUM(F40:F47)</f>
        <v>3000</v>
      </c>
      <c r="G48" s="254">
        <f t="shared" ref="G48:V48" si="3">SUM(G40:G47)</f>
        <v>0</v>
      </c>
      <c r="H48" s="254">
        <f>SUM(H40:H47)</f>
        <v>11300</v>
      </c>
      <c r="I48" s="255">
        <f t="shared" si="3"/>
        <v>0</v>
      </c>
      <c r="J48" s="255">
        <f t="shared" si="3"/>
        <v>0</v>
      </c>
      <c r="K48" s="255">
        <f t="shared" si="3"/>
        <v>0</v>
      </c>
      <c r="L48" s="255">
        <f t="shared" si="3"/>
        <v>0</v>
      </c>
      <c r="M48" s="254">
        <f>SUM(M40:M47)</f>
        <v>6500</v>
      </c>
      <c r="N48" s="255">
        <f t="shared" si="3"/>
        <v>0</v>
      </c>
      <c r="O48" s="255">
        <f t="shared" si="3"/>
        <v>0</v>
      </c>
      <c r="P48" s="255">
        <f t="shared" si="3"/>
        <v>0</v>
      </c>
      <c r="Q48" s="255">
        <f t="shared" si="3"/>
        <v>0</v>
      </c>
      <c r="R48" s="255">
        <f t="shared" si="3"/>
        <v>0</v>
      </c>
      <c r="S48" s="255">
        <f t="shared" si="3"/>
        <v>0</v>
      </c>
      <c r="T48" s="255"/>
      <c r="U48" s="255">
        <f t="shared" si="3"/>
        <v>0</v>
      </c>
      <c r="V48" s="255">
        <f t="shared" si="3"/>
        <v>0</v>
      </c>
      <c r="W48" s="314">
        <f>SUM(D48:V48)</f>
        <v>30800</v>
      </c>
    </row>
    <row r="49" spans="1:22" ht="25.5" customHeight="1" thickTop="1">
      <c r="A49" s="5" t="s">
        <v>99</v>
      </c>
      <c r="B49" s="6"/>
      <c r="C49" s="190"/>
      <c r="D49" s="133"/>
      <c r="E49" s="269"/>
      <c r="F49" s="136"/>
      <c r="G49" s="136"/>
      <c r="H49" s="136"/>
      <c r="I49" s="133"/>
      <c r="J49" s="133"/>
      <c r="K49" s="133"/>
      <c r="L49" s="133"/>
      <c r="M49" s="136"/>
      <c r="N49" s="133"/>
      <c r="O49" s="133"/>
      <c r="P49" s="133"/>
      <c r="Q49" s="133"/>
      <c r="R49" s="217"/>
      <c r="S49" s="219"/>
      <c r="T49" s="259"/>
      <c r="U49" s="258"/>
      <c r="V49" s="258"/>
    </row>
    <row r="50" spans="1:22" ht="25.5" customHeight="1">
      <c r="A50" s="5"/>
      <c r="B50" s="130" t="s">
        <v>100</v>
      </c>
      <c r="C50" s="281">
        <f>15000+7000+20000+15000</f>
        <v>57000</v>
      </c>
      <c r="D50" s="133"/>
      <c r="E50" s="269"/>
      <c r="F50" s="269"/>
      <c r="G50" s="269"/>
      <c r="H50" s="269">
        <v>22500</v>
      </c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</row>
    <row r="51" spans="1:22" ht="25.5" customHeight="1">
      <c r="A51" s="5"/>
      <c r="B51" s="130" t="s">
        <v>226</v>
      </c>
      <c r="C51" s="281">
        <f>1044000+124000+384000+296000-47000+10000+156000+65000</f>
        <v>2032000</v>
      </c>
      <c r="D51" s="133"/>
      <c r="E51" s="269">
        <v>128000</v>
      </c>
      <c r="F51" s="269">
        <v>7000</v>
      </c>
      <c r="G51" s="269"/>
      <c r="H51" s="269">
        <v>43838</v>
      </c>
      <c r="I51" s="269"/>
      <c r="J51" s="269"/>
      <c r="K51" s="269"/>
      <c r="L51" s="269"/>
      <c r="M51" s="269">
        <v>37500</v>
      </c>
      <c r="N51" s="269"/>
      <c r="O51" s="269"/>
      <c r="P51" s="269"/>
      <c r="Q51" s="269"/>
      <c r="R51" s="269"/>
      <c r="S51" s="269"/>
      <c r="T51" s="269"/>
      <c r="U51" s="269"/>
      <c r="V51" s="269"/>
    </row>
    <row r="52" spans="1:22" ht="25.5" customHeight="1">
      <c r="A52" s="5"/>
      <c r="B52" s="130" t="s">
        <v>223</v>
      </c>
      <c r="C52" s="281">
        <v>200000</v>
      </c>
      <c r="D52" s="133"/>
      <c r="E52" s="269">
        <v>50000</v>
      </c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</row>
    <row r="53" spans="1:22" ht="25.5" customHeight="1">
      <c r="A53" s="5"/>
      <c r="B53" s="130" t="s">
        <v>224</v>
      </c>
      <c r="C53" s="281">
        <v>20000</v>
      </c>
      <c r="D53" s="133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</row>
    <row r="54" spans="1:22" ht="25.5" customHeight="1">
      <c r="A54" s="5"/>
      <c r="B54" s="130" t="s">
        <v>225</v>
      </c>
      <c r="C54" s="281">
        <f>10000+14000</f>
        <v>24000</v>
      </c>
      <c r="D54" s="133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</row>
    <row r="55" spans="1:22" ht="25.5" customHeight="1">
      <c r="A55" s="5"/>
      <c r="B55" s="130" t="s">
        <v>227</v>
      </c>
      <c r="C55" s="281">
        <v>40000</v>
      </c>
      <c r="D55" s="133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</row>
    <row r="56" spans="1:22" ht="25.5" customHeight="1">
      <c r="A56" s="5"/>
      <c r="B56" s="130" t="s">
        <v>228</v>
      </c>
      <c r="C56" s="281">
        <v>9000</v>
      </c>
      <c r="D56" s="133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</row>
    <row r="57" spans="1:22" ht="25.5" customHeight="1">
      <c r="A57" s="5"/>
      <c r="B57" s="130" t="s">
        <v>11</v>
      </c>
      <c r="C57" s="281">
        <f>10000+60000+20000</f>
        <v>90000</v>
      </c>
      <c r="D57" s="133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</row>
    <row r="58" spans="1:22" ht="25.5" customHeight="1">
      <c r="A58" s="5"/>
      <c r="B58" s="130" t="s">
        <v>229</v>
      </c>
      <c r="C58" s="281">
        <v>10000</v>
      </c>
      <c r="D58" s="133"/>
      <c r="E58" s="269">
        <v>762</v>
      </c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</row>
    <row r="59" spans="1:22" ht="25.5" customHeight="1">
      <c r="A59" s="5"/>
      <c r="B59" s="130" t="s">
        <v>230</v>
      </c>
      <c r="C59" s="281">
        <v>20000</v>
      </c>
      <c r="D59" s="133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</row>
    <row r="60" spans="1:22" ht="25.5" customHeight="1">
      <c r="A60" s="9"/>
      <c r="B60" s="130" t="s">
        <v>50</v>
      </c>
      <c r="C60" s="280">
        <v>10000</v>
      </c>
      <c r="D60" s="133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</row>
    <row r="61" spans="1:22" ht="25.5" customHeight="1">
      <c r="A61" s="9"/>
      <c r="B61" s="130" t="s">
        <v>103</v>
      </c>
      <c r="C61" s="280">
        <v>10000</v>
      </c>
      <c r="D61" s="131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</row>
    <row r="62" spans="1:22" ht="25.5" customHeight="1">
      <c r="A62" s="9"/>
      <c r="B62" s="187" t="s">
        <v>106</v>
      </c>
      <c r="C62" s="283">
        <f>200000+30000+30000+80000+19000+1000+10000+2500+2500+2500+2500+20000</f>
        <v>400000</v>
      </c>
      <c r="D62" s="131"/>
      <c r="E62" s="269">
        <v>49883</v>
      </c>
      <c r="F62" s="269">
        <v>16880</v>
      </c>
      <c r="G62" s="269"/>
      <c r="H62" s="269">
        <v>20264</v>
      </c>
      <c r="I62" s="269"/>
      <c r="J62" s="269"/>
      <c r="K62" s="269"/>
      <c r="L62" s="269"/>
      <c r="M62" s="269">
        <v>8400</v>
      </c>
      <c r="N62" s="269"/>
      <c r="O62" s="269"/>
      <c r="P62" s="269"/>
      <c r="Q62" s="269"/>
      <c r="R62" s="269"/>
      <c r="S62" s="269"/>
      <c r="T62" s="269"/>
      <c r="U62" s="269"/>
      <c r="V62" s="269"/>
    </row>
    <row r="63" spans="1:22" ht="25.5" customHeight="1">
      <c r="A63" s="9"/>
      <c r="B63" s="187" t="s">
        <v>231</v>
      </c>
      <c r="C63" s="283">
        <f>5000+8900</f>
        <v>13900</v>
      </c>
      <c r="D63" s="131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</row>
    <row r="64" spans="1:22" ht="25.5" customHeight="1">
      <c r="A64" s="9"/>
      <c r="B64" s="187" t="s">
        <v>204</v>
      </c>
      <c r="C64" s="283">
        <v>5000</v>
      </c>
      <c r="D64" s="131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</row>
    <row r="65" spans="1:22" ht="25.5" customHeight="1">
      <c r="A65" s="9"/>
      <c r="B65" s="187" t="s">
        <v>232</v>
      </c>
      <c r="C65" s="283">
        <f>120000+100000</f>
        <v>220000</v>
      </c>
      <c r="D65" s="131"/>
      <c r="E65" s="269">
        <v>56000</v>
      </c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</row>
    <row r="66" spans="1:22" ht="25.5" customHeight="1">
      <c r="A66" s="9"/>
      <c r="B66" s="187" t="s">
        <v>233</v>
      </c>
      <c r="C66" s="283">
        <f>125000-8900-16100</f>
        <v>100000</v>
      </c>
      <c r="D66" s="131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</row>
    <row r="67" spans="1:22" ht="25.5" customHeight="1">
      <c r="A67" s="9"/>
      <c r="B67" s="187" t="s">
        <v>234</v>
      </c>
      <c r="C67" s="283">
        <v>5000</v>
      </c>
      <c r="D67" s="131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</row>
    <row r="68" spans="1:22" ht="25.5" customHeight="1">
      <c r="A68" s="9"/>
      <c r="B68" s="187" t="s">
        <v>235</v>
      </c>
      <c r="C68" s="283">
        <v>90000</v>
      </c>
      <c r="D68" s="131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</row>
    <row r="69" spans="1:22" ht="25.5" customHeight="1">
      <c r="A69" s="9"/>
      <c r="B69" s="187" t="s">
        <v>236</v>
      </c>
      <c r="C69" s="283">
        <v>5000</v>
      </c>
      <c r="D69" s="131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</row>
    <row r="70" spans="1:22" ht="25.5" customHeight="1">
      <c r="A70" s="9"/>
      <c r="B70" s="187" t="s">
        <v>237</v>
      </c>
      <c r="C70" s="283">
        <v>5000</v>
      </c>
      <c r="D70" s="131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</row>
    <row r="71" spans="1:22" ht="25.5" customHeight="1">
      <c r="A71" s="165"/>
      <c r="B71" s="226" t="s">
        <v>277</v>
      </c>
      <c r="C71" s="279">
        <v>5000</v>
      </c>
      <c r="D71" s="131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</row>
    <row r="72" spans="1:22" ht="25.5" customHeight="1">
      <c r="A72" s="165"/>
      <c r="B72" s="226" t="s">
        <v>107</v>
      </c>
      <c r="C72" s="279">
        <v>10000</v>
      </c>
      <c r="D72" s="131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</row>
    <row r="73" spans="1:22" ht="25.5" customHeight="1">
      <c r="A73" s="9"/>
      <c r="B73" s="226" t="s">
        <v>278</v>
      </c>
      <c r="C73" s="279">
        <v>10000</v>
      </c>
      <c r="D73" s="195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</row>
    <row r="74" spans="1:22" ht="25.5" customHeight="1">
      <c r="A74" s="165"/>
      <c r="B74" s="226" t="s">
        <v>279</v>
      </c>
      <c r="C74" s="279">
        <v>10000</v>
      </c>
      <c r="D74" s="195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</row>
    <row r="75" spans="1:22" ht="25.5" customHeight="1">
      <c r="A75" s="9"/>
      <c r="B75" s="226" t="s">
        <v>280</v>
      </c>
      <c r="C75" s="279">
        <v>10000</v>
      </c>
      <c r="D75" s="195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</row>
    <row r="76" spans="1:22" ht="25.5" customHeight="1">
      <c r="A76" s="9"/>
      <c r="B76" s="226" t="s">
        <v>281</v>
      </c>
      <c r="C76" s="279">
        <v>5000</v>
      </c>
      <c r="D76" s="195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</row>
    <row r="77" spans="1:22" ht="25.5" customHeight="1">
      <c r="A77" s="9"/>
      <c r="B77" s="226" t="s">
        <v>282</v>
      </c>
      <c r="C77" s="279">
        <v>5000</v>
      </c>
      <c r="D77" s="195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</row>
    <row r="78" spans="1:22" ht="25.5" customHeight="1">
      <c r="A78" s="9"/>
      <c r="B78" s="226" t="s">
        <v>238</v>
      </c>
      <c r="C78" s="279">
        <f>70000+40000+10000+20000+30000+10000+10000</f>
        <v>190000</v>
      </c>
      <c r="D78" s="195"/>
      <c r="E78" s="269">
        <v>15640</v>
      </c>
      <c r="F78" s="269"/>
      <c r="G78" s="269"/>
      <c r="H78" s="269">
        <v>6970</v>
      </c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</row>
    <row r="79" spans="1:22" ht="25.5" customHeight="1">
      <c r="A79" s="9"/>
      <c r="B79" s="226" t="s">
        <v>121</v>
      </c>
      <c r="C79" s="279">
        <f>100000+47000+3000-140000</f>
        <v>10000</v>
      </c>
      <c r="D79" s="195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</row>
    <row r="80" spans="1:22" ht="25.5" customHeight="1">
      <c r="A80" s="9"/>
      <c r="B80" s="226" t="s">
        <v>295</v>
      </c>
      <c r="C80" s="279">
        <f>40000+50000</f>
        <v>90000</v>
      </c>
      <c r="D80" s="195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</row>
    <row r="81" spans="1:22" ht="25.5" customHeight="1">
      <c r="A81" s="9"/>
      <c r="B81" s="226" t="s">
        <v>296</v>
      </c>
      <c r="C81" s="279">
        <v>30000</v>
      </c>
      <c r="D81" s="195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</row>
    <row r="82" spans="1:22" ht="25.5" customHeight="1">
      <c r="A82" s="9"/>
      <c r="B82" s="226" t="s">
        <v>210</v>
      </c>
      <c r="C82" s="279">
        <v>10000</v>
      </c>
      <c r="D82" s="195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</row>
    <row r="83" spans="1:22" ht="25.5" customHeight="1">
      <c r="A83" s="9"/>
      <c r="B83" s="187" t="s">
        <v>297</v>
      </c>
      <c r="C83" s="279">
        <v>20000</v>
      </c>
      <c r="D83" s="195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</row>
    <row r="84" spans="1:22" ht="25.5" customHeight="1">
      <c r="A84" s="9"/>
      <c r="B84" s="187" t="s">
        <v>298</v>
      </c>
      <c r="C84" s="279">
        <v>20000</v>
      </c>
      <c r="D84" s="195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</row>
    <row r="85" spans="1:22" ht="25.5" customHeight="1">
      <c r="A85" s="9"/>
      <c r="B85" s="187" t="s">
        <v>299</v>
      </c>
      <c r="C85" s="279">
        <v>15000</v>
      </c>
      <c r="D85" s="195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</row>
    <row r="86" spans="1:22" ht="25.5" customHeight="1">
      <c r="A86" s="9"/>
      <c r="B86" s="187" t="s">
        <v>300</v>
      </c>
      <c r="C86" s="279">
        <v>10000</v>
      </c>
      <c r="D86" s="195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</row>
    <row r="87" spans="1:22" ht="25.5" customHeight="1">
      <c r="A87" s="9"/>
      <c r="B87" s="187" t="s">
        <v>301</v>
      </c>
      <c r="C87" s="279">
        <v>345100</v>
      </c>
      <c r="D87" s="19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</row>
    <row r="88" spans="1:22" ht="25.5" customHeight="1">
      <c r="A88" s="9"/>
      <c r="B88" s="187" t="s">
        <v>242</v>
      </c>
      <c r="C88" s="279">
        <v>40000</v>
      </c>
      <c r="D88" s="195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</row>
    <row r="89" spans="1:22" ht="25.5" customHeight="1">
      <c r="A89" s="9"/>
      <c r="B89" s="187" t="s">
        <v>307</v>
      </c>
      <c r="C89" s="279">
        <f>10000-10000</f>
        <v>0</v>
      </c>
      <c r="D89" s="131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</row>
    <row r="90" spans="1:22" ht="25.5" customHeight="1">
      <c r="A90" s="9"/>
      <c r="B90" s="187" t="s">
        <v>134</v>
      </c>
      <c r="C90" s="279">
        <f>15000-10000</f>
        <v>5000</v>
      </c>
      <c r="D90" s="195"/>
      <c r="E90" s="269"/>
      <c r="F90" s="269"/>
      <c r="G90" s="269"/>
      <c r="H90" s="269"/>
      <c r="I90" s="269">
        <v>4000</v>
      </c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</row>
    <row r="91" spans="1:22" ht="25.5" customHeight="1">
      <c r="A91" s="9"/>
      <c r="B91" s="187" t="s">
        <v>308</v>
      </c>
      <c r="C91" s="279">
        <f>2500-2500</f>
        <v>0</v>
      </c>
      <c r="D91" s="195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</row>
    <row r="92" spans="1:22" ht="25.5" customHeight="1">
      <c r="A92" s="9"/>
      <c r="B92" s="187" t="s">
        <v>309</v>
      </c>
      <c r="C92" s="279">
        <f>2500-2500</f>
        <v>0</v>
      </c>
      <c r="D92" s="195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</row>
    <row r="93" spans="1:22" ht="25.5" customHeight="1">
      <c r="A93" s="9"/>
      <c r="B93" s="187" t="s">
        <v>310</v>
      </c>
      <c r="C93" s="279">
        <f>2500-2500</f>
        <v>0</v>
      </c>
      <c r="D93" s="195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</row>
    <row r="94" spans="1:22" ht="25.5" customHeight="1">
      <c r="A94" s="9"/>
      <c r="B94" s="187" t="s">
        <v>311</v>
      </c>
      <c r="C94" s="279">
        <f>2500-2500</f>
        <v>0</v>
      </c>
      <c r="D94" s="195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</row>
    <row r="95" spans="1:22" ht="25.5" customHeight="1">
      <c r="A95" s="9"/>
      <c r="B95" s="187" t="s">
        <v>243</v>
      </c>
      <c r="C95" s="279">
        <v>2000</v>
      </c>
      <c r="D95" s="195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</row>
    <row r="96" spans="1:22" ht="25.5" customHeight="1">
      <c r="A96" s="9"/>
      <c r="B96" s="187" t="s">
        <v>248</v>
      </c>
      <c r="C96" s="279">
        <v>2000</v>
      </c>
      <c r="D96" s="195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</row>
    <row r="97" spans="1:22" ht="25.5" customHeight="1">
      <c r="A97" s="9"/>
      <c r="B97" s="187" t="s">
        <v>244</v>
      </c>
      <c r="C97" s="279">
        <v>2000</v>
      </c>
      <c r="D97" s="195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</row>
    <row r="98" spans="1:22" ht="25.5" customHeight="1">
      <c r="A98" s="9"/>
      <c r="B98" s="187" t="s">
        <v>245</v>
      </c>
      <c r="C98" s="279">
        <v>2000</v>
      </c>
      <c r="D98" s="195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</row>
    <row r="99" spans="1:22" ht="25.5" customHeight="1">
      <c r="A99" s="9"/>
      <c r="B99" s="187" t="s">
        <v>246</v>
      </c>
      <c r="C99" s="279">
        <v>2000</v>
      </c>
      <c r="D99" s="195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</row>
    <row r="100" spans="1:22" ht="25.5" customHeight="1">
      <c r="A100" s="9"/>
      <c r="B100" s="187" t="s">
        <v>247</v>
      </c>
      <c r="C100" s="279">
        <v>2000</v>
      </c>
      <c r="D100" s="195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</row>
    <row r="101" spans="1:22" ht="25.5" customHeight="1">
      <c r="A101" s="9"/>
      <c r="B101" s="187" t="s">
        <v>249</v>
      </c>
      <c r="C101" s="279">
        <v>2000</v>
      </c>
      <c r="D101" s="195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</row>
    <row r="102" spans="1:22" ht="25.5" customHeight="1">
      <c r="A102" s="9"/>
      <c r="B102" s="187" t="s">
        <v>250</v>
      </c>
      <c r="C102" s="279">
        <v>2000</v>
      </c>
      <c r="D102" s="195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</row>
    <row r="103" spans="1:22" ht="25.5" customHeight="1">
      <c r="A103" s="9"/>
      <c r="B103" s="187" t="s">
        <v>251</v>
      </c>
      <c r="C103" s="279">
        <v>2000</v>
      </c>
      <c r="D103" s="195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</row>
    <row r="104" spans="1:22" ht="25.5" customHeight="1">
      <c r="A104" s="9"/>
      <c r="B104" s="187" t="s">
        <v>252</v>
      </c>
      <c r="C104" s="279">
        <v>2000</v>
      </c>
      <c r="D104" s="195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</row>
    <row r="105" spans="1:22" ht="25.5" customHeight="1">
      <c r="A105" s="9"/>
      <c r="B105" s="187" t="s">
        <v>253</v>
      </c>
      <c r="C105" s="279">
        <v>2000</v>
      </c>
      <c r="D105" s="195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</row>
    <row r="106" spans="1:22" ht="25.5" customHeight="1">
      <c r="A106" s="9"/>
      <c r="B106" s="187" t="s">
        <v>254</v>
      </c>
      <c r="C106" s="279">
        <v>2000</v>
      </c>
      <c r="D106" s="195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</row>
    <row r="107" spans="1:22" ht="25.5" customHeight="1">
      <c r="A107" s="9"/>
      <c r="B107" s="187" t="s">
        <v>312</v>
      </c>
      <c r="C107" s="279">
        <v>2500</v>
      </c>
      <c r="D107" s="195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</row>
    <row r="108" spans="1:22" ht="25.5" customHeight="1">
      <c r="A108" s="9"/>
      <c r="B108" s="187" t="s">
        <v>313</v>
      </c>
      <c r="C108" s="279">
        <v>2500</v>
      </c>
      <c r="D108" s="131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</row>
    <row r="109" spans="1:22" ht="25.5" customHeight="1">
      <c r="A109" s="9"/>
      <c r="B109" s="187" t="s">
        <v>314</v>
      </c>
      <c r="C109" s="279">
        <v>2500</v>
      </c>
      <c r="D109" s="195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</row>
    <row r="110" spans="1:22" ht="25.5" customHeight="1">
      <c r="A110" s="9"/>
      <c r="B110" s="187" t="s">
        <v>255</v>
      </c>
      <c r="C110" s="279">
        <v>4000</v>
      </c>
      <c r="D110" s="195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</row>
    <row r="111" spans="1:22" ht="25.5" customHeight="1">
      <c r="A111" s="9"/>
      <c r="B111" s="187" t="s">
        <v>256</v>
      </c>
      <c r="C111" s="279">
        <v>2500</v>
      </c>
      <c r="D111" s="195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</row>
    <row r="112" spans="1:22" ht="25.5" customHeight="1">
      <c r="A112" s="9"/>
      <c r="B112" s="187" t="s">
        <v>257</v>
      </c>
      <c r="C112" s="279">
        <v>2500</v>
      </c>
      <c r="D112" s="195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</row>
    <row r="113" spans="1:22" ht="25.5" customHeight="1">
      <c r="A113" s="9"/>
      <c r="B113" s="187" t="s">
        <v>258</v>
      </c>
      <c r="C113" s="279">
        <v>2500</v>
      </c>
      <c r="D113" s="195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</row>
    <row r="114" spans="1:22" ht="25.5" customHeight="1">
      <c r="A114" s="9"/>
      <c r="B114" s="187" t="s">
        <v>259</v>
      </c>
      <c r="C114" s="279">
        <v>1000</v>
      </c>
      <c r="D114" s="195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</row>
    <row r="115" spans="1:22" ht="25.5" customHeight="1">
      <c r="A115" s="9"/>
      <c r="B115" s="187" t="s">
        <v>260</v>
      </c>
      <c r="C115" s="279">
        <v>1000</v>
      </c>
      <c r="D115" s="195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</row>
    <row r="116" spans="1:22" ht="25.5" customHeight="1">
      <c r="A116" s="9"/>
      <c r="B116" s="187" t="s">
        <v>261</v>
      </c>
      <c r="C116" s="279">
        <v>1000</v>
      </c>
      <c r="D116" s="195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</row>
    <row r="117" spans="1:22" ht="25.5" customHeight="1">
      <c r="A117" s="9"/>
      <c r="B117" s="187" t="s">
        <v>262</v>
      </c>
      <c r="C117" s="279">
        <v>1000</v>
      </c>
      <c r="D117" s="195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</row>
    <row r="118" spans="1:22" ht="25.5" customHeight="1">
      <c r="A118" s="9"/>
      <c r="B118" s="187" t="s">
        <v>211</v>
      </c>
      <c r="C118" s="279">
        <v>392000</v>
      </c>
      <c r="D118" s="195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</row>
    <row r="119" spans="1:22" ht="25.5" customHeight="1">
      <c r="A119" s="9"/>
      <c r="B119" s="187" t="s">
        <v>263</v>
      </c>
      <c r="C119" s="279">
        <v>200900</v>
      </c>
      <c r="D119" s="195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</row>
    <row r="120" spans="1:22" ht="25.5" customHeight="1">
      <c r="A120" s="9"/>
      <c r="B120" s="187" t="s">
        <v>315</v>
      </c>
      <c r="C120" s="279">
        <v>230300</v>
      </c>
      <c r="D120" s="195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</row>
    <row r="121" spans="1:22" ht="25.5" customHeight="1">
      <c r="A121" s="9"/>
      <c r="B121" s="187" t="s">
        <v>212</v>
      </c>
      <c r="C121" s="279">
        <v>171500</v>
      </c>
      <c r="D121" s="195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</row>
    <row r="122" spans="1:22" ht="25.5" customHeight="1">
      <c r="A122" s="9"/>
      <c r="B122" s="187" t="s">
        <v>140</v>
      </c>
      <c r="C122" s="279">
        <v>50000</v>
      </c>
      <c r="D122" s="195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</row>
    <row r="123" spans="1:22" ht="25.5" customHeight="1">
      <c r="A123" s="9"/>
      <c r="B123" s="187" t="s">
        <v>206</v>
      </c>
      <c r="C123" s="279">
        <v>20000</v>
      </c>
      <c r="D123" s="195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</row>
    <row r="124" spans="1:22" ht="25.5" customHeight="1">
      <c r="A124" s="9"/>
      <c r="B124" s="187" t="s">
        <v>326</v>
      </c>
      <c r="C124" s="279">
        <v>5000</v>
      </c>
      <c r="D124" s="195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</row>
    <row r="125" spans="1:22" ht="25.5" customHeight="1">
      <c r="A125" s="9"/>
      <c r="B125" s="187" t="s">
        <v>327</v>
      </c>
      <c r="C125" s="279">
        <v>5000</v>
      </c>
      <c r="D125" s="195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</row>
    <row r="126" spans="1:22" ht="25.5" customHeight="1">
      <c r="A126" s="9"/>
      <c r="B126" s="187" t="s">
        <v>142</v>
      </c>
      <c r="C126" s="279">
        <v>20000</v>
      </c>
      <c r="D126" s="195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</row>
    <row r="127" spans="1:22" ht="25.5" customHeight="1">
      <c r="A127" s="9"/>
      <c r="B127" s="226" t="s">
        <v>328</v>
      </c>
      <c r="C127" s="279">
        <v>10000</v>
      </c>
      <c r="D127" s="195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</row>
    <row r="128" spans="1:22" ht="25.5" customHeight="1">
      <c r="A128" s="9"/>
      <c r="B128" s="226" t="s">
        <v>329</v>
      </c>
      <c r="C128" s="279">
        <v>10000</v>
      </c>
      <c r="D128" s="131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</row>
    <row r="129" spans="1:22" ht="25.5" customHeight="1">
      <c r="A129" s="9"/>
      <c r="B129" s="226" t="s">
        <v>330</v>
      </c>
      <c r="C129" s="279">
        <v>10000</v>
      </c>
      <c r="D129" s="195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</row>
    <row r="130" spans="1:22" ht="25.5" customHeight="1">
      <c r="A130" s="9"/>
      <c r="B130" s="226" t="s">
        <v>331</v>
      </c>
      <c r="C130" s="279">
        <f>10000-10000</f>
        <v>0</v>
      </c>
      <c r="D130" s="195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</row>
    <row r="131" spans="1:22" ht="25.5" customHeight="1">
      <c r="A131" s="9"/>
      <c r="B131" s="226" t="s">
        <v>333</v>
      </c>
      <c r="C131" s="279">
        <v>15000</v>
      </c>
      <c r="D131" s="195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</row>
    <row r="132" spans="1:22" ht="25.5" customHeight="1">
      <c r="A132" s="9"/>
      <c r="B132" s="226" t="s">
        <v>157</v>
      </c>
      <c r="C132" s="279">
        <v>10000</v>
      </c>
      <c r="D132" s="195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</row>
    <row r="133" spans="1:22" ht="25.5" customHeight="1">
      <c r="A133" s="9"/>
      <c r="B133" s="226" t="s">
        <v>158</v>
      </c>
      <c r="C133" s="279">
        <v>10000</v>
      </c>
      <c r="D133" s="195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</row>
    <row r="134" spans="1:22" ht="25.5" customHeight="1">
      <c r="A134" s="9"/>
      <c r="B134" s="226" t="s">
        <v>352</v>
      </c>
      <c r="C134" s="279">
        <f>10000+10000-20000</f>
        <v>0</v>
      </c>
      <c r="D134" s="195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</row>
    <row r="135" spans="1:22" ht="25.5" customHeight="1">
      <c r="A135" s="9"/>
      <c r="B135" s="226" t="s">
        <v>213</v>
      </c>
      <c r="C135" s="279">
        <v>15000</v>
      </c>
      <c r="D135" s="195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</row>
    <row r="136" spans="1:22" ht="25.5" customHeight="1">
      <c r="A136" s="9"/>
      <c r="B136" s="226" t="s">
        <v>265</v>
      </c>
      <c r="C136" s="279">
        <f>20000-20000</f>
        <v>0</v>
      </c>
      <c r="D136" s="195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</row>
    <row r="137" spans="1:22" ht="25.5" customHeight="1">
      <c r="A137" s="9"/>
      <c r="B137" s="226" t="s">
        <v>353</v>
      </c>
      <c r="C137" s="279">
        <v>5000</v>
      </c>
      <c r="D137" s="195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</row>
    <row r="138" spans="1:22" ht="25.5" customHeight="1">
      <c r="A138" s="9"/>
      <c r="B138" s="226" t="s">
        <v>354</v>
      </c>
      <c r="C138" s="279">
        <v>10000</v>
      </c>
      <c r="D138" s="195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</row>
    <row r="139" spans="1:22" ht="25.5" customHeight="1">
      <c r="A139" s="9"/>
      <c r="B139" s="187" t="s">
        <v>355</v>
      </c>
      <c r="C139" s="279">
        <v>20000</v>
      </c>
      <c r="D139" s="195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</row>
    <row r="140" spans="1:22" ht="25.5" customHeight="1">
      <c r="A140" s="9"/>
      <c r="B140" s="187" t="s">
        <v>356</v>
      </c>
      <c r="C140" s="279">
        <v>20000</v>
      </c>
      <c r="D140" s="195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</row>
    <row r="141" spans="1:22" ht="25.5" customHeight="1">
      <c r="A141" s="9"/>
      <c r="B141" s="187" t="s">
        <v>357</v>
      </c>
      <c r="C141" s="279">
        <v>10000</v>
      </c>
      <c r="D141" s="195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</row>
    <row r="142" spans="1:22" ht="25.5" customHeight="1">
      <c r="A142" s="9"/>
      <c r="B142" s="187" t="s">
        <v>358</v>
      </c>
      <c r="C142" s="279">
        <v>10000</v>
      </c>
      <c r="D142" s="195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</row>
    <row r="143" spans="1:22" ht="25.5" customHeight="1">
      <c r="A143" s="9"/>
      <c r="B143" s="187" t="s">
        <v>359</v>
      </c>
      <c r="C143" s="279">
        <v>5000</v>
      </c>
      <c r="D143" s="195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</row>
    <row r="144" spans="1:22" ht="25.5" customHeight="1">
      <c r="A144" s="9"/>
      <c r="B144" s="187" t="s">
        <v>360</v>
      </c>
      <c r="C144" s="279">
        <v>5000</v>
      </c>
      <c r="D144" s="195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</row>
    <row r="145" spans="1:22" ht="25.5" customHeight="1">
      <c r="A145" s="9"/>
      <c r="B145" s="187" t="s">
        <v>361</v>
      </c>
      <c r="C145" s="279">
        <v>5000</v>
      </c>
      <c r="D145" s="195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</row>
    <row r="146" spans="1:22" ht="25.5" customHeight="1">
      <c r="A146" s="9"/>
      <c r="B146" s="187" t="s">
        <v>362</v>
      </c>
      <c r="C146" s="279">
        <v>5000</v>
      </c>
      <c r="D146" s="195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</row>
    <row r="147" spans="1:22" ht="25.5" customHeight="1">
      <c r="A147" s="9"/>
      <c r="B147" s="187" t="s">
        <v>363</v>
      </c>
      <c r="C147" s="279">
        <v>5000</v>
      </c>
      <c r="D147" s="131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</row>
    <row r="148" spans="1:22" ht="25.5" customHeight="1">
      <c r="A148" s="9"/>
      <c r="B148" s="187" t="s">
        <v>364</v>
      </c>
      <c r="C148" s="279">
        <v>5000</v>
      </c>
      <c r="D148" s="131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</row>
    <row r="149" spans="1:22" ht="25.5" customHeight="1">
      <c r="A149" s="9"/>
      <c r="B149" s="187" t="s">
        <v>365</v>
      </c>
      <c r="C149" s="279">
        <v>5000</v>
      </c>
      <c r="D149" s="131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</row>
    <row r="150" spans="1:22" ht="25.5" customHeight="1">
      <c r="A150" s="9"/>
      <c r="B150" s="187" t="s">
        <v>366</v>
      </c>
      <c r="C150" s="279">
        <v>5000</v>
      </c>
      <c r="D150" s="131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</row>
    <row r="151" spans="1:22" ht="25.5" customHeight="1">
      <c r="A151" s="9"/>
      <c r="B151" s="187" t="s">
        <v>367</v>
      </c>
      <c r="C151" s="279">
        <v>5000</v>
      </c>
      <c r="D151" s="131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</row>
    <row r="152" spans="1:22" ht="25.5" customHeight="1">
      <c r="A152" s="9"/>
      <c r="B152" s="187" t="s">
        <v>368</v>
      </c>
      <c r="C152" s="279">
        <v>5000</v>
      </c>
      <c r="D152" s="131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</row>
    <row r="153" spans="1:22" ht="25.5" customHeight="1">
      <c r="A153" s="9"/>
      <c r="B153" s="187" t="s">
        <v>369</v>
      </c>
      <c r="C153" s="279">
        <f>10000-10000</f>
        <v>0</v>
      </c>
      <c r="D153" s="131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</row>
    <row r="154" spans="1:22" ht="25.5" customHeight="1">
      <c r="A154" s="9"/>
      <c r="B154" s="187" t="s">
        <v>370</v>
      </c>
      <c r="C154" s="279">
        <v>10000</v>
      </c>
      <c r="D154" s="131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</row>
    <row r="155" spans="1:22" ht="25.5" customHeight="1">
      <c r="A155" s="9"/>
      <c r="B155" s="187" t="s">
        <v>163</v>
      </c>
      <c r="C155" s="279">
        <f>350000-156000-153000-11000-10000-20000</f>
        <v>0</v>
      </c>
      <c r="D155" s="131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</row>
    <row r="156" spans="1:22" ht="25.5" customHeight="1">
      <c r="A156" s="9"/>
      <c r="B156" s="187" t="s">
        <v>214</v>
      </c>
      <c r="C156" s="279">
        <v>25000</v>
      </c>
      <c r="D156" s="131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</row>
    <row r="157" spans="1:22" ht="25.5" customHeight="1">
      <c r="A157" s="9"/>
      <c r="B157" s="187" t="s">
        <v>167</v>
      </c>
      <c r="C157" s="279">
        <f>30000-30000</f>
        <v>0</v>
      </c>
      <c r="D157" s="131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</row>
    <row r="158" spans="1:22" ht="25.5" customHeight="1">
      <c r="A158" s="9"/>
      <c r="B158" s="187" t="s">
        <v>371</v>
      </c>
      <c r="C158" s="279">
        <v>30000</v>
      </c>
      <c r="D158" s="131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</row>
    <row r="159" spans="1:22" ht="25.5" customHeight="1">
      <c r="A159" s="9"/>
      <c r="B159" s="187" t="s">
        <v>170</v>
      </c>
      <c r="C159" s="279">
        <v>40000</v>
      </c>
      <c r="D159" s="131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</row>
    <row r="160" spans="1:22" ht="25.5" customHeight="1">
      <c r="A160" s="9"/>
      <c r="B160" s="187" t="s">
        <v>266</v>
      </c>
      <c r="C160" s="279">
        <v>15000</v>
      </c>
      <c r="D160" s="131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</row>
    <row r="161" spans="1:23" ht="25.5" customHeight="1">
      <c r="A161" s="9"/>
      <c r="B161" s="187" t="s">
        <v>372</v>
      </c>
      <c r="C161" s="279">
        <v>65000</v>
      </c>
      <c r="D161" s="131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</row>
    <row r="162" spans="1:23" ht="25.5" customHeight="1">
      <c r="A162" s="9"/>
      <c r="B162" s="187" t="s">
        <v>373</v>
      </c>
      <c r="C162" s="279">
        <f>65000-65000</f>
        <v>0</v>
      </c>
      <c r="D162" s="131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</row>
    <row r="163" spans="1:23" ht="25.5" customHeight="1">
      <c r="A163" s="9"/>
      <c r="B163" s="187" t="s">
        <v>374</v>
      </c>
      <c r="C163" s="279">
        <v>20000</v>
      </c>
      <c r="D163" s="131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</row>
    <row r="164" spans="1:23" ht="25.5" customHeight="1">
      <c r="A164" s="9"/>
      <c r="B164" s="187" t="s">
        <v>375</v>
      </c>
      <c r="C164" s="279">
        <v>20000</v>
      </c>
      <c r="D164" s="131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</row>
    <row r="165" spans="1:23" ht="25.5" customHeight="1">
      <c r="A165" s="9"/>
      <c r="B165" s="187" t="s">
        <v>376</v>
      </c>
      <c r="C165" s="279">
        <v>25000</v>
      </c>
      <c r="D165" s="131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</row>
    <row r="166" spans="1:23" ht="25.5" customHeight="1">
      <c r="A166" s="9"/>
      <c r="B166" s="187" t="s">
        <v>377</v>
      </c>
      <c r="C166" s="279">
        <v>20000</v>
      </c>
      <c r="D166" s="131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</row>
    <row r="167" spans="1:23" ht="25.5" customHeight="1">
      <c r="A167" s="9"/>
      <c r="B167" s="187" t="s">
        <v>267</v>
      </c>
      <c r="C167" s="279">
        <v>15000</v>
      </c>
      <c r="D167" s="131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</row>
    <row r="168" spans="1:23" ht="25.5" customHeight="1">
      <c r="A168" s="9"/>
      <c r="B168" s="187" t="s">
        <v>215</v>
      </c>
      <c r="C168" s="279">
        <v>10000</v>
      </c>
      <c r="D168" s="131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</row>
    <row r="169" spans="1:23" ht="25.5" customHeight="1">
      <c r="A169" s="9"/>
      <c r="B169" s="187" t="s">
        <v>268</v>
      </c>
      <c r="C169" s="279">
        <v>5000</v>
      </c>
      <c r="D169" s="131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</row>
    <row r="170" spans="1:23" ht="25.5" customHeight="1">
      <c r="A170" s="9"/>
      <c r="B170" s="187" t="s">
        <v>413</v>
      </c>
      <c r="C170" s="279">
        <v>140000</v>
      </c>
      <c r="D170" s="131"/>
      <c r="E170" s="269"/>
      <c r="F170" s="269">
        <v>112880</v>
      </c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321"/>
    </row>
    <row r="171" spans="1:23" ht="25.5" customHeight="1">
      <c r="A171" s="9"/>
      <c r="B171" s="187" t="s">
        <v>414</v>
      </c>
      <c r="C171" s="279">
        <v>40000</v>
      </c>
      <c r="D171" s="131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</row>
    <row r="172" spans="1:23" ht="25.5" customHeight="1">
      <c r="A172" s="9"/>
      <c r="B172" s="187" t="s">
        <v>415</v>
      </c>
      <c r="C172" s="279">
        <v>20000</v>
      </c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>
        <v>18800</v>
      </c>
      <c r="Q172" s="269"/>
      <c r="R172" s="269"/>
      <c r="S172" s="269"/>
      <c r="T172" s="269"/>
      <c r="U172" s="269"/>
      <c r="V172" s="269"/>
      <c r="W172" s="321"/>
    </row>
    <row r="173" spans="1:23" ht="25.5" customHeight="1">
      <c r="A173" s="9"/>
      <c r="B173" s="187" t="s">
        <v>330</v>
      </c>
      <c r="C173" s="279"/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</row>
    <row r="174" spans="1:23" ht="25.5" customHeight="1">
      <c r="A174" s="9"/>
      <c r="B174" s="187"/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3" ht="25.5" customHeight="1" thickBot="1">
      <c r="A175" s="15"/>
      <c r="B175" s="14" t="s">
        <v>5</v>
      </c>
      <c r="C175" s="170">
        <f>SUM(C50:C174)</f>
        <v>6052700</v>
      </c>
      <c r="D175" s="255">
        <f t="shared" ref="D175:V175" si="4">SUM(D50:D174)</f>
        <v>0</v>
      </c>
      <c r="E175" s="254">
        <f>SUM(E50:E174)</f>
        <v>300285</v>
      </c>
      <c r="F175" s="254">
        <f>SUM(F50:F174)</f>
        <v>136760</v>
      </c>
      <c r="G175" s="254">
        <f t="shared" si="4"/>
        <v>0</v>
      </c>
      <c r="H175" s="254">
        <f>SUM(H50:H174)</f>
        <v>93572</v>
      </c>
      <c r="I175" s="255">
        <f>SUM(I50:I174)</f>
        <v>4000</v>
      </c>
      <c r="J175" s="255">
        <f t="shared" si="4"/>
        <v>0</v>
      </c>
      <c r="K175" s="255">
        <f t="shared" si="4"/>
        <v>0</v>
      </c>
      <c r="L175" s="255">
        <f t="shared" si="4"/>
        <v>0</v>
      </c>
      <c r="M175" s="254">
        <f>SUM(M50:M174)</f>
        <v>45900</v>
      </c>
      <c r="N175" s="255">
        <f t="shared" si="4"/>
        <v>0</v>
      </c>
      <c r="O175" s="255">
        <f t="shared" si="4"/>
        <v>0</v>
      </c>
      <c r="P175" s="255">
        <f>SUM(P50:P174)</f>
        <v>18800</v>
      </c>
      <c r="Q175" s="255">
        <f t="shared" si="4"/>
        <v>0</v>
      </c>
      <c r="R175" s="255">
        <f t="shared" si="4"/>
        <v>0</v>
      </c>
      <c r="S175" s="255">
        <f t="shared" si="4"/>
        <v>0</v>
      </c>
      <c r="T175" s="255"/>
      <c r="U175" s="255">
        <f t="shared" si="4"/>
        <v>0</v>
      </c>
      <c r="V175" s="255">
        <f t="shared" si="4"/>
        <v>0</v>
      </c>
      <c r="W175" s="314">
        <f>SUM(D175:V175)</f>
        <v>599317</v>
      </c>
    </row>
    <row r="176" spans="1:23" ht="25.5" customHeight="1" thickTop="1">
      <c r="A176" s="3" t="s">
        <v>113</v>
      </c>
      <c r="B176" s="4"/>
      <c r="C176" s="287"/>
      <c r="D176" s="133"/>
      <c r="E176" s="269"/>
      <c r="F176" s="136"/>
      <c r="G176" s="136"/>
      <c r="H176" s="136"/>
      <c r="I176" s="133"/>
      <c r="J176" s="133"/>
      <c r="K176" s="133"/>
      <c r="L176" s="133"/>
      <c r="M176" s="136"/>
      <c r="N176" s="133"/>
      <c r="O176" s="133"/>
      <c r="P176" s="133"/>
      <c r="Q176" s="133"/>
      <c r="R176" s="258"/>
      <c r="S176" s="259"/>
      <c r="T176" s="259"/>
      <c r="U176" s="258"/>
      <c r="V176" s="258"/>
    </row>
    <row r="177" spans="1:23" ht="25.5" customHeight="1">
      <c r="A177" s="9"/>
      <c r="B177" s="130" t="s">
        <v>111</v>
      </c>
      <c r="C177" s="216">
        <f>50000+25000+5000+25000+10000+10000-8000</f>
        <v>117000</v>
      </c>
      <c r="D177" s="131"/>
      <c r="E177" s="267"/>
      <c r="F177" s="267"/>
      <c r="G177" s="267"/>
      <c r="H177" s="267"/>
      <c r="I177" s="267"/>
      <c r="J177" s="267"/>
      <c r="K177" s="267"/>
      <c r="L177" s="267"/>
      <c r="M177" s="267">
        <v>6649</v>
      </c>
      <c r="N177" s="267"/>
      <c r="O177" s="267"/>
      <c r="P177" s="267"/>
      <c r="Q177" s="267"/>
      <c r="R177" s="267"/>
      <c r="S177" s="267"/>
      <c r="T177" s="267"/>
      <c r="U177" s="267"/>
      <c r="V177" s="267"/>
    </row>
    <row r="178" spans="1:23" s="67" customFormat="1" ht="25.5" customHeight="1">
      <c r="A178" s="9"/>
      <c r="B178" s="130" t="s">
        <v>302</v>
      </c>
      <c r="C178" s="216">
        <v>10000</v>
      </c>
      <c r="D178" s="131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312"/>
    </row>
    <row r="179" spans="1:23" s="67" customFormat="1" ht="25.5" customHeight="1">
      <c r="A179" s="9"/>
      <c r="B179" s="130" t="s">
        <v>16</v>
      </c>
      <c r="C179" s="216">
        <f>8000+200000+5000</f>
        <v>213000</v>
      </c>
      <c r="D179" s="131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312"/>
    </row>
    <row r="180" spans="1:23" s="67" customFormat="1" ht="25.5" customHeight="1">
      <c r="A180" s="9"/>
      <c r="B180" s="130" t="s">
        <v>12</v>
      </c>
      <c r="C180" s="216">
        <f>15000+10000</f>
        <v>25000</v>
      </c>
      <c r="D180" s="131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312"/>
    </row>
    <row r="181" spans="1:23" ht="25.5" customHeight="1">
      <c r="A181" s="9"/>
      <c r="B181" s="130" t="s">
        <v>17</v>
      </c>
      <c r="C181" s="216">
        <f>15000+25000+20000-10000+8000</f>
        <v>58000</v>
      </c>
      <c r="D181" s="133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</row>
    <row r="182" spans="1:23" ht="25.5" customHeight="1">
      <c r="A182" s="9"/>
      <c r="B182" s="130" t="s">
        <v>13</v>
      </c>
      <c r="C182" s="216">
        <v>15000</v>
      </c>
      <c r="D182" s="131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</row>
    <row r="183" spans="1:23" ht="25.5" customHeight="1">
      <c r="A183" s="9"/>
      <c r="B183" s="130" t="s">
        <v>14</v>
      </c>
      <c r="C183" s="216">
        <f>240000+5000+20000</f>
        <v>265000</v>
      </c>
      <c r="D183" s="133"/>
      <c r="E183" s="267">
        <v>19827</v>
      </c>
      <c r="F183" s="267">
        <v>59.8</v>
      </c>
      <c r="G183" s="267"/>
      <c r="H183" s="267"/>
      <c r="I183" s="267"/>
      <c r="J183" s="267"/>
      <c r="K183" s="267"/>
      <c r="L183" s="267"/>
      <c r="M183" s="267">
        <v>436.8</v>
      </c>
      <c r="N183" s="267"/>
      <c r="O183" s="267"/>
      <c r="P183" s="267"/>
      <c r="Q183" s="267"/>
      <c r="R183" s="267"/>
      <c r="S183" s="267"/>
      <c r="T183" s="267"/>
      <c r="U183" s="267"/>
      <c r="V183" s="267"/>
    </row>
    <row r="184" spans="1:23" ht="25.5" customHeight="1">
      <c r="A184" s="9"/>
      <c r="B184" s="130" t="s">
        <v>112</v>
      </c>
      <c r="C184" s="216">
        <f>5000+5000+5000</f>
        <v>15000</v>
      </c>
      <c r="D184" s="133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</row>
    <row r="185" spans="1:23" ht="25.5" customHeight="1">
      <c r="A185" s="9"/>
      <c r="B185" s="130" t="s">
        <v>208</v>
      </c>
      <c r="C185" s="216">
        <v>5000</v>
      </c>
      <c r="D185" s="133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</row>
    <row r="186" spans="1:23" ht="25.5" customHeight="1">
      <c r="A186" s="9"/>
      <c r="B186" s="130" t="s">
        <v>15</v>
      </c>
      <c r="C186" s="216">
        <f>40000+15000+15000+40000</f>
        <v>110000</v>
      </c>
      <c r="D186" s="195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</row>
    <row r="187" spans="1:23" ht="25.5" customHeight="1">
      <c r="A187" s="9"/>
      <c r="B187" s="130" t="s">
        <v>303</v>
      </c>
      <c r="C187" s="216">
        <v>10000</v>
      </c>
      <c r="D187" s="195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</row>
    <row r="188" spans="1:23" ht="25.5" customHeight="1">
      <c r="A188" s="9"/>
      <c r="B188" s="130" t="s">
        <v>304</v>
      </c>
      <c r="C188" s="216">
        <f>5000+20000</f>
        <v>25000</v>
      </c>
      <c r="D188" s="195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</row>
    <row r="189" spans="1:23" ht="25.5" customHeight="1">
      <c r="A189" s="9"/>
      <c r="B189" s="130" t="s">
        <v>332</v>
      </c>
      <c r="C189" s="216">
        <v>10000</v>
      </c>
      <c r="D189" s="195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</row>
    <row r="190" spans="1:23" ht="25.5" customHeight="1">
      <c r="A190" s="9"/>
      <c r="B190" s="130" t="s">
        <v>46</v>
      </c>
      <c r="C190" s="216">
        <v>80000</v>
      </c>
      <c r="D190" s="195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>
        <v>65658</v>
      </c>
      <c r="S190" s="267"/>
      <c r="T190" s="267"/>
      <c r="U190" s="267"/>
      <c r="V190" s="267"/>
    </row>
    <row r="191" spans="1:23" ht="25.5" customHeight="1">
      <c r="A191" s="9"/>
      <c r="B191" s="130" t="s">
        <v>316</v>
      </c>
      <c r="C191" s="216">
        <v>413900</v>
      </c>
      <c r="D191" s="131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</row>
    <row r="192" spans="1:23" ht="25.5" customHeight="1">
      <c r="A192" s="9"/>
      <c r="B192" s="130" t="s">
        <v>317</v>
      </c>
      <c r="C192" s="290">
        <v>525039</v>
      </c>
      <c r="D192" s="133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</row>
    <row r="193" spans="1:23" ht="25.5" customHeight="1">
      <c r="A193" s="9"/>
      <c r="B193" s="130" t="s">
        <v>318</v>
      </c>
      <c r="C193" s="216">
        <v>277849</v>
      </c>
      <c r="D193" s="133"/>
      <c r="E193" s="267"/>
      <c r="F193" s="267"/>
      <c r="G193" s="267"/>
      <c r="H193" s="267"/>
      <c r="I193" s="324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</row>
    <row r="194" spans="1:23" ht="25.5" customHeight="1">
      <c r="A194" s="9"/>
      <c r="B194" s="185" t="s">
        <v>319</v>
      </c>
      <c r="C194" s="216">
        <v>153296</v>
      </c>
      <c r="D194" s="133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</row>
    <row r="195" spans="1:23" ht="25.5" customHeight="1">
      <c r="A195" s="9"/>
      <c r="B195" s="185" t="s">
        <v>320</v>
      </c>
      <c r="C195" s="216">
        <v>78565</v>
      </c>
      <c r="D195" s="133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</row>
    <row r="196" spans="1:23" ht="25.5" customHeight="1">
      <c r="A196" s="9"/>
      <c r="B196" s="185" t="s">
        <v>321</v>
      </c>
      <c r="C196" s="216">
        <v>90062</v>
      </c>
      <c r="D196" s="133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</row>
    <row r="197" spans="1:23" ht="25.5" customHeight="1">
      <c r="A197" s="165"/>
      <c r="B197" s="185" t="s">
        <v>322</v>
      </c>
      <c r="C197" s="216">
        <v>67067</v>
      </c>
      <c r="D197" s="133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</row>
    <row r="198" spans="1:23" ht="25.5" customHeight="1">
      <c r="A198" s="9"/>
      <c r="B198" s="185"/>
      <c r="C198" s="216"/>
      <c r="D198" s="133"/>
      <c r="E198" s="269"/>
      <c r="F198" s="136"/>
      <c r="G198" s="136"/>
      <c r="H198" s="136"/>
      <c r="I198" s="133"/>
      <c r="J198" s="133"/>
      <c r="K198" s="133"/>
      <c r="L198" s="133"/>
      <c r="M198" s="136"/>
      <c r="N198" s="133"/>
      <c r="O198" s="133"/>
      <c r="P198" s="133"/>
      <c r="Q198" s="133"/>
      <c r="R198" s="217"/>
      <c r="S198" s="219"/>
      <c r="T198" s="219"/>
      <c r="U198" s="217"/>
      <c r="V198" s="217"/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30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197"/>
      <c r="B202" s="198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 thickBot="1">
      <c r="A203" s="46"/>
      <c r="B203" s="47" t="s">
        <v>5</v>
      </c>
      <c r="C203" s="170">
        <f>SUM(C177:C202)</f>
        <v>2563778</v>
      </c>
      <c r="D203" s="255">
        <f>SUM(D177:D202)</f>
        <v>0</v>
      </c>
      <c r="E203" s="254">
        <f>SUM(E177:E202)</f>
        <v>19827</v>
      </c>
      <c r="F203" s="254">
        <f>SUM(F177:F202)</f>
        <v>59.8</v>
      </c>
      <c r="G203" s="254">
        <f t="shared" ref="G203:V203" si="5">SUM(G177:G202)</f>
        <v>0</v>
      </c>
      <c r="H203" s="254">
        <f>SUM(H177:H202)</f>
        <v>0</v>
      </c>
      <c r="I203" s="255">
        <f>SUM(I177:I202)</f>
        <v>0</v>
      </c>
      <c r="J203" s="255">
        <f t="shared" si="5"/>
        <v>0</v>
      </c>
      <c r="K203" s="255">
        <f t="shared" si="5"/>
        <v>0</v>
      </c>
      <c r="L203" s="255">
        <f t="shared" si="5"/>
        <v>0</v>
      </c>
      <c r="M203" s="254">
        <f>SUM(M177:M202)</f>
        <v>7085.8</v>
      </c>
      <c r="N203" s="255">
        <f t="shared" si="5"/>
        <v>0</v>
      </c>
      <c r="O203" s="255">
        <f t="shared" si="5"/>
        <v>0</v>
      </c>
      <c r="P203" s="255">
        <f t="shared" si="5"/>
        <v>0</v>
      </c>
      <c r="Q203" s="255">
        <f t="shared" si="5"/>
        <v>0</v>
      </c>
      <c r="R203" s="255">
        <f t="shared" si="5"/>
        <v>65658</v>
      </c>
      <c r="S203" s="255">
        <f t="shared" si="5"/>
        <v>0</v>
      </c>
      <c r="T203" s="255"/>
      <c r="U203" s="255">
        <f t="shared" si="5"/>
        <v>0</v>
      </c>
      <c r="V203" s="255">
        <f t="shared" si="5"/>
        <v>0</v>
      </c>
      <c r="W203" s="314">
        <f>SUM(D203:V203)</f>
        <v>92630.6</v>
      </c>
    </row>
    <row r="204" spans="1:23" ht="25.5" customHeight="1" thickTop="1">
      <c r="A204" s="5" t="s">
        <v>114</v>
      </c>
      <c r="B204" s="6"/>
      <c r="C204" s="190"/>
      <c r="D204" s="133"/>
      <c r="E204" s="269"/>
      <c r="F204" s="136"/>
      <c r="G204" s="136"/>
      <c r="H204" s="136"/>
      <c r="I204" s="133"/>
      <c r="J204" s="133"/>
      <c r="K204" s="133"/>
      <c r="L204" s="133"/>
      <c r="M204" s="136"/>
      <c r="N204" s="133"/>
      <c r="O204" s="133"/>
      <c r="P204" s="133"/>
      <c r="Q204" s="133"/>
      <c r="R204" s="258"/>
      <c r="S204" s="259"/>
      <c r="T204" s="259"/>
      <c r="U204" s="258"/>
      <c r="V204" s="258"/>
    </row>
    <row r="205" spans="1:23" ht="25.5" customHeight="1">
      <c r="A205" s="9"/>
      <c r="B205" s="130" t="s">
        <v>20</v>
      </c>
      <c r="C205" s="216">
        <f>240000+35000</f>
        <v>275000</v>
      </c>
      <c r="D205" s="261"/>
      <c r="E205" s="269">
        <v>23716.43</v>
      </c>
      <c r="F205" s="269"/>
      <c r="G205" s="269"/>
      <c r="H205" s="269">
        <v>3841.06</v>
      </c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</row>
    <row r="206" spans="1:23" ht="25.5" customHeight="1">
      <c r="A206" s="9"/>
      <c r="B206" s="130" t="s">
        <v>283</v>
      </c>
      <c r="C206" s="216">
        <f>100000+12000</f>
        <v>112000</v>
      </c>
      <c r="D206" s="261"/>
      <c r="E206" s="269">
        <v>7397.56</v>
      </c>
      <c r="F206" s="269"/>
      <c r="G206" s="269"/>
      <c r="H206" s="269">
        <v>1000</v>
      </c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</row>
    <row r="207" spans="1:23" ht="25.5" customHeight="1">
      <c r="A207" s="9"/>
      <c r="B207" s="130" t="s">
        <v>284</v>
      </c>
      <c r="C207" s="216">
        <v>15000</v>
      </c>
      <c r="D207" s="131"/>
      <c r="E207" s="269">
        <v>137</v>
      </c>
      <c r="F207" s="269"/>
      <c r="G207" s="269"/>
      <c r="H207" s="269">
        <v>0</v>
      </c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</row>
    <row r="208" spans="1:23" ht="25.5" customHeight="1">
      <c r="A208" s="9"/>
      <c r="B208" s="130" t="s">
        <v>285</v>
      </c>
      <c r="C208" s="216">
        <f>72000+32000+16100</f>
        <v>120100</v>
      </c>
      <c r="D208" s="131"/>
      <c r="E208" s="269">
        <v>11823.5</v>
      </c>
      <c r="F208" s="269"/>
      <c r="G208" s="269"/>
      <c r="H208" s="269">
        <v>3370.5</v>
      </c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</row>
    <row r="209" spans="1:23" ht="25.5" customHeight="1" thickBot="1">
      <c r="A209" s="15"/>
      <c r="B209" s="14" t="s">
        <v>5</v>
      </c>
      <c r="C209" s="170">
        <f>SUM(C205:C208)</f>
        <v>522100</v>
      </c>
      <c r="D209" s="132"/>
      <c r="E209" s="268">
        <f>SUM(E205:E208)</f>
        <v>43074.490000000005</v>
      </c>
      <c r="F209" s="137"/>
      <c r="G209" s="137"/>
      <c r="H209" s="137">
        <f>SUM(H205:H208)</f>
        <v>8211.56</v>
      </c>
      <c r="I209" s="132"/>
      <c r="J209" s="132"/>
      <c r="K209" s="132"/>
      <c r="L209" s="132"/>
      <c r="M209" s="137"/>
      <c r="N209" s="132"/>
      <c r="O209" s="132"/>
      <c r="P209" s="132"/>
      <c r="Q209" s="132"/>
      <c r="R209" s="307"/>
      <c r="S209" s="308"/>
      <c r="T209" s="308"/>
      <c r="U209" s="307"/>
      <c r="V209" s="307"/>
      <c r="W209" s="318">
        <f>SUM(D209:V209)</f>
        <v>51286.05</v>
      </c>
    </row>
    <row r="210" spans="1:23" ht="25.5" customHeight="1" thickTop="1">
      <c r="A210" s="3" t="s">
        <v>122</v>
      </c>
      <c r="B210" s="4"/>
      <c r="C210" s="287"/>
      <c r="D210" s="133"/>
      <c r="E210" s="305"/>
      <c r="F210" s="306"/>
      <c r="G210" s="306"/>
      <c r="H210" s="306"/>
      <c r="I210" s="133"/>
      <c r="J210" s="133"/>
      <c r="K210" s="133"/>
      <c r="L210" s="133"/>
      <c r="M210" s="136"/>
      <c r="N210" s="133"/>
      <c r="O210" s="133"/>
      <c r="P210" s="133"/>
      <c r="Q210" s="133"/>
      <c r="R210" s="258"/>
      <c r="S210" s="259"/>
      <c r="T210" s="259"/>
      <c r="U210" s="258"/>
      <c r="V210" s="258"/>
    </row>
    <row r="211" spans="1:23" ht="25.5" customHeight="1">
      <c r="A211" s="169"/>
      <c r="B211" s="185" t="s">
        <v>323</v>
      </c>
      <c r="C211" s="190">
        <v>864000</v>
      </c>
      <c r="D211" s="131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</row>
    <row r="212" spans="1:23" ht="25.5" customHeight="1">
      <c r="A212" s="169"/>
      <c r="B212" s="185" t="s">
        <v>324</v>
      </c>
      <c r="C212" s="190">
        <v>1096000</v>
      </c>
      <c r="D212" s="131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</row>
    <row r="213" spans="1:23" ht="25.5" customHeight="1">
      <c r="A213" s="169"/>
      <c r="B213" s="185" t="s">
        <v>325</v>
      </c>
      <c r="C213" s="190">
        <v>580000</v>
      </c>
      <c r="D213" s="133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</row>
    <row r="214" spans="1:23" ht="25.5" customHeight="1">
      <c r="A214" s="169"/>
      <c r="B214" s="185" t="s">
        <v>351</v>
      </c>
      <c r="C214" s="190">
        <v>223000</v>
      </c>
      <c r="D214" s="133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</row>
    <row r="215" spans="1:23" ht="25.5" customHeight="1">
      <c r="A215" s="169"/>
      <c r="B215" s="185"/>
      <c r="C215" s="190"/>
      <c r="D215" s="133"/>
      <c r="E215" s="269"/>
      <c r="F215" s="136"/>
      <c r="G215" s="136"/>
      <c r="H215" s="136"/>
      <c r="I215" s="133"/>
      <c r="J215" s="133"/>
      <c r="K215" s="133"/>
      <c r="L215" s="133"/>
      <c r="M215" s="136"/>
      <c r="N215" s="133"/>
      <c r="O215" s="133"/>
      <c r="P215" s="133"/>
      <c r="Q215" s="133"/>
      <c r="R215" s="258"/>
      <c r="S215" s="259"/>
      <c r="T215" s="259"/>
      <c r="U215" s="258"/>
      <c r="V215" s="258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5"/>
      <c r="B218" s="185"/>
      <c r="C218" s="216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30"/>
      <c r="C219" s="285"/>
      <c r="D219" s="131"/>
      <c r="E219" s="267"/>
      <c r="F219" s="135"/>
      <c r="G219" s="135"/>
      <c r="H219" s="135"/>
      <c r="I219" s="131"/>
      <c r="J219" s="131"/>
      <c r="K219" s="131"/>
      <c r="L219" s="131"/>
      <c r="M219" s="135"/>
      <c r="N219" s="131"/>
      <c r="O219" s="131"/>
      <c r="P219" s="131"/>
      <c r="Q219" s="131"/>
      <c r="R219" s="217"/>
      <c r="S219" s="219"/>
      <c r="T219" s="219"/>
      <c r="U219" s="217"/>
      <c r="V219" s="217"/>
    </row>
    <row r="220" spans="1:23" ht="25.5" customHeight="1" thickBot="1">
      <c r="A220" s="15"/>
      <c r="B220" s="14" t="s">
        <v>5</v>
      </c>
      <c r="C220" s="170">
        <f>SUM(C211:C219)</f>
        <v>2763000</v>
      </c>
      <c r="D220" s="255">
        <f>SUM(D211:D219)</f>
        <v>0</v>
      </c>
      <c r="E220" s="254">
        <f t="shared" ref="E220:V220" si="6">SUM(E211:E219)</f>
        <v>0</v>
      </c>
      <c r="F220" s="254">
        <f t="shared" si="6"/>
        <v>0</v>
      </c>
      <c r="G220" s="254">
        <f t="shared" si="6"/>
        <v>0</v>
      </c>
      <c r="H220" s="254">
        <f t="shared" si="6"/>
        <v>0</v>
      </c>
      <c r="I220" s="255">
        <f>SUM(I211:I219)</f>
        <v>0</v>
      </c>
      <c r="J220" s="255">
        <f t="shared" si="6"/>
        <v>0</v>
      </c>
      <c r="K220" s="255">
        <f t="shared" si="6"/>
        <v>0</v>
      </c>
      <c r="L220" s="255">
        <f t="shared" si="6"/>
        <v>0</v>
      </c>
      <c r="M220" s="254">
        <f t="shared" si="6"/>
        <v>0</v>
      </c>
      <c r="N220" s="255">
        <f t="shared" si="6"/>
        <v>0</v>
      </c>
      <c r="O220" s="255">
        <f t="shared" si="6"/>
        <v>0</v>
      </c>
      <c r="P220" s="255">
        <f t="shared" si="6"/>
        <v>0</v>
      </c>
      <c r="Q220" s="255">
        <f t="shared" si="6"/>
        <v>0</v>
      </c>
      <c r="R220" s="255">
        <f t="shared" si="6"/>
        <v>0</v>
      </c>
      <c r="S220" s="255">
        <f t="shared" si="6"/>
        <v>0</v>
      </c>
      <c r="T220" s="255"/>
      <c r="U220" s="255">
        <f t="shared" si="6"/>
        <v>0</v>
      </c>
      <c r="V220" s="255">
        <f t="shared" si="6"/>
        <v>0</v>
      </c>
      <c r="W220" s="314">
        <f>SUM(D220:V220)</f>
        <v>0</v>
      </c>
    </row>
    <row r="221" spans="1:23" ht="25.5" customHeight="1" thickTop="1">
      <c r="A221" s="20" t="s">
        <v>71</v>
      </c>
      <c r="B221" s="82"/>
      <c r="C221" s="291"/>
      <c r="D221" s="133"/>
      <c r="E221" s="269"/>
      <c r="F221" s="136"/>
      <c r="G221" s="136"/>
      <c r="H221" s="136"/>
      <c r="I221" s="133"/>
      <c r="J221" s="133"/>
      <c r="K221" s="133"/>
      <c r="L221" s="133"/>
      <c r="M221" s="136"/>
      <c r="N221" s="133"/>
      <c r="O221" s="133"/>
      <c r="P221" s="133"/>
      <c r="Q221" s="133"/>
      <c r="R221" s="258"/>
      <c r="S221" s="259"/>
      <c r="T221" s="259"/>
      <c r="U221" s="258"/>
      <c r="V221" s="258"/>
    </row>
    <row r="222" spans="1:23" ht="25.5" customHeight="1">
      <c r="A222" s="66"/>
      <c r="B222" s="96"/>
      <c r="C222" s="216"/>
      <c r="D222" s="131"/>
      <c r="E222" s="267"/>
      <c r="F222" s="135"/>
      <c r="G222" s="135"/>
      <c r="H222" s="135"/>
      <c r="I222" s="131"/>
      <c r="J222" s="131"/>
      <c r="K222" s="131"/>
      <c r="L222" s="131"/>
      <c r="M222" s="135"/>
      <c r="N222" s="131"/>
      <c r="O222" s="131"/>
      <c r="P222" s="131"/>
      <c r="Q222" s="131"/>
      <c r="R222" s="217"/>
      <c r="S222" s="219"/>
      <c r="T222" s="219"/>
      <c r="U222" s="217"/>
      <c r="V222" s="217"/>
    </row>
    <row r="223" spans="1:23" ht="25.5" customHeight="1" thickBot="1">
      <c r="A223" s="167"/>
      <c r="B223" s="95" t="s">
        <v>5</v>
      </c>
      <c r="C223" s="292">
        <f>SUM(C221:C222)</f>
        <v>0</v>
      </c>
      <c r="D223" s="255"/>
      <c r="E223" s="271"/>
      <c r="F223" s="254"/>
      <c r="G223" s="254"/>
      <c r="H223" s="254"/>
      <c r="I223" s="255"/>
      <c r="J223" s="255"/>
      <c r="K223" s="255"/>
      <c r="L223" s="255"/>
      <c r="M223" s="254"/>
      <c r="N223" s="255"/>
      <c r="O223" s="255"/>
      <c r="P223" s="255"/>
      <c r="Q223" s="255"/>
      <c r="R223" s="256"/>
      <c r="S223" s="257"/>
      <c r="T223" s="257"/>
      <c r="U223" s="256"/>
      <c r="V223" s="256"/>
    </row>
    <row r="224" spans="1:23" ht="25.5" customHeight="1" thickTop="1">
      <c r="A224" s="20" t="s">
        <v>115</v>
      </c>
      <c r="B224" s="284"/>
      <c r="C224" s="293"/>
      <c r="D224" s="133"/>
      <c r="E224" s="269"/>
      <c r="F224" s="136"/>
      <c r="G224" s="136"/>
      <c r="H224" s="136"/>
      <c r="I224" s="133"/>
      <c r="J224" s="133"/>
      <c r="K224" s="133"/>
      <c r="L224" s="133"/>
      <c r="M224" s="136"/>
      <c r="N224" s="133"/>
      <c r="O224" s="133"/>
      <c r="P224" s="133"/>
      <c r="Q224" s="133"/>
      <c r="R224" s="258"/>
      <c r="S224" s="259"/>
      <c r="T224" s="259"/>
      <c r="U224" s="258"/>
      <c r="V224" s="258"/>
    </row>
    <row r="225" spans="1:22" ht="25.5" customHeight="1">
      <c r="A225" s="20"/>
      <c r="B225" s="252" t="s">
        <v>291</v>
      </c>
      <c r="C225" s="293"/>
      <c r="D225" s="131"/>
      <c r="E225" s="267"/>
      <c r="F225" s="135"/>
      <c r="G225" s="135"/>
      <c r="H225" s="135"/>
      <c r="I225" s="131"/>
      <c r="J225" s="131"/>
      <c r="K225" s="131"/>
      <c r="L225" s="131"/>
      <c r="M225" s="135"/>
      <c r="N225" s="131"/>
      <c r="O225" s="131"/>
      <c r="P225" s="131"/>
      <c r="Q225" s="131"/>
      <c r="R225" s="217"/>
      <c r="S225" s="219"/>
      <c r="T225" s="219"/>
      <c r="U225" s="217"/>
      <c r="V225" s="217"/>
    </row>
    <row r="226" spans="1:22" ht="25.5" customHeight="1">
      <c r="A226" s="20"/>
      <c r="B226" s="186" t="s">
        <v>286</v>
      </c>
      <c r="C226" s="294">
        <v>10000</v>
      </c>
      <c r="D226" s="131"/>
      <c r="E226" s="267">
        <f>+'ต.ค. '!E227+พ.ย.!E227+ธ.ค.!E227</f>
        <v>0</v>
      </c>
      <c r="F226" s="267">
        <f>+'ต.ค. '!F227+พ.ย.!F227+ธ.ค.!F227</f>
        <v>0</v>
      </c>
      <c r="G226" s="267">
        <f>+'ต.ค. '!G227+พ.ย.!G227+ธ.ค.!G227</f>
        <v>0</v>
      </c>
      <c r="H226" s="267">
        <f>+'ต.ค. '!H227+พ.ย.!H227+ธ.ค.!H227</f>
        <v>0</v>
      </c>
      <c r="I226" s="267">
        <f>+'ต.ค. '!I227+พ.ย.!I227+ธ.ค.!I227</f>
        <v>0</v>
      </c>
      <c r="J226" s="267">
        <f>+'ต.ค. '!J227+พ.ย.!J227+ธ.ค.!J227</f>
        <v>0</v>
      </c>
      <c r="K226" s="267">
        <f>+'ต.ค. '!K227+พ.ย.!K227+ธ.ค.!K227</f>
        <v>0</v>
      </c>
      <c r="L226" s="267">
        <f>+'ต.ค. '!L227+พ.ย.!L227+ธ.ค.!L227</f>
        <v>0</v>
      </c>
      <c r="M226" s="267">
        <f>+'ต.ค. '!M227+พ.ย.!M227+ธ.ค.!M227</f>
        <v>0</v>
      </c>
      <c r="N226" s="267">
        <f>+'ต.ค. '!N227+พ.ย.!N227+ธ.ค.!N227</f>
        <v>0</v>
      </c>
      <c r="O226" s="267">
        <f>+'ต.ค. '!O227+พ.ย.!O227+ธ.ค.!O227</f>
        <v>0</v>
      </c>
      <c r="P226" s="267">
        <f>+'ต.ค. '!P227+พ.ย.!P227+ธ.ค.!P227</f>
        <v>0</v>
      </c>
      <c r="Q226" s="267">
        <f>+'ต.ค. '!Q227+พ.ย.!Q227+ธ.ค.!Q227</f>
        <v>0</v>
      </c>
      <c r="R226" s="267">
        <f>+'ต.ค. '!R227+พ.ย.!R227+ธ.ค.!R227</f>
        <v>0</v>
      </c>
      <c r="S226" s="267">
        <f>+'ต.ค. '!S227+พ.ย.!S227+ธ.ค.!S227</f>
        <v>0</v>
      </c>
      <c r="T226" s="267"/>
      <c r="U226" s="267">
        <f>+'ต.ค. '!U227+พ.ย.!U227+ธ.ค.!U227</f>
        <v>0</v>
      </c>
      <c r="V226" s="267">
        <f>+'ต.ค. '!V227+พ.ย.!V227+ธ.ค.!V227</f>
        <v>0</v>
      </c>
    </row>
    <row r="227" spans="1:22" ht="25.5" customHeight="1">
      <c r="A227" s="20"/>
      <c r="B227" s="186" t="s">
        <v>287</v>
      </c>
      <c r="C227" s="294">
        <v>4500</v>
      </c>
      <c r="D227" s="131"/>
      <c r="E227" s="267">
        <f>+'ต.ค. '!E228+พ.ย.!E228+ธ.ค.!E228</f>
        <v>0</v>
      </c>
      <c r="F227" s="267">
        <f>+'ต.ค. '!F228+พ.ย.!F228+ธ.ค.!F228</f>
        <v>0</v>
      </c>
      <c r="G227" s="267">
        <f>+'ต.ค. '!G228+พ.ย.!G228+ธ.ค.!G228</f>
        <v>0</v>
      </c>
      <c r="H227" s="267">
        <f>+'ต.ค. '!H228+พ.ย.!H228+ธ.ค.!H228</f>
        <v>0</v>
      </c>
      <c r="I227" s="267">
        <f>+'ต.ค. '!I228+พ.ย.!I228+ธ.ค.!I228</f>
        <v>0</v>
      </c>
      <c r="J227" s="267">
        <f>+'ต.ค. '!J228+พ.ย.!J228+ธ.ค.!J228</f>
        <v>0</v>
      </c>
      <c r="K227" s="267">
        <f>+'ต.ค. '!K228+พ.ย.!K228+ธ.ค.!K228</f>
        <v>0</v>
      </c>
      <c r="L227" s="267">
        <f>+'ต.ค. '!L228+พ.ย.!L228+ธ.ค.!L228</f>
        <v>0</v>
      </c>
      <c r="M227" s="267">
        <f>+'ต.ค. '!M228+พ.ย.!M228+ธ.ค.!M228</f>
        <v>0</v>
      </c>
      <c r="N227" s="267">
        <f>+'ต.ค. '!N228+พ.ย.!N228+ธ.ค.!N228</f>
        <v>0</v>
      </c>
      <c r="O227" s="267">
        <f>+'ต.ค. '!O228+พ.ย.!O228+ธ.ค.!O228</f>
        <v>0</v>
      </c>
      <c r="P227" s="267">
        <f>+'ต.ค. '!P228+พ.ย.!P228+ธ.ค.!P228</f>
        <v>0</v>
      </c>
      <c r="Q227" s="267">
        <f>+'ต.ค. '!Q228+พ.ย.!Q228+ธ.ค.!Q228</f>
        <v>0</v>
      </c>
      <c r="R227" s="267">
        <f>+'ต.ค. '!R228+พ.ย.!R228+ธ.ค.!R228</f>
        <v>0</v>
      </c>
      <c r="S227" s="267">
        <f>+'ต.ค. '!S228+พ.ย.!S228+ธ.ค.!S228</f>
        <v>0</v>
      </c>
      <c r="T227" s="267"/>
      <c r="U227" s="267">
        <f>+'ต.ค. '!U228+พ.ย.!U228+ธ.ค.!U228</f>
        <v>0</v>
      </c>
      <c r="V227" s="267">
        <f>+'ต.ค. '!V228+พ.ย.!V228+ธ.ค.!V228</f>
        <v>0</v>
      </c>
    </row>
    <row r="228" spans="1:22" ht="25.5" customHeight="1">
      <c r="A228" s="20"/>
      <c r="B228" s="186" t="s">
        <v>288</v>
      </c>
      <c r="C228" s="294">
        <v>3000</v>
      </c>
      <c r="D228" s="131"/>
      <c r="E228" s="267"/>
      <c r="F228" s="267">
        <f>+'ต.ค. '!F229+พ.ย.!F229+ธ.ค.!F229</f>
        <v>0</v>
      </c>
      <c r="G228" s="267">
        <f>+'ต.ค. '!G229+พ.ย.!G229+ธ.ค.!G229</f>
        <v>0</v>
      </c>
      <c r="H228" s="267">
        <f>+'ต.ค. '!H229+พ.ย.!H229+ธ.ค.!H229</f>
        <v>0</v>
      </c>
      <c r="I228" s="267">
        <f>+'ต.ค. '!I229+พ.ย.!I229+ธ.ค.!I229</f>
        <v>0</v>
      </c>
      <c r="J228" s="267">
        <f>+'ต.ค. '!J229+พ.ย.!J229+ธ.ค.!J229</f>
        <v>0</v>
      </c>
      <c r="K228" s="267">
        <f>+'ต.ค. '!K229+พ.ย.!K229+ธ.ค.!K229</f>
        <v>0</v>
      </c>
      <c r="L228" s="267">
        <f>+'ต.ค. '!L229+พ.ย.!L229+ธ.ค.!L229</f>
        <v>0</v>
      </c>
      <c r="M228" s="267">
        <f>+'ต.ค. '!M229+พ.ย.!M229+ธ.ค.!M229</f>
        <v>0</v>
      </c>
      <c r="N228" s="267">
        <f>+'ต.ค. '!N229+พ.ย.!N229+ธ.ค.!N229</f>
        <v>0</v>
      </c>
      <c r="O228" s="267">
        <f>+'ต.ค. '!O229+พ.ย.!O229+ธ.ค.!O229</f>
        <v>0</v>
      </c>
      <c r="P228" s="267">
        <f>+'ต.ค. '!P229+พ.ย.!P229+ธ.ค.!P229</f>
        <v>0</v>
      </c>
      <c r="Q228" s="267">
        <f>+'ต.ค. '!Q229+พ.ย.!Q229+ธ.ค.!Q229</f>
        <v>0</v>
      </c>
      <c r="R228" s="267">
        <f>+'ต.ค. '!R229+พ.ย.!R229+ธ.ค.!R229</f>
        <v>0</v>
      </c>
      <c r="S228" s="267">
        <f>+'ต.ค. '!S229+พ.ย.!S229+ธ.ค.!S229</f>
        <v>0</v>
      </c>
      <c r="T228" s="267"/>
      <c r="U228" s="267">
        <f>+'ต.ค. '!U229+พ.ย.!U229+ธ.ค.!U229</f>
        <v>0</v>
      </c>
      <c r="V228" s="267">
        <f>+'ต.ค. '!V229+พ.ย.!V229+ธ.ค.!V229</f>
        <v>0</v>
      </c>
    </row>
    <row r="229" spans="1:22" ht="25.5" customHeight="1">
      <c r="A229" s="20"/>
      <c r="B229" s="186" t="s">
        <v>289</v>
      </c>
      <c r="C229" s="294">
        <v>20000</v>
      </c>
      <c r="D229" s="131"/>
      <c r="E229" s="267">
        <f>+'ต.ค. '!E230+พ.ย.!E230+ธ.ค.!E230</f>
        <v>0</v>
      </c>
      <c r="F229" s="267">
        <f>+'ต.ค. '!F230+พ.ย.!F230+ธ.ค.!F230</f>
        <v>0</v>
      </c>
      <c r="G229" s="267">
        <f>+'ต.ค. '!G230+พ.ย.!G230+ธ.ค.!G230</f>
        <v>0</v>
      </c>
      <c r="H229" s="267">
        <f>+'ต.ค. '!H230+พ.ย.!H230+ธ.ค.!H230</f>
        <v>0</v>
      </c>
      <c r="I229" s="267">
        <f>+'ต.ค. '!I230+พ.ย.!I230+ธ.ค.!I230</f>
        <v>0</v>
      </c>
      <c r="J229" s="267">
        <f>+'ต.ค. '!J230+พ.ย.!J230+ธ.ค.!J230</f>
        <v>0</v>
      </c>
      <c r="K229" s="267">
        <f>+'ต.ค. '!K230+พ.ย.!K230+ธ.ค.!K230</f>
        <v>0</v>
      </c>
      <c r="L229" s="267">
        <f>+'ต.ค. '!L230+พ.ย.!L230+ธ.ค.!L230</f>
        <v>0</v>
      </c>
      <c r="M229" s="267">
        <f>+'ต.ค. '!M230+พ.ย.!M230+ธ.ค.!M230</f>
        <v>0</v>
      </c>
      <c r="N229" s="267">
        <f>+'ต.ค. '!N230+พ.ย.!N230+ธ.ค.!N230</f>
        <v>0</v>
      </c>
      <c r="O229" s="267">
        <f>+'ต.ค. '!O230+พ.ย.!O230+ธ.ค.!O230</f>
        <v>0</v>
      </c>
      <c r="P229" s="267">
        <f>+'ต.ค. '!P230+พ.ย.!P230+ธ.ค.!P230</f>
        <v>0</v>
      </c>
      <c r="Q229" s="267">
        <f>+'ต.ค. '!Q230+พ.ย.!Q230+ธ.ค.!Q230</f>
        <v>0</v>
      </c>
      <c r="R229" s="267">
        <f>+'ต.ค. '!R230+พ.ย.!R230+ธ.ค.!R230</f>
        <v>0</v>
      </c>
      <c r="S229" s="267">
        <f>+'ต.ค. '!S230+พ.ย.!S230+ธ.ค.!S230</f>
        <v>0</v>
      </c>
      <c r="T229" s="267"/>
      <c r="U229" s="267">
        <f>+'ต.ค. '!U230+พ.ย.!U230+ธ.ค.!U230</f>
        <v>0</v>
      </c>
      <c r="V229" s="267">
        <f>+'ต.ค. '!V230+พ.ย.!V230+ธ.ค.!V230</f>
        <v>0</v>
      </c>
    </row>
    <row r="230" spans="1:22" ht="25.5" customHeight="1">
      <c r="A230" s="20"/>
      <c r="B230" s="186" t="s">
        <v>290</v>
      </c>
      <c r="C230" s="295">
        <f>5500+5500</f>
        <v>11000</v>
      </c>
      <c r="D230" s="131"/>
      <c r="E230" s="267">
        <f>+'ต.ค. '!E231+พ.ย.!E231+ธ.ค.!E231</f>
        <v>0</v>
      </c>
      <c r="F230" s="267">
        <f>+'ต.ค. '!F231+พ.ย.!F231+ธ.ค.!F231</f>
        <v>0</v>
      </c>
      <c r="G230" s="267">
        <f>+'ต.ค. '!G231+พ.ย.!G231+ธ.ค.!G231</f>
        <v>0</v>
      </c>
      <c r="H230" s="267">
        <f>+'ต.ค. '!H231+พ.ย.!H231+ธ.ค.!H231</f>
        <v>0</v>
      </c>
      <c r="I230" s="267">
        <f>+'ต.ค. '!I231+พ.ย.!I231+ธ.ค.!I231</f>
        <v>0</v>
      </c>
      <c r="J230" s="267">
        <f>+'ต.ค. '!J231+พ.ย.!J231+ธ.ค.!J231</f>
        <v>0</v>
      </c>
      <c r="K230" s="267">
        <f>+'ต.ค. '!K231+พ.ย.!K231+ธ.ค.!K231</f>
        <v>0</v>
      </c>
      <c r="L230" s="267">
        <f>+'ต.ค. '!L231+พ.ย.!L231+ธ.ค.!L231</f>
        <v>0</v>
      </c>
      <c r="M230" s="267">
        <f>+'ต.ค. '!M231+พ.ย.!M231+ธ.ค.!M231</f>
        <v>0</v>
      </c>
      <c r="N230" s="267">
        <f>+'ต.ค. '!N231+พ.ย.!N231+ธ.ค.!N231</f>
        <v>0</v>
      </c>
      <c r="O230" s="267">
        <f>+'ต.ค. '!O231+พ.ย.!O231+ธ.ค.!O231</f>
        <v>0</v>
      </c>
      <c r="P230" s="267">
        <f>+'ต.ค. '!P231+พ.ย.!P231+ธ.ค.!P231</f>
        <v>0</v>
      </c>
      <c r="Q230" s="267">
        <f>+'ต.ค. '!Q231+พ.ย.!Q231+ธ.ค.!Q231</f>
        <v>0</v>
      </c>
      <c r="R230" s="267">
        <f>+'ต.ค. '!R231+พ.ย.!R231+ธ.ค.!R231</f>
        <v>0</v>
      </c>
      <c r="S230" s="267">
        <f>+'ต.ค. '!S231+พ.ย.!S231+ธ.ค.!S231</f>
        <v>0</v>
      </c>
      <c r="T230" s="267"/>
      <c r="U230" s="267">
        <f>+'ต.ค. '!U231+พ.ย.!U231+ธ.ค.!U231</f>
        <v>0</v>
      </c>
      <c r="V230" s="267">
        <f>+'ต.ค. '!V231+พ.ย.!V231+ธ.ค.!V231</f>
        <v>0</v>
      </c>
    </row>
    <row r="231" spans="1:22" ht="25.5" customHeight="1">
      <c r="A231" s="20"/>
      <c r="B231" s="186" t="s">
        <v>305</v>
      </c>
      <c r="C231" s="295">
        <v>16000</v>
      </c>
      <c r="D231" s="131"/>
      <c r="E231" s="267">
        <f>+'ต.ค. '!E232+พ.ย.!E232+ธ.ค.!E232</f>
        <v>0</v>
      </c>
      <c r="F231" s="267">
        <f>+'ต.ค. '!F232+พ.ย.!F232+ธ.ค.!F232</f>
        <v>0</v>
      </c>
      <c r="G231" s="267">
        <f>+'ต.ค. '!G232+พ.ย.!G232+ธ.ค.!G232</f>
        <v>0</v>
      </c>
      <c r="H231" s="267">
        <f>+'ต.ค. '!H232+พ.ย.!H232+ธ.ค.!H232</f>
        <v>0</v>
      </c>
      <c r="I231" s="267">
        <f>+'ต.ค. '!I232+พ.ย.!I232+ธ.ค.!I232</f>
        <v>0</v>
      </c>
      <c r="J231" s="267">
        <f>+'ต.ค. '!J232+พ.ย.!J232+ธ.ค.!J232</f>
        <v>0</v>
      </c>
      <c r="K231" s="267">
        <f>+'ต.ค. '!K232+พ.ย.!K232+ธ.ค.!K232</f>
        <v>0</v>
      </c>
      <c r="L231" s="267">
        <f>+'ต.ค. '!L232+พ.ย.!L232+ธ.ค.!L232</f>
        <v>0</v>
      </c>
      <c r="M231" s="267">
        <f>+'ต.ค. '!M232+พ.ย.!M232+ธ.ค.!M232</f>
        <v>0</v>
      </c>
      <c r="N231" s="267">
        <f>+'ต.ค. '!N232+พ.ย.!N232+ธ.ค.!N232</f>
        <v>0</v>
      </c>
      <c r="O231" s="267">
        <f>+'ต.ค. '!O232+พ.ย.!O232+ธ.ค.!O232</f>
        <v>0</v>
      </c>
      <c r="P231" s="267">
        <f>+'ต.ค. '!P232+พ.ย.!P232+ธ.ค.!P232</f>
        <v>0</v>
      </c>
      <c r="Q231" s="267">
        <f>+'ต.ค. '!Q232+พ.ย.!Q232+ธ.ค.!Q232</f>
        <v>0</v>
      </c>
      <c r="R231" s="267">
        <f>+'ต.ค. '!R232+พ.ย.!R232+ธ.ค.!R232</f>
        <v>0</v>
      </c>
      <c r="S231" s="267">
        <f>+'ต.ค. '!S232+พ.ย.!S232+ธ.ค.!S232</f>
        <v>0</v>
      </c>
      <c r="T231" s="267"/>
      <c r="U231" s="267">
        <f>+'ต.ค. '!U232+พ.ย.!U232+ธ.ค.!U232</f>
        <v>0</v>
      </c>
      <c r="V231" s="267">
        <f>+'ต.ค. '!V232+พ.ย.!V232+ธ.ค.!V232</f>
        <v>0</v>
      </c>
    </row>
    <row r="232" spans="1:22" ht="25.5" customHeight="1">
      <c r="A232" s="20"/>
      <c r="B232" s="186" t="s">
        <v>334</v>
      </c>
      <c r="C232" s="295">
        <v>4500</v>
      </c>
      <c r="D232" s="131"/>
      <c r="E232" s="267">
        <f>+'ต.ค. '!E233+พ.ย.!E233+ธ.ค.!E233</f>
        <v>0</v>
      </c>
      <c r="F232" s="267">
        <f>+'ต.ค. '!F233+พ.ย.!F233+ธ.ค.!F233</f>
        <v>0</v>
      </c>
      <c r="G232" s="267">
        <f>+'ต.ค. '!G233+พ.ย.!G233+ธ.ค.!G233</f>
        <v>0</v>
      </c>
      <c r="H232" s="267">
        <f>+'ต.ค. '!H233+พ.ย.!H233+ธ.ค.!H233</f>
        <v>0</v>
      </c>
      <c r="I232" s="267">
        <f>+'ต.ค. '!I233+พ.ย.!I233+ธ.ค.!I233</f>
        <v>0</v>
      </c>
      <c r="J232" s="267">
        <f>+'ต.ค. '!J233+พ.ย.!J233+ธ.ค.!J233</f>
        <v>0</v>
      </c>
      <c r="K232" s="267">
        <f>+'ต.ค. '!K233+พ.ย.!K233+ธ.ค.!K233</f>
        <v>0</v>
      </c>
      <c r="L232" s="267">
        <f>+'ต.ค. '!L233+พ.ย.!L233+ธ.ค.!L233</f>
        <v>0</v>
      </c>
      <c r="M232" s="267">
        <f>+'ต.ค. '!M233+พ.ย.!M233+ธ.ค.!M233</f>
        <v>0</v>
      </c>
      <c r="N232" s="267">
        <f>+'ต.ค. '!N233+พ.ย.!N233+ธ.ค.!N233</f>
        <v>0</v>
      </c>
      <c r="O232" s="267">
        <f>+'ต.ค. '!O233+พ.ย.!O233+ธ.ค.!O233</f>
        <v>0</v>
      </c>
      <c r="P232" s="267">
        <f>+'ต.ค. '!P233+พ.ย.!P233+ธ.ค.!P233</f>
        <v>0</v>
      </c>
      <c r="Q232" s="267">
        <f>+'ต.ค. '!Q233+พ.ย.!Q233+ธ.ค.!Q233</f>
        <v>0</v>
      </c>
      <c r="R232" s="267">
        <f>+'ต.ค. '!R233+พ.ย.!R233+ธ.ค.!R233</f>
        <v>0</v>
      </c>
      <c r="S232" s="267">
        <f>+'ต.ค. '!S233+พ.ย.!S233+ธ.ค.!S233</f>
        <v>0</v>
      </c>
      <c r="T232" s="267"/>
      <c r="U232" s="267">
        <f>+'ต.ค. '!U233+พ.ย.!U233+ธ.ค.!U233</f>
        <v>0</v>
      </c>
      <c r="V232" s="267">
        <f>+'ต.ค. '!V233+พ.ย.!V233+ธ.ค.!V233</f>
        <v>0</v>
      </c>
    </row>
    <row r="233" spans="1:22" ht="25.5" customHeight="1">
      <c r="A233" s="20"/>
      <c r="B233" s="186" t="s">
        <v>335</v>
      </c>
      <c r="C233" s="295">
        <v>4500</v>
      </c>
      <c r="D233" s="131"/>
      <c r="E233" s="267">
        <f>+'ต.ค. '!E234+พ.ย.!E234+ธ.ค.!E234</f>
        <v>0</v>
      </c>
      <c r="F233" s="267">
        <f>+'ต.ค. '!F234+พ.ย.!F234+ธ.ค.!F234</f>
        <v>0</v>
      </c>
      <c r="G233" s="267">
        <f>+'ต.ค. '!G234+พ.ย.!G234+ธ.ค.!G234</f>
        <v>0</v>
      </c>
      <c r="H233" s="267">
        <f>+'ต.ค. '!H234+พ.ย.!H234+ธ.ค.!H234</f>
        <v>0</v>
      </c>
      <c r="I233" s="267">
        <f>+'ต.ค. '!I234+พ.ย.!I234+ธ.ค.!I234</f>
        <v>0</v>
      </c>
      <c r="J233" s="267">
        <f>+'ต.ค. '!J234+พ.ย.!J234+ธ.ค.!J234</f>
        <v>0</v>
      </c>
      <c r="K233" s="267">
        <f>+'ต.ค. '!K234+พ.ย.!K234+ธ.ค.!K234</f>
        <v>0</v>
      </c>
      <c r="L233" s="267">
        <f>+'ต.ค. '!L234+พ.ย.!L234+ธ.ค.!L234</f>
        <v>0</v>
      </c>
      <c r="M233" s="267">
        <f>+'ต.ค. '!M234+พ.ย.!M234+ธ.ค.!M234</f>
        <v>0</v>
      </c>
      <c r="N233" s="267">
        <f>+'ต.ค. '!N234+พ.ย.!N234+ธ.ค.!N234</f>
        <v>0</v>
      </c>
      <c r="O233" s="267">
        <f>+'ต.ค. '!O234+พ.ย.!O234+ธ.ค.!O234</f>
        <v>0</v>
      </c>
      <c r="P233" s="267">
        <f>+'ต.ค. '!P234+พ.ย.!P234+ธ.ค.!P234</f>
        <v>0</v>
      </c>
      <c r="Q233" s="267">
        <f>+'ต.ค. '!Q234+พ.ย.!Q234+ธ.ค.!Q234</f>
        <v>0</v>
      </c>
      <c r="R233" s="267">
        <f>+'ต.ค. '!R234+พ.ย.!R234+ธ.ค.!R234</f>
        <v>0</v>
      </c>
      <c r="S233" s="267">
        <f>+'ต.ค. '!S234+พ.ย.!S234+ธ.ค.!S234</f>
        <v>0</v>
      </c>
      <c r="T233" s="267"/>
      <c r="U233" s="267">
        <f>+'ต.ค. '!U234+พ.ย.!U234+ธ.ค.!U234</f>
        <v>0</v>
      </c>
      <c r="V233" s="267">
        <f>+'ต.ค. '!V234+พ.ย.!V234+ธ.ค.!V234</f>
        <v>0</v>
      </c>
    </row>
    <row r="234" spans="1:22" ht="25.5" customHeight="1">
      <c r="A234" s="20"/>
      <c r="B234" s="252" t="s">
        <v>292</v>
      </c>
      <c r="C234" s="295"/>
      <c r="D234" s="131"/>
      <c r="E234" s="267"/>
      <c r="F234" s="135"/>
      <c r="G234" s="135"/>
      <c r="H234" s="135"/>
      <c r="I234" s="131"/>
      <c r="J234" s="131"/>
      <c r="K234" s="131"/>
      <c r="L234" s="131"/>
      <c r="M234" s="135"/>
      <c r="N234" s="131"/>
      <c r="O234" s="131"/>
      <c r="P234" s="131"/>
      <c r="Q234" s="131"/>
      <c r="R234" s="217"/>
      <c r="S234" s="219"/>
      <c r="T234" s="219"/>
      <c r="U234" s="217"/>
      <c r="V234" s="217"/>
    </row>
    <row r="235" spans="1:22" ht="25.5" customHeight="1">
      <c r="A235" s="20"/>
      <c r="B235" s="186" t="s">
        <v>293</v>
      </c>
      <c r="C235" s="295">
        <v>32000</v>
      </c>
      <c r="D235" s="131"/>
      <c r="E235" s="267">
        <f>+'ต.ค. '!E237+พ.ย.!E236+ธ.ค.!E236</f>
        <v>0</v>
      </c>
      <c r="F235" s="267">
        <f>+'ต.ค. '!F237+พ.ย.!F236+ธ.ค.!F236</f>
        <v>0</v>
      </c>
      <c r="G235" s="267">
        <f>+'ต.ค. '!G237+พ.ย.!G236+ธ.ค.!G236</f>
        <v>0</v>
      </c>
      <c r="H235" s="267">
        <f>+'ต.ค. '!H237+พ.ย.!H236+ธ.ค.!H236</f>
        <v>0</v>
      </c>
      <c r="I235" s="267">
        <f>+'ต.ค. '!I237+พ.ย.!I236+ธ.ค.!I236</f>
        <v>0</v>
      </c>
      <c r="J235" s="267">
        <f>+'ต.ค. '!J237+พ.ย.!J236+ธ.ค.!J236</f>
        <v>0</v>
      </c>
      <c r="K235" s="267">
        <f>+'ต.ค. '!K237+พ.ย.!K236+ธ.ค.!K236</f>
        <v>0</v>
      </c>
      <c r="L235" s="267">
        <f>+'ต.ค. '!L237+พ.ย.!L236+ธ.ค.!L236</f>
        <v>0</v>
      </c>
      <c r="M235" s="267">
        <f>+'ต.ค. '!M237+พ.ย.!M236+ธ.ค.!M236</f>
        <v>0</v>
      </c>
      <c r="N235" s="267">
        <f>+'ต.ค. '!N237+พ.ย.!N236+ธ.ค.!N236</f>
        <v>0</v>
      </c>
      <c r="O235" s="267">
        <f>+'ต.ค. '!O237+พ.ย.!O236+ธ.ค.!O236</f>
        <v>0</v>
      </c>
      <c r="P235" s="267">
        <f>+'ต.ค. '!P237+พ.ย.!P236+ธ.ค.!P236</f>
        <v>0</v>
      </c>
      <c r="Q235" s="267">
        <f>+'ต.ค. '!Q237+พ.ย.!Q236+ธ.ค.!Q236</f>
        <v>0</v>
      </c>
      <c r="R235" s="267">
        <f>+'ต.ค. '!R237+พ.ย.!R236+ธ.ค.!R236</f>
        <v>0</v>
      </c>
      <c r="S235" s="267">
        <f>+'ต.ค. '!S237+พ.ย.!S236+ธ.ค.!S236</f>
        <v>0</v>
      </c>
      <c r="T235" s="267"/>
      <c r="U235" s="267">
        <f>+'ต.ค. '!U237+พ.ย.!U236+ธ.ค.!U236</f>
        <v>0</v>
      </c>
      <c r="V235" s="267">
        <f>+'ต.ค. '!V237+พ.ย.!V236+ธ.ค.!V236</f>
        <v>0</v>
      </c>
    </row>
    <row r="236" spans="1:22" ht="25.5" customHeight="1">
      <c r="A236" s="20"/>
      <c r="B236" s="186" t="s">
        <v>125</v>
      </c>
      <c r="C236" s="295">
        <f>2800+2800+2300</f>
        <v>7900</v>
      </c>
      <c r="D236" s="131"/>
      <c r="E236" s="267">
        <f>+'ต.ค. '!E238+พ.ย.!E237+ธ.ค.!E237</f>
        <v>0</v>
      </c>
      <c r="F236" s="267">
        <f>+'ต.ค. '!F238+พ.ย.!F237+ธ.ค.!F237</f>
        <v>0</v>
      </c>
      <c r="G236" s="267">
        <f>+'ต.ค. '!G238+พ.ย.!G237+ธ.ค.!G237</f>
        <v>0</v>
      </c>
      <c r="H236" s="267">
        <f>+'ต.ค. '!H238+พ.ย.!H237+ธ.ค.!H237</f>
        <v>0</v>
      </c>
      <c r="I236" s="267">
        <f>+'ต.ค. '!I238+พ.ย.!I237+ธ.ค.!I237</f>
        <v>0</v>
      </c>
      <c r="J236" s="267">
        <f>+'ต.ค. '!J238+พ.ย.!J237+ธ.ค.!J237</f>
        <v>0</v>
      </c>
      <c r="K236" s="267">
        <f>+'ต.ค. '!K238+พ.ย.!K237+ธ.ค.!K237</f>
        <v>0</v>
      </c>
      <c r="L236" s="267">
        <f>+'ต.ค. '!L238+พ.ย.!L237+ธ.ค.!L237</f>
        <v>0</v>
      </c>
      <c r="M236" s="267">
        <f>+'ต.ค. '!M238+พ.ย.!M237+ธ.ค.!M237</f>
        <v>0</v>
      </c>
      <c r="N236" s="267">
        <f>+'ต.ค. '!N238+พ.ย.!N237+ธ.ค.!N237</f>
        <v>0</v>
      </c>
      <c r="O236" s="267">
        <f>+'ต.ค. '!O238+พ.ย.!O237+ธ.ค.!O237</f>
        <v>0</v>
      </c>
      <c r="P236" s="267">
        <f>+'ต.ค. '!P238+พ.ย.!P237+ธ.ค.!P237</f>
        <v>0</v>
      </c>
      <c r="Q236" s="267">
        <f>+'ต.ค. '!Q238+พ.ย.!Q237+ธ.ค.!Q237</f>
        <v>0</v>
      </c>
      <c r="R236" s="267">
        <f>+'ต.ค. '!R238+พ.ย.!R237+ธ.ค.!R237</f>
        <v>0</v>
      </c>
      <c r="S236" s="267">
        <f>+'ต.ค. '!S238+พ.ย.!S237+ธ.ค.!S237</f>
        <v>0</v>
      </c>
      <c r="T236" s="267"/>
      <c r="U236" s="267">
        <f>+'ต.ค. '!U238+พ.ย.!U237+ธ.ค.!U237</f>
        <v>0</v>
      </c>
      <c r="V236" s="267">
        <f>+'ต.ค. '!V238+พ.ย.!V237+ธ.ค.!V237</f>
        <v>0</v>
      </c>
    </row>
    <row r="237" spans="1:22" ht="25.5" customHeight="1">
      <c r="A237" s="20"/>
      <c r="B237" s="186" t="s">
        <v>294</v>
      </c>
      <c r="C237" s="295">
        <v>21000</v>
      </c>
      <c r="D237" s="131"/>
      <c r="E237" s="267">
        <f>+'ต.ค. '!E239+พ.ย.!E238+ธ.ค.!E238</f>
        <v>0</v>
      </c>
      <c r="F237" s="267">
        <f>+'ต.ค. '!F239+พ.ย.!F238+ธ.ค.!F238</f>
        <v>0</v>
      </c>
      <c r="G237" s="267">
        <f>+'ต.ค. '!G239+พ.ย.!G238+ธ.ค.!G238</f>
        <v>0</v>
      </c>
      <c r="H237" s="267">
        <f>+'ต.ค. '!H239+พ.ย.!H238+ธ.ค.!H238</f>
        <v>0</v>
      </c>
      <c r="I237" s="267">
        <f>+'ต.ค. '!I239+พ.ย.!I238+ธ.ค.!I238</f>
        <v>0</v>
      </c>
      <c r="J237" s="267">
        <f>+'ต.ค. '!J239+พ.ย.!J238+ธ.ค.!J238</f>
        <v>0</v>
      </c>
      <c r="K237" s="267">
        <f>+'ต.ค. '!K239+พ.ย.!K238+ธ.ค.!K238</f>
        <v>0</v>
      </c>
      <c r="L237" s="267">
        <f>+'ต.ค. '!L239+พ.ย.!L238+ธ.ค.!L238</f>
        <v>0</v>
      </c>
      <c r="M237" s="267">
        <f>+'ต.ค. '!M239+พ.ย.!M238+ธ.ค.!M238</f>
        <v>0</v>
      </c>
      <c r="N237" s="267">
        <f>+'ต.ค. '!N239+พ.ย.!N238+ธ.ค.!N238</f>
        <v>0</v>
      </c>
      <c r="O237" s="267">
        <f>+'ต.ค. '!O239+พ.ย.!O238+ธ.ค.!O238</f>
        <v>0</v>
      </c>
      <c r="P237" s="267">
        <f>+'ต.ค. '!P239+พ.ย.!P238+ธ.ค.!P238</f>
        <v>0</v>
      </c>
      <c r="Q237" s="267">
        <f>+'ต.ค. '!Q239+พ.ย.!Q238+ธ.ค.!Q238</f>
        <v>0</v>
      </c>
      <c r="R237" s="267">
        <f>+'ต.ค. '!R239+พ.ย.!R238+ธ.ค.!R238</f>
        <v>0</v>
      </c>
      <c r="S237" s="267">
        <f>+'ต.ค. '!S239+พ.ย.!S238+ธ.ค.!S238</f>
        <v>0</v>
      </c>
      <c r="T237" s="267"/>
      <c r="U237" s="267">
        <f>+'ต.ค. '!U239+พ.ย.!U238+ธ.ค.!U238</f>
        <v>0</v>
      </c>
      <c r="V237" s="267">
        <f>+'ต.ค. '!V239+พ.ย.!V238+ธ.ค.!V238</f>
        <v>0</v>
      </c>
    </row>
    <row r="238" spans="1:22" ht="25.5" customHeight="1">
      <c r="A238" s="20"/>
      <c r="B238" s="186" t="s">
        <v>293</v>
      </c>
      <c r="C238" s="295">
        <v>16000</v>
      </c>
      <c r="D238" s="131"/>
      <c r="E238" s="267">
        <f>+'ต.ค. '!E240+พ.ย.!E239+ธ.ค.!E239</f>
        <v>0</v>
      </c>
      <c r="F238" s="267">
        <f>+'ต.ค. '!F240+พ.ย.!F239+ธ.ค.!F239</f>
        <v>0</v>
      </c>
      <c r="G238" s="267">
        <f>+'ต.ค. '!G240+พ.ย.!G239+ธ.ค.!G239</f>
        <v>0</v>
      </c>
      <c r="H238" s="267">
        <f>+'ต.ค. '!H240+พ.ย.!H239+ธ.ค.!H239</f>
        <v>0</v>
      </c>
      <c r="I238" s="267">
        <f>+'ต.ค. '!I240+พ.ย.!I239+ธ.ค.!I239</f>
        <v>0</v>
      </c>
      <c r="J238" s="267">
        <f>+'ต.ค. '!J240+พ.ย.!J239+ธ.ค.!J239</f>
        <v>0</v>
      </c>
      <c r="K238" s="267">
        <f>+'ต.ค. '!K240+พ.ย.!K239+ธ.ค.!K239</f>
        <v>0</v>
      </c>
      <c r="L238" s="267">
        <f>+'ต.ค. '!L240+พ.ย.!L239+ธ.ค.!L239</f>
        <v>0</v>
      </c>
      <c r="M238" s="267">
        <f>+'ต.ค. '!M240+พ.ย.!M239+ธ.ค.!M239</f>
        <v>0</v>
      </c>
      <c r="N238" s="267">
        <f>+'ต.ค. '!N240+พ.ย.!N239+ธ.ค.!N239</f>
        <v>0</v>
      </c>
      <c r="O238" s="267">
        <f>+'ต.ค. '!O240+พ.ย.!O239+ธ.ค.!O239</f>
        <v>0</v>
      </c>
      <c r="P238" s="267">
        <f>+'ต.ค. '!P240+พ.ย.!P239+ธ.ค.!P239</f>
        <v>0</v>
      </c>
      <c r="Q238" s="267">
        <f>+'ต.ค. '!Q240+พ.ย.!Q239+ธ.ค.!Q239</f>
        <v>0</v>
      </c>
      <c r="R238" s="267">
        <f>+'ต.ค. '!R240+พ.ย.!R239+ธ.ค.!R239</f>
        <v>0</v>
      </c>
      <c r="S238" s="267">
        <f>+'ต.ค. '!S240+พ.ย.!S239+ธ.ค.!S239</f>
        <v>0</v>
      </c>
      <c r="T238" s="267"/>
      <c r="U238" s="267">
        <f>+'ต.ค. '!U240+พ.ย.!U239+ธ.ค.!U239</f>
        <v>0</v>
      </c>
      <c r="V238" s="267">
        <f>+'ต.ค. '!V240+พ.ย.!V239+ธ.ค.!V239</f>
        <v>0</v>
      </c>
    </row>
    <row r="239" spans="1:22" ht="25.5" customHeight="1">
      <c r="A239" s="20"/>
      <c r="B239" s="186" t="s">
        <v>306</v>
      </c>
      <c r="C239" s="295">
        <v>7700</v>
      </c>
      <c r="D239" s="131"/>
      <c r="E239" s="267">
        <f>+'ต.ค. '!E241+พ.ย.!E240+ธ.ค.!E240</f>
        <v>0</v>
      </c>
      <c r="F239" s="267">
        <f>+'ต.ค. '!F241+พ.ย.!F240+ธ.ค.!F240</f>
        <v>0</v>
      </c>
      <c r="G239" s="267">
        <f>+'ต.ค. '!G241+พ.ย.!G240+ธ.ค.!G240</f>
        <v>0</v>
      </c>
      <c r="H239" s="267">
        <f>+'ต.ค. '!H241+พ.ย.!H240+ธ.ค.!H240</f>
        <v>0</v>
      </c>
      <c r="I239" s="267">
        <f>+'ต.ค. '!I241+พ.ย.!I240+ธ.ค.!I240</f>
        <v>0</v>
      </c>
      <c r="J239" s="267">
        <f>+'ต.ค. '!J241+พ.ย.!J240+ธ.ค.!J240</f>
        <v>0</v>
      </c>
      <c r="K239" s="267">
        <f>+'ต.ค. '!K241+พ.ย.!K240+ธ.ค.!K240</f>
        <v>0</v>
      </c>
      <c r="L239" s="267">
        <f>+'ต.ค. '!L241+พ.ย.!L240+ธ.ค.!L240</f>
        <v>0</v>
      </c>
      <c r="M239" s="267">
        <f>+'ต.ค. '!M241+พ.ย.!M240+ธ.ค.!M240</f>
        <v>0</v>
      </c>
      <c r="N239" s="267">
        <f>+'ต.ค. '!N241+พ.ย.!N240+ธ.ค.!N240</f>
        <v>0</v>
      </c>
      <c r="O239" s="267">
        <f>+'ต.ค. '!O241+พ.ย.!O240+ธ.ค.!O240</f>
        <v>0</v>
      </c>
      <c r="P239" s="267">
        <f>+'ต.ค. '!P241+พ.ย.!P240+ธ.ค.!P240</f>
        <v>0</v>
      </c>
      <c r="Q239" s="267">
        <f>+'ต.ค. '!Q241+พ.ย.!Q240+ธ.ค.!Q240</f>
        <v>0</v>
      </c>
      <c r="R239" s="267">
        <f>+'ต.ค. '!R241+พ.ย.!R240+ธ.ค.!R240</f>
        <v>0</v>
      </c>
      <c r="S239" s="267">
        <f>+'ต.ค. '!S241+พ.ย.!S240+ธ.ค.!S240</f>
        <v>0</v>
      </c>
      <c r="T239" s="267"/>
      <c r="U239" s="267">
        <f>+'ต.ค. '!U241+พ.ย.!U240+ธ.ค.!U240</f>
        <v>0</v>
      </c>
      <c r="V239" s="267">
        <f>+'ต.ค. '!V241+พ.ย.!V240+ธ.ค.!V240</f>
        <v>0</v>
      </c>
    </row>
    <row r="240" spans="1:22" ht="25.5" customHeight="1">
      <c r="A240" s="20"/>
      <c r="B240" s="252" t="s">
        <v>336</v>
      </c>
      <c r="C240" s="295"/>
      <c r="D240" s="131"/>
      <c r="E240" s="267"/>
      <c r="F240" s="135"/>
      <c r="G240" s="135"/>
      <c r="H240" s="135"/>
      <c r="I240" s="131"/>
      <c r="J240" s="131"/>
      <c r="K240" s="131"/>
      <c r="L240" s="131"/>
      <c r="M240" s="135"/>
      <c r="N240" s="131"/>
      <c r="O240" s="131"/>
      <c r="P240" s="131"/>
      <c r="Q240" s="131"/>
      <c r="R240" s="217"/>
      <c r="S240" s="219"/>
      <c r="T240" s="219"/>
      <c r="U240" s="217"/>
      <c r="V240" s="217"/>
    </row>
    <row r="241" spans="1:22" ht="25.5" customHeight="1">
      <c r="A241" s="20"/>
      <c r="B241" s="186" t="s">
        <v>337</v>
      </c>
      <c r="C241" s="295">
        <v>9000</v>
      </c>
      <c r="D241" s="131"/>
      <c r="E241" s="267">
        <f>+'ต.ค. '!E244+พ.ย.!E242+ธ.ค.!E242</f>
        <v>0</v>
      </c>
      <c r="F241" s="267">
        <f>+'ต.ค. '!F244+พ.ย.!F242+ธ.ค.!F242</f>
        <v>0</v>
      </c>
      <c r="G241" s="267">
        <f>+'ต.ค. '!G244+พ.ย.!G242+ธ.ค.!G242</f>
        <v>0</v>
      </c>
      <c r="H241" s="267">
        <f>+'ต.ค. '!H244+พ.ย.!H242+ธ.ค.!H242</f>
        <v>0</v>
      </c>
      <c r="I241" s="267">
        <f>+'ต.ค. '!I244+พ.ย.!I242+ธ.ค.!I242</f>
        <v>0</v>
      </c>
      <c r="J241" s="267">
        <f>+'ต.ค. '!J244+พ.ย.!J242+ธ.ค.!J242</f>
        <v>0</v>
      </c>
      <c r="K241" s="267">
        <f>+'ต.ค. '!K244+พ.ย.!K242+ธ.ค.!K242</f>
        <v>0</v>
      </c>
      <c r="L241" s="267">
        <f>+'ต.ค. '!L244+พ.ย.!L242+ธ.ค.!L242</f>
        <v>0</v>
      </c>
      <c r="M241" s="267">
        <f>+'ต.ค. '!M244+พ.ย.!M242+ธ.ค.!M242</f>
        <v>0</v>
      </c>
      <c r="N241" s="267">
        <f>+'ต.ค. '!N244+พ.ย.!N242+ธ.ค.!N242</f>
        <v>0</v>
      </c>
      <c r="O241" s="267">
        <f>+'ต.ค. '!O244+พ.ย.!O242+ธ.ค.!O242</f>
        <v>0</v>
      </c>
      <c r="P241" s="267">
        <f>+'ต.ค. '!P244+พ.ย.!P242+ธ.ค.!P242</f>
        <v>0</v>
      </c>
      <c r="Q241" s="267">
        <f>+'ต.ค. '!Q244+พ.ย.!Q242+ธ.ค.!Q242</f>
        <v>0</v>
      </c>
      <c r="R241" s="267">
        <f>+'ต.ค. '!R244+พ.ย.!R242+ธ.ค.!R242</f>
        <v>0</v>
      </c>
      <c r="S241" s="267">
        <f>+'ต.ค. '!S244+พ.ย.!S242+ธ.ค.!S242</f>
        <v>0</v>
      </c>
      <c r="T241" s="267"/>
      <c r="U241" s="267">
        <f>+'ต.ค. '!U244+พ.ย.!U242+ธ.ค.!U242</f>
        <v>0</v>
      </c>
      <c r="V241" s="267">
        <f>+'ต.ค. '!V244+พ.ย.!V242+ธ.ค.!V242</f>
        <v>0</v>
      </c>
    </row>
    <row r="242" spans="1:22" ht="25.5" customHeight="1">
      <c r="A242" s="20"/>
      <c r="B242" s="252" t="s">
        <v>338</v>
      </c>
      <c r="C242" s="295"/>
      <c r="D242" s="131"/>
      <c r="E242" s="267"/>
      <c r="F242" s="135"/>
      <c r="G242" s="135"/>
      <c r="H242" s="135"/>
      <c r="I242" s="131"/>
      <c r="J242" s="131"/>
      <c r="K242" s="131"/>
      <c r="L242" s="131"/>
      <c r="M242" s="135"/>
      <c r="N242" s="131"/>
      <c r="O242" s="131"/>
      <c r="P242" s="131"/>
      <c r="Q242" s="131"/>
      <c r="R242" s="217"/>
      <c r="S242" s="219"/>
      <c r="T242" s="219"/>
      <c r="U242" s="217"/>
      <c r="V242" s="217"/>
    </row>
    <row r="243" spans="1:22" ht="25.5" customHeight="1">
      <c r="A243" s="20"/>
      <c r="B243" s="186" t="s">
        <v>339</v>
      </c>
      <c r="C243" s="295">
        <v>8000</v>
      </c>
      <c r="D243" s="131"/>
      <c r="E243" s="267">
        <f>+'ต.ค. '!E247+พ.ย.!E244+ธ.ค.!E244</f>
        <v>0</v>
      </c>
      <c r="F243" s="267">
        <f>+'ต.ค. '!F247+พ.ย.!F244+ธ.ค.!F244</f>
        <v>0</v>
      </c>
      <c r="G243" s="267">
        <f>+'ต.ค. '!G247+พ.ย.!G244+ธ.ค.!G244</f>
        <v>0</v>
      </c>
      <c r="H243" s="267">
        <f>+'ต.ค. '!H247+พ.ย.!H244+ธ.ค.!H244</f>
        <v>0</v>
      </c>
      <c r="I243" s="267">
        <f>+'ต.ค. '!I247+พ.ย.!I244+ธ.ค.!I244</f>
        <v>0</v>
      </c>
      <c r="J243" s="267">
        <f>+'ต.ค. '!J247+พ.ย.!J244+ธ.ค.!J244</f>
        <v>0</v>
      </c>
      <c r="K243" s="267">
        <f>+'ต.ค. '!K247+พ.ย.!K244+ธ.ค.!K244</f>
        <v>0</v>
      </c>
      <c r="L243" s="267">
        <f>+'ต.ค. '!L247+พ.ย.!L244+ธ.ค.!L244</f>
        <v>0</v>
      </c>
      <c r="M243" s="267">
        <f>+'ต.ค. '!M247+พ.ย.!M244+ธ.ค.!M244</f>
        <v>0</v>
      </c>
      <c r="N243" s="267">
        <f>+'ต.ค. '!N247+พ.ย.!N244+ธ.ค.!N244</f>
        <v>0</v>
      </c>
      <c r="O243" s="267">
        <f>+'ต.ค. '!O247+พ.ย.!O244+ธ.ค.!O244</f>
        <v>0</v>
      </c>
      <c r="P243" s="267">
        <f>+'ต.ค. '!P247+พ.ย.!P244+ธ.ค.!P244</f>
        <v>0</v>
      </c>
      <c r="Q243" s="267">
        <f>+'ต.ค. '!Q247+พ.ย.!Q244+ธ.ค.!Q244</f>
        <v>0</v>
      </c>
      <c r="R243" s="267">
        <f>+'ต.ค. '!R247+พ.ย.!R244+ธ.ค.!R244</f>
        <v>0</v>
      </c>
      <c r="S243" s="267">
        <f>+'ต.ค. '!S247+พ.ย.!S244+ธ.ค.!S244</f>
        <v>0</v>
      </c>
      <c r="T243" s="267"/>
      <c r="U243" s="267">
        <f>+'ต.ค. '!U247+พ.ย.!U244+ธ.ค.!U244</f>
        <v>0</v>
      </c>
      <c r="V243" s="267">
        <f>+'ต.ค. '!V247+พ.ย.!V244+ธ.ค.!V244</f>
        <v>0</v>
      </c>
    </row>
    <row r="244" spans="1:22" ht="25.5" customHeight="1">
      <c r="A244" s="20"/>
      <c r="B244" s="186" t="s">
        <v>340</v>
      </c>
      <c r="C244" s="295">
        <v>6000</v>
      </c>
      <c r="D244" s="131"/>
      <c r="E244" s="267">
        <f>+'ต.ค. '!E248+พ.ย.!E245+ธ.ค.!E245</f>
        <v>0</v>
      </c>
      <c r="F244" s="267">
        <f>+'ต.ค. '!F248+พ.ย.!F245+ธ.ค.!F245</f>
        <v>0</v>
      </c>
      <c r="G244" s="267">
        <f>+'ต.ค. '!G248+พ.ย.!G245+ธ.ค.!G245</f>
        <v>0</v>
      </c>
      <c r="H244" s="267">
        <f>+'ต.ค. '!H248+พ.ย.!H245+ธ.ค.!H245</f>
        <v>0</v>
      </c>
      <c r="I244" s="267">
        <f>+'ต.ค. '!I248+พ.ย.!I245+ธ.ค.!I245</f>
        <v>0</v>
      </c>
      <c r="J244" s="267">
        <f>+'ต.ค. '!J248+พ.ย.!J245+ธ.ค.!J245</f>
        <v>0</v>
      </c>
      <c r="K244" s="267">
        <f>+'ต.ค. '!K248+พ.ย.!K245+ธ.ค.!K245</f>
        <v>0</v>
      </c>
      <c r="L244" s="267">
        <f>+'ต.ค. '!L248+พ.ย.!L245+ธ.ค.!L245</f>
        <v>0</v>
      </c>
      <c r="M244" s="267">
        <f>+'ต.ค. '!M248+พ.ย.!M245+ธ.ค.!M245</f>
        <v>0</v>
      </c>
      <c r="N244" s="267">
        <f>+'ต.ค. '!N248+พ.ย.!N245+ธ.ค.!N245</f>
        <v>0</v>
      </c>
      <c r="O244" s="267">
        <f>+'ต.ค. '!O248+พ.ย.!O245+ธ.ค.!O245</f>
        <v>0</v>
      </c>
      <c r="P244" s="267">
        <f>+'ต.ค. '!P248+พ.ย.!P245+ธ.ค.!P245</f>
        <v>0</v>
      </c>
      <c r="Q244" s="267">
        <f>+'ต.ค. '!Q248+พ.ย.!Q245+ธ.ค.!Q245</f>
        <v>0</v>
      </c>
      <c r="R244" s="267">
        <f>+'ต.ค. '!R248+พ.ย.!R245+ธ.ค.!R245</f>
        <v>0</v>
      </c>
      <c r="S244" s="267">
        <f>+'ต.ค. '!S248+พ.ย.!S245+ธ.ค.!S245</f>
        <v>0</v>
      </c>
      <c r="T244" s="267"/>
      <c r="U244" s="267">
        <f>+'ต.ค. '!U248+พ.ย.!U245+ธ.ค.!U245</f>
        <v>0</v>
      </c>
      <c r="V244" s="267">
        <f>+'ต.ค. '!V248+พ.ย.!V245+ธ.ค.!V245</f>
        <v>0</v>
      </c>
    </row>
    <row r="245" spans="1:22" ht="25.5" customHeight="1">
      <c r="A245" s="20"/>
      <c r="B245" s="252" t="s">
        <v>341</v>
      </c>
      <c r="C245" s="295"/>
      <c r="D245" s="131"/>
      <c r="E245" s="267"/>
      <c r="F245" s="135"/>
      <c r="G245" s="135"/>
      <c r="H245" s="135"/>
      <c r="I245" s="131"/>
      <c r="J245" s="131"/>
      <c r="K245" s="131"/>
      <c r="L245" s="131"/>
      <c r="M245" s="135"/>
      <c r="N245" s="131"/>
      <c r="O245" s="131"/>
      <c r="P245" s="131"/>
      <c r="Q245" s="131"/>
      <c r="R245" s="217"/>
      <c r="S245" s="219"/>
      <c r="T245" s="219"/>
      <c r="U245" s="217"/>
      <c r="V245" s="217"/>
    </row>
    <row r="246" spans="1:22" ht="25.5" customHeight="1">
      <c r="A246" s="20"/>
      <c r="B246" s="186" t="s">
        <v>342</v>
      </c>
      <c r="C246" s="295">
        <v>45300</v>
      </c>
      <c r="D246" s="131"/>
      <c r="E246" s="267">
        <f>+'ต.ค. '!E251+พ.ย.!E247+ธ.ค.!E247</f>
        <v>0</v>
      </c>
      <c r="F246" s="267">
        <f>+'ต.ค. '!F251+พ.ย.!F247+ธ.ค.!F247</f>
        <v>0</v>
      </c>
      <c r="G246" s="267">
        <f>+'ต.ค. '!G251+พ.ย.!G247+ธ.ค.!G247</f>
        <v>0</v>
      </c>
      <c r="H246" s="267">
        <f>+'ต.ค. '!H251+พ.ย.!H247+ธ.ค.!H247</f>
        <v>0</v>
      </c>
      <c r="I246" s="267">
        <f>+'ต.ค. '!I251+พ.ย.!I247+ธ.ค.!I247</f>
        <v>0</v>
      </c>
      <c r="J246" s="267">
        <f>+'ต.ค. '!J251+พ.ย.!J247+ธ.ค.!J247</f>
        <v>0</v>
      </c>
      <c r="K246" s="267">
        <f>+'ต.ค. '!K251+พ.ย.!K247+ธ.ค.!K247</f>
        <v>0</v>
      </c>
      <c r="L246" s="267">
        <f>+'ต.ค. '!L251+พ.ย.!L247+ธ.ค.!L247</f>
        <v>0</v>
      </c>
      <c r="M246" s="267">
        <f>+'ต.ค. '!M251+พ.ย.!M247+ธ.ค.!M247</f>
        <v>0</v>
      </c>
      <c r="N246" s="267">
        <f>+'ต.ค. '!N251+พ.ย.!N247+ธ.ค.!N247</f>
        <v>0</v>
      </c>
      <c r="O246" s="267">
        <f>+'ต.ค. '!O251+พ.ย.!O247+ธ.ค.!O247</f>
        <v>0</v>
      </c>
      <c r="P246" s="267">
        <f>+'ต.ค. '!P251+พ.ย.!P247+ธ.ค.!P247</f>
        <v>0</v>
      </c>
      <c r="Q246" s="267">
        <f>+'ต.ค. '!Q251+พ.ย.!Q247+ธ.ค.!Q247</f>
        <v>0</v>
      </c>
      <c r="R246" s="267">
        <f>+'ต.ค. '!R251+พ.ย.!R247+ธ.ค.!R247</f>
        <v>0</v>
      </c>
      <c r="S246" s="267">
        <f>+'ต.ค. '!S251+พ.ย.!S247+ธ.ค.!S247</f>
        <v>0</v>
      </c>
      <c r="T246" s="267"/>
      <c r="U246" s="267">
        <f>+'ต.ค. '!U251+พ.ย.!U247+ธ.ค.!U247</f>
        <v>0</v>
      </c>
      <c r="V246" s="267">
        <f>+'ต.ค. '!V251+พ.ย.!V247+ธ.ค.!V247</f>
        <v>0</v>
      </c>
    </row>
    <row r="247" spans="1:22" ht="25.5" customHeight="1">
      <c r="A247" s="20"/>
      <c r="B247" s="186" t="s">
        <v>343</v>
      </c>
      <c r="C247" s="295">
        <v>128000</v>
      </c>
      <c r="D247" s="131"/>
      <c r="E247" s="267">
        <f>+'ต.ค. '!E252+พ.ย.!E248+ธ.ค.!E248</f>
        <v>0</v>
      </c>
      <c r="F247" s="267">
        <f>+'ต.ค. '!F252+พ.ย.!F248+ธ.ค.!F248</f>
        <v>0</v>
      </c>
      <c r="G247" s="267">
        <f>+'ต.ค. '!G252+พ.ย.!G248+ธ.ค.!G248</f>
        <v>0</v>
      </c>
      <c r="H247" s="267">
        <f>+'ต.ค. '!H252+พ.ย.!H248+ธ.ค.!H248</f>
        <v>0</v>
      </c>
      <c r="I247" s="267">
        <f>+'ต.ค. '!I252+พ.ย.!I248+ธ.ค.!I248</f>
        <v>0</v>
      </c>
      <c r="J247" s="267">
        <f>+'ต.ค. '!J252+พ.ย.!J248+ธ.ค.!J248</f>
        <v>0</v>
      </c>
      <c r="K247" s="267">
        <f>+'ต.ค. '!K252+พ.ย.!K248+ธ.ค.!K248</f>
        <v>0</v>
      </c>
      <c r="L247" s="267">
        <f>+'ต.ค. '!L252+พ.ย.!L248+ธ.ค.!L248</f>
        <v>0</v>
      </c>
      <c r="M247" s="267">
        <f>+'ต.ค. '!M252+พ.ย.!M248+ธ.ค.!M248</f>
        <v>0</v>
      </c>
      <c r="N247" s="267">
        <f>+'ต.ค. '!N252+พ.ย.!N248+ธ.ค.!N248</f>
        <v>0</v>
      </c>
      <c r="O247" s="267">
        <f>+'ต.ค. '!O252+พ.ย.!O248+ธ.ค.!O248</f>
        <v>0</v>
      </c>
      <c r="P247" s="267">
        <f>+'ต.ค. '!P252+พ.ย.!P248+ธ.ค.!P248</f>
        <v>0</v>
      </c>
      <c r="Q247" s="267">
        <f>+'ต.ค. '!Q252+พ.ย.!Q248+ธ.ค.!Q248</f>
        <v>0</v>
      </c>
      <c r="R247" s="267">
        <f>+'ต.ค. '!R252+พ.ย.!R248+ธ.ค.!R248</f>
        <v>0</v>
      </c>
      <c r="S247" s="267">
        <f>+'ต.ค. '!S252+พ.ย.!S248+ธ.ค.!S248</f>
        <v>0</v>
      </c>
      <c r="T247" s="267"/>
      <c r="U247" s="267">
        <f>+'ต.ค. '!U252+พ.ย.!U248+ธ.ค.!U248</f>
        <v>0</v>
      </c>
      <c r="V247" s="267">
        <f>+'ต.ค. '!V252+พ.ย.!V248+ธ.ค.!V248</f>
        <v>0</v>
      </c>
    </row>
    <row r="248" spans="1:22" ht="25.5" customHeight="1">
      <c r="A248" s="20"/>
      <c r="B248" s="186" t="s">
        <v>264</v>
      </c>
      <c r="C248" s="295">
        <v>204000</v>
      </c>
      <c r="D248" s="131"/>
      <c r="E248" s="267">
        <f>+'ต.ค. '!E253+พ.ย.!E249+ธ.ค.!E249</f>
        <v>0</v>
      </c>
      <c r="F248" s="267">
        <f>+'ต.ค. '!F253+พ.ย.!F249+ธ.ค.!F249</f>
        <v>0</v>
      </c>
      <c r="G248" s="267">
        <f>+'ต.ค. '!G253+พ.ย.!G249+ธ.ค.!G249</f>
        <v>0</v>
      </c>
      <c r="H248" s="267">
        <f>+'ต.ค. '!H253+พ.ย.!H249+ธ.ค.!H249</f>
        <v>0</v>
      </c>
      <c r="I248" s="267">
        <f>+'ต.ค. '!I253+พ.ย.!I249+ธ.ค.!I249</f>
        <v>0</v>
      </c>
      <c r="J248" s="267">
        <f>+'ต.ค. '!J253+พ.ย.!J249+ธ.ค.!J249</f>
        <v>0</v>
      </c>
      <c r="K248" s="267">
        <f>+'ต.ค. '!K253+พ.ย.!K249+ธ.ค.!K249</f>
        <v>0</v>
      </c>
      <c r="L248" s="267">
        <f>+'ต.ค. '!L253+พ.ย.!L249+ธ.ค.!L249</f>
        <v>0</v>
      </c>
      <c r="M248" s="267">
        <f>+'ต.ค. '!M253+พ.ย.!M249+ธ.ค.!M249</f>
        <v>0</v>
      </c>
      <c r="N248" s="267"/>
      <c r="O248" s="267">
        <f>+'ต.ค. '!O253+พ.ย.!O249+ธ.ค.!O249</f>
        <v>0</v>
      </c>
      <c r="P248" s="267">
        <f>+'ต.ค. '!P253+พ.ย.!P249+ธ.ค.!P249</f>
        <v>0</v>
      </c>
      <c r="Q248" s="267">
        <f>+'ต.ค. '!Q253+พ.ย.!Q249+ธ.ค.!Q249</f>
        <v>0</v>
      </c>
      <c r="R248" s="267">
        <f>+'ต.ค. '!R253+พ.ย.!R249+ธ.ค.!R249</f>
        <v>0</v>
      </c>
      <c r="S248" s="267">
        <f>+'ต.ค. '!S253+พ.ย.!S249+ธ.ค.!S249</f>
        <v>0</v>
      </c>
      <c r="T248" s="267"/>
      <c r="U248" s="267">
        <f>+'ต.ค. '!U253+พ.ย.!U249+ธ.ค.!U249</f>
        <v>0</v>
      </c>
      <c r="V248" s="267">
        <f>+'ต.ค. '!V253+พ.ย.!V249+ธ.ค.!V249</f>
        <v>0</v>
      </c>
    </row>
    <row r="249" spans="1:22" ht="25.5" customHeight="1">
      <c r="A249" s="20"/>
      <c r="B249" s="186" t="s">
        <v>381</v>
      </c>
      <c r="C249" s="295">
        <v>204000</v>
      </c>
      <c r="D249" s="131"/>
      <c r="E249" s="267">
        <f>+'ต.ค. '!E254+พ.ย.!E250+ธ.ค.!E250</f>
        <v>0</v>
      </c>
      <c r="F249" s="267">
        <f>+'ต.ค. '!F254+พ.ย.!F250+ธ.ค.!F250</f>
        <v>0</v>
      </c>
      <c r="G249" s="267">
        <f>+'ต.ค. '!G254+พ.ย.!G250+ธ.ค.!G250</f>
        <v>0</v>
      </c>
      <c r="H249" s="267">
        <f>+'ต.ค. '!H254+พ.ย.!H250+ธ.ค.!H250</f>
        <v>0</v>
      </c>
      <c r="I249" s="267">
        <f>+'ต.ค. '!I254+พ.ย.!I250+ธ.ค.!I250</f>
        <v>0</v>
      </c>
      <c r="J249" s="267">
        <f>+'ต.ค. '!J254+พ.ย.!J250+ธ.ค.!J250</f>
        <v>0</v>
      </c>
      <c r="K249" s="267">
        <f>+'ต.ค. '!K254+พ.ย.!K250+ธ.ค.!K250</f>
        <v>0</v>
      </c>
      <c r="L249" s="267">
        <f>+'ต.ค. '!L254+พ.ย.!L250+ธ.ค.!L250</f>
        <v>0</v>
      </c>
      <c r="M249" s="267">
        <f>+'ต.ค. '!M254+พ.ย.!M250+ธ.ค.!M250</f>
        <v>0</v>
      </c>
      <c r="N249" s="267"/>
      <c r="O249" s="267">
        <f>+'ต.ค. '!O254+พ.ย.!O250+ธ.ค.!O250</f>
        <v>0</v>
      </c>
      <c r="P249" s="267">
        <f>+'ต.ค. '!P254+พ.ย.!P250+ธ.ค.!P250</f>
        <v>0</v>
      </c>
      <c r="Q249" s="267">
        <f>+'ต.ค. '!Q254+พ.ย.!Q250+ธ.ค.!Q250</f>
        <v>0</v>
      </c>
      <c r="R249" s="267">
        <f>+'ต.ค. '!R254+พ.ย.!R250+ธ.ค.!R250</f>
        <v>0</v>
      </c>
      <c r="S249" s="267">
        <f>+'ต.ค. '!S254+พ.ย.!S250+ธ.ค.!S250</f>
        <v>0</v>
      </c>
      <c r="T249" s="267"/>
      <c r="U249" s="267">
        <f>+'ต.ค. '!U254+พ.ย.!U250+ธ.ค.!U250</f>
        <v>0</v>
      </c>
      <c r="V249" s="267">
        <f>+'ต.ค. '!V254+พ.ย.!V250+ธ.ค.!V250</f>
        <v>0</v>
      </c>
    </row>
    <row r="250" spans="1:22" ht="25.5" customHeight="1">
      <c r="A250" s="20"/>
      <c r="B250" s="186" t="s">
        <v>344</v>
      </c>
      <c r="C250" s="295">
        <v>204000</v>
      </c>
      <c r="D250" s="131"/>
      <c r="E250" s="267">
        <f>+'ต.ค. '!E255+พ.ย.!E251+ธ.ค.!E251</f>
        <v>0</v>
      </c>
      <c r="F250" s="267">
        <f>+'ต.ค. '!F255+พ.ย.!F251+ธ.ค.!F251</f>
        <v>0</v>
      </c>
      <c r="G250" s="267">
        <f>+'ต.ค. '!G255+พ.ย.!G251+ธ.ค.!G251</f>
        <v>0</v>
      </c>
      <c r="H250" s="267">
        <f>+'ต.ค. '!H255+พ.ย.!H251+ธ.ค.!H251</f>
        <v>0</v>
      </c>
      <c r="I250" s="267">
        <f>+'ต.ค. '!I255+พ.ย.!I251+ธ.ค.!I251</f>
        <v>0</v>
      </c>
      <c r="J250" s="267">
        <f>+'ต.ค. '!J255+พ.ย.!J251+ธ.ค.!J251</f>
        <v>0</v>
      </c>
      <c r="K250" s="267">
        <f>+'ต.ค. '!K255+พ.ย.!K251+ธ.ค.!K251</f>
        <v>0</v>
      </c>
      <c r="L250" s="267">
        <f>+'ต.ค. '!L255+พ.ย.!L251+ธ.ค.!L251</f>
        <v>0</v>
      </c>
      <c r="M250" s="267">
        <f>+'ต.ค. '!M255+พ.ย.!M251+ธ.ค.!M251</f>
        <v>0</v>
      </c>
      <c r="N250" s="267"/>
      <c r="O250" s="267">
        <f>+'ต.ค. '!O255+พ.ย.!O251+ธ.ค.!O251</f>
        <v>0</v>
      </c>
      <c r="P250" s="267">
        <f>+'ต.ค. '!P255+พ.ย.!P251+ธ.ค.!P251</f>
        <v>0</v>
      </c>
      <c r="Q250" s="267">
        <f>+'ต.ค. '!Q255+พ.ย.!Q251+ธ.ค.!Q251</f>
        <v>0</v>
      </c>
      <c r="R250" s="267">
        <f>+'ต.ค. '!R255+พ.ย.!R251+ธ.ค.!R251</f>
        <v>0</v>
      </c>
      <c r="S250" s="267">
        <f>+'ต.ค. '!S255+พ.ย.!S251+ธ.ค.!S251</f>
        <v>0</v>
      </c>
      <c r="T250" s="267"/>
      <c r="U250" s="267">
        <f>+'ต.ค. '!U255+พ.ย.!U251+ธ.ค.!U251</f>
        <v>0</v>
      </c>
      <c r="V250" s="267">
        <f>+'ต.ค. '!V255+พ.ย.!V251+ธ.ค.!V251</f>
        <v>0</v>
      </c>
    </row>
    <row r="251" spans="1:22" ht="25.5" customHeight="1">
      <c r="A251" s="20"/>
      <c r="B251" s="186" t="s">
        <v>345</v>
      </c>
      <c r="C251" s="295">
        <v>217000</v>
      </c>
      <c r="D251" s="131"/>
      <c r="E251" s="267">
        <f>+'ต.ค. '!E256+พ.ย.!E252+ธ.ค.!E252</f>
        <v>0</v>
      </c>
      <c r="F251" s="267">
        <f>+'ต.ค. '!F256+พ.ย.!F252+ธ.ค.!F252</f>
        <v>0</v>
      </c>
      <c r="G251" s="267">
        <f>+'ต.ค. '!G256+พ.ย.!G252+ธ.ค.!G252</f>
        <v>0</v>
      </c>
      <c r="H251" s="267">
        <f>+'ต.ค. '!H256+พ.ย.!H252+ธ.ค.!H252</f>
        <v>0</v>
      </c>
      <c r="I251" s="267">
        <f>+'ต.ค. '!I256+พ.ย.!I252+ธ.ค.!I252</f>
        <v>0</v>
      </c>
      <c r="J251" s="267">
        <f>+'ต.ค. '!J256+พ.ย.!J252+ธ.ค.!J252</f>
        <v>0</v>
      </c>
      <c r="K251" s="267">
        <f>+'ต.ค. '!K256+พ.ย.!K252+ธ.ค.!K252</f>
        <v>0</v>
      </c>
      <c r="L251" s="267">
        <f>+'ต.ค. '!L256+พ.ย.!L252+ธ.ค.!L252</f>
        <v>0</v>
      </c>
      <c r="M251" s="267">
        <f>+'ต.ค. '!M256+พ.ย.!M252+ธ.ค.!M252</f>
        <v>0</v>
      </c>
      <c r="N251" s="267">
        <v>216000</v>
      </c>
      <c r="O251" s="267">
        <f>+'ต.ค. '!O256+พ.ย.!O252+ธ.ค.!O252</f>
        <v>0</v>
      </c>
      <c r="P251" s="267">
        <f>+'ต.ค. '!P256+พ.ย.!P252+ธ.ค.!P252</f>
        <v>0</v>
      </c>
      <c r="Q251" s="267">
        <f>+'ต.ค. '!Q256+พ.ย.!Q252+ธ.ค.!Q252</f>
        <v>0</v>
      </c>
      <c r="R251" s="267">
        <f>+'ต.ค. '!R256+พ.ย.!R252+ธ.ค.!R252</f>
        <v>0</v>
      </c>
      <c r="S251" s="267">
        <f>+'ต.ค. '!S256+พ.ย.!S252+ธ.ค.!S252</f>
        <v>0</v>
      </c>
      <c r="T251" s="267"/>
      <c r="U251" s="267">
        <f>+'ต.ค. '!U256+พ.ย.!U252+ธ.ค.!U252</f>
        <v>0</v>
      </c>
      <c r="V251" s="267">
        <f>+'ต.ค. '!V256+พ.ย.!V252+ธ.ค.!V252</f>
        <v>0</v>
      </c>
    </row>
    <row r="252" spans="1:22" ht="25.5" customHeight="1">
      <c r="A252" s="20"/>
      <c r="B252" s="186" t="s">
        <v>346</v>
      </c>
      <c r="C252" s="295">
        <v>27000</v>
      </c>
      <c r="D252" s="131"/>
      <c r="E252" s="267">
        <f>+'ต.ค. '!E257+พ.ย.!E253+ธ.ค.!E253</f>
        <v>0</v>
      </c>
      <c r="F252" s="267">
        <f>+'ต.ค. '!F257+พ.ย.!F253+ธ.ค.!F253</f>
        <v>0</v>
      </c>
      <c r="G252" s="267">
        <f>+'ต.ค. '!G257+พ.ย.!G253+ธ.ค.!G253</f>
        <v>0</v>
      </c>
      <c r="H252" s="267">
        <f>+'ต.ค. '!H257+พ.ย.!H253+ธ.ค.!H253</f>
        <v>0</v>
      </c>
      <c r="I252" s="267">
        <f>+'ต.ค. '!I257+พ.ย.!I253+ธ.ค.!I253</f>
        <v>0</v>
      </c>
      <c r="J252" s="267">
        <f>+'ต.ค. '!J257+พ.ย.!J253+ธ.ค.!J253</f>
        <v>0</v>
      </c>
      <c r="K252" s="267">
        <f>+'ต.ค. '!K257+พ.ย.!K253+ธ.ค.!K253</f>
        <v>0</v>
      </c>
      <c r="L252" s="267">
        <f>+'ต.ค. '!L257+พ.ย.!L253+ธ.ค.!L253</f>
        <v>0</v>
      </c>
      <c r="M252" s="267">
        <f>+'ต.ค. '!M257+พ.ย.!M253+ธ.ค.!M253</f>
        <v>0</v>
      </c>
      <c r="N252" s="267"/>
      <c r="O252" s="267">
        <f>+'ต.ค. '!O257+พ.ย.!O253+ธ.ค.!O253</f>
        <v>0</v>
      </c>
      <c r="P252" s="267">
        <f>+'ต.ค. '!P257+พ.ย.!P253+ธ.ค.!P253</f>
        <v>0</v>
      </c>
      <c r="Q252" s="267">
        <f>+'ต.ค. '!Q257+พ.ย.!Q253+ธ.ค.!Q253</f>
        <v>0</v>
      </c>
      <c r="R252" s="267">
        <f>+'ต.ค. '!R257+พ.ย.!R253+ธ.ค.!R253</f>
        <v>0</v>
      </c>
      <c r="S252" s="267">
        <f>+'ต.ค. '!S257+พ.ย.!S253+ธ.ค.!S253</f>
        <v>0</v>
      </c>
      <c r="T252" s="267"/>
      <c r="U252" s="267">
        <f>+'ต.ค. '!U257+พ.ย.!U253+ธ.ค.!U253</f>
        <v>0</v>
      </c>
      <c r="V252" s="267">
        <f>+'ต.ค. '!V257+พ.ย.!V253+ธ.ค.!V253</f>
        <v>0</v>
      </c>
    </row>
    <row r="253" spans="1:22" ht="25.5" customHeight="1">
      <c r="A253" s="20"/>
      <c r="B253" s="186" t="s">
        <v>347</v>
      </c>
      <c r="C253" s="295">
        <v>211000</v>
      </c>
      <c r="D253" s="131"/>
      <c r="E253" s="267">
        <f>+'ต.ค. '!E258+พ.ย.!E254+ธ.ค.!E254</f>
        <v>0</v>
      </c>
      <c r="F253" s="267">
        <f>+'ต.ค. '!F258+พ.ย.!F254+ธ.ค.!F254</f>
        <v>0</v>
      </c>
      <c r="G253" s="267">
        <f>+'ต.ค. '!G258+พ.ย.!G254+ธ.ค.!G254</f>
        <v>0</v>
      </c>
      <c r="H253" s="267">
        <f>+'ต.ค. '!H258+พ.ย.!H254+ธ.ค.!H254</f>
        <v>0</v>
      </c>
      <c r="I253" s="267">
        <f>+'ต.ค. '!I258+พ.ย.!I254+ธ.ค.!I254</f>
        <v>0</v>
      </c>
      <c r="J253" s="267">
        <f>+'ต.ค. '!J258+พ.ย.!J254+ธ.ค.!J254</f>
        <v>0</v>
      </c>
      <c r="K253" s="267">
        <f>+'ต.ค. '!K258+พ.ย.!K254+ธ.ค.!K254</f>
        <v>0</v>
      </c>
      <c r="L253" s="267">
        <f>+'ต.ค. '!L258+พ.ย.!L254+ธ.ค.!L254</f>
        <v>0</v>
      </c>
      <c r="M253" s="267">
        <f>+'ต.ค. '!M258+พ.ย.!M254+ธ.ค.!M254</f>
        <v>0</v>
      </c>
      <c r="N253" s="267"/>
      <c r="O253" s="267">
        <f>+'ต.ค. '!O258+พ.ย.!O254+ธ.ค.!O254</f>
        <v>0</v>
      </c>
      <c r="P253" s="267">
        <f>+'ต.ค. '!P258+พ.ย.!P254+ธ.ค.!P254</f>
        <v>0</v>
      </c>
      <c r="Q253" s="267">
        <f>+'ต.ค. '!Q258+พ.ย.!Q254+ธ.ค.!Q254</f>
        <v>0</v>
      </c>
      <c r="R253" s="267">
        <f>+'ต.ค. '!R258+พ.ย.!R254+ธ.ค.!R254</f>
        <v>0</v>
      </c>
      <c r="S253" s="267">
        <f>+'ต.ค. '!S258+พ.ย.!S254+ธ.ค.!S254</f>
        <v>0</v>
      </c>
      <c r="T253" s="267"/>
      <c r="U253" s="267">
        <f>+'ต.ค. '!U258+พ.ย.!U254+ธ.ค.!U254</f>
        <v>0</v>
      </c>
      <c r="V253" s="267">
        <f>+'ต.ค. '!V258+พ.ย.!V254+ธ.ค.!V254</f>
        <v>0</v>
      </c>
    </row>
    <row r="254" spans="1:22" ht="25.5" customHeight="1">
      <c r="A254" s="20"/>
      <c r="B254" s="186" t="s">
        <v>348</v>
      </c>
      <c r="C254" s="295">
        <v>211000</v>
      </c>
      <c r="D254" s="131"/>
      <c r="E254" s="267">
        <f>+'ต.ค. '!E259+พ.ย.!E255+ธ.ค.!E255</f>
        <v>0</v>
      </c>
      <c r="F254" s="267">
        <f>+'ต.ค. '!F259+พ.ย.!F255+ธ.ค.!F255</f>
        <v>0</v>
      </c>
      <c r="G254" s="267">
        <f>+'ต.ค. '!G259+พ.ย.!G255+ธ.ค.!G255</f>
        <v>0</v>
      </c>
      <c r="H254" s="267">
        <f>+'ต.ค. '!H259+พ.ย.!H255+ธ.ค.!H255</f>
        <v>0</v>
      </c>
      <c r="I254" s="267">
        <f>+'ต.ค. '!I259+พ.ย.!I255+ธ.ค.!I255</f>
        <v>0</v>
      </c>
      <c r="J254" s="267">
        <f>+'ต.ค. '!J259+พ.ย.!J255+ธ.ค.!J255</f>
        <v>0</v>
      </c>
      <c r="K254" s="267">
        <f>+'ต.ค. '!K259+พ.ย.!K255+ธ.ค.!K255</f>
        <v>0</v>
      </c>
      <c r="L254" s="267">
        <f>+'ต.ค. '!L259+พ.ย.!L255+ธ.ค.!L255</f>
        <v>0</v>
      </c>
      <c r="M254" s="267">
        <f>+'ต.ค. '!M259+พ.ย.!M255+ธ.ค.!M255</f>
        <v>0</v>
      </c>
      <c r="N254" s="267"/>
      <c r="O254" s="267">
        <f>+'ต.ค. '!O259+พ.ย.!O255+ธ.ค.!O255</f>
        <v>0</v>
      </c>
      <c r="P254" s="267">
        <f>+'ต.ค. '!P259+พ.ย.!P255+ธ.ค.!P255</f>
        <v>0</v>
      </c>
      <c r="Q254" s="267">
        <f>+'ต.ค. '!Q259+พ.ย.!Q255+ธ.ค.!Q255</f>
        <v>0</v>
      </c>
      <c r="R254" s="267">
        <f>+'ต.ค. '!R259+พ.ย.!R255+ธ.ค.!R255</f>
        <v>0</v>
      </c>
      <c r="S254" s="267">
        <f>+'ต.ค. '!S259+พ.ย.!S255+ธ.ค.!S255</f>
        <v>0</v>
      </c>
      <c r="T254" s="267"/>
      <c r="U254" s="267">
        <f>+'ต.ค. '!U259+พ.ย.!U255+ธ.ค.!U255</f>
        <v>0</v>
      </c>
      <c r="V254" s="267">
        <f>+'ต.ค. '!V259+พ.ย.!V255+ธ.ค.!V255</f>
        <v>0</v>
      </c>
    </row>
    <row r="255" spans="1:22" ht="25.5" customHeight="1">
      <c r="A255" s="20"/>
      <c r="B255" s="186" t="s">
        <v>349</v>
      </c>
      <c r="C255" s="296">
        <v>688700</v>
      </c>
      <c r="D255" s="131"/>
      <c r="E255" s="267">
        <f>+'ต.ค. '!E260+พ.ย.!E256+ธ.ค.!E256</f>
        <v>0</v>
      </c>
      <c r="F255" s="267">
        <f>+'ต.ค. '!F260+พ.ย.!F256+ธ.ค.!F256</f>
        <v>0</v>
      </c>
      <c r="G255" s="267">
        <f>+'ต.ค. '!G260+พ.ย.!G256+ธ.ค.!G256</f>
        <v>0</v>
      </c>
      <c r="H255" s="267">
        <f>+'ต.ค. '!H260+พ.ย.!H256+ธ.ค.!H256</f>
        <v>0</v>
      </c>
      <c r="I255" s="267">
        <f>+'ต.ค. '!I260+พ.ย.!I256+ธ.ค.!I256</f>
        <v>0</v>
      </c>
      <c r="J255" s="267">
        <f>+'ต.ค. '!J260+พ.ย.!J256+ธ.ค.!J256</f>
        <v>0</v>
      </c>
      <c r="K255" s="267">
        <f>+'ต.ค. '!K260+พ.ย.!K256+ธ.ค.!K256</f>
        <v>0</v>
      </c>
      <c r="L255" s="267">
        <f>+'ต.ค. '!L260+พ.ย.!L256+ธ.ค.!L256</f>
        <v>0</v>
      </c>
      <c r="M255" s="267">
        <f>+'ต.ค. '!M260+พ.ย.!M256+ธ.ค.!M256</f>
        <v>0</v>
      </c>
      <c r="N255" s="267"/>
      <c r="O255" s="267">
        <f>+'ต.ค. '!O260+พ.ย.!O256+ธ.ค.!O256</f>
        <v>0</v>
      </c>
      <c r="P255" s="267">
        <f>+'ต.ค. '!P260+พ.ย.!P256+ธ.ค.!P256</f>
        <v>0</v>
      </c>
      <c r="Q255" s="267">
        <f>+'ต.ค. '!Q260+พ.ย.!Q256+ธ.ค.!Q256</f>
        <v>0</v>
      </c>
      <c r="R255" s="267">
        <f>+'ต.ค. '!R260+พ.ย.!R256+ธ.ค.!R256</f>
        <v>0</v>
      </c>
      <c r="S255" s="267">
        <f>+'ต.ค. '!S260+พ.ย.!S256+ธ.ค.!S256</f>
        <v>0</v>
      </c>
      <c r="T255" s="267"/>
      <c r="U255" s="267">
        <f>+'ต.ค. '!U260+พ.ย.!U256+ธ.ค.!U256</f>
        <v>0</v>
      </c>
      <c r="V255" s="267">
        <f>+'ต.ค. '!V260+พ.ย.!V256+ธ.ค.!V256</f>
        <v>0</v>
      </c>
    </row>
    <row r="256" spans="1:22" ht="25.5" customHeight="1">
      <c r="A256" s="20"/>
      <c r="B256" s="186" t="s">
        <v>350</v>
      </c>
      <c r="C256" s="297">
        <v>62000</v>
      </c>
      <c r="D256" s="131"/>
      <c r="E256" s="267">
        <f>+'ต.ค. '!E261+พ.ย.!E257+ธ.ค.!E257</f>
        <v>0</v>
      </c>
      <c r="F256" s="267">
        <f>+'ต.ค. '!F261+พ.ย.!F257+ธ.ค.!F257</f>
        <v>0</v>
      </c>
      <c r="G256" s="267">
        <f>+'ต.ค. '!G261+พ.ย.!G257+ธ.ค.!G257</f>
        <v>0</v>
      </c>
      <c r="H256" s="267">
        <f>+'ต.ค. '!H261+พ.ย.!H257+ธ.ค.!H257</f>
        <v>0</v>
      </c>
      <c r="I256" s="267">
        <f>+'ต.ค. '!I261+พ.ย.!I257+ธ.ค.!I257</f>
        <v>0</v>
      </c>
      <c r="J256" s="267">
        <f>+'ต.ค. '!J261+พ.ย.!J257+ธ.ค.!J257</f>
        <v>0</v>
      </c>
      <c r="K256" s="267">
        <f>+'ต.ค. '!K261+พ.ย.!K257+ธ.ค.!K257</f>
        <v>0</v>
      </c>
      <c r="L256" s="267">
        <f>+'ต.ค. '!L261+พ.ย.!L257+ธ.ค.!L257</f>
        <v>0</v>
      </c>
      <c r="M256" s="267">
        <f>+'ต.ค. '!M261+พ.ย.!M257+ธ.ค.!M257</f>
        <v>0</v>
      </c>
      <c r="N256" s="267">
        <f>+'ต.ค. '!N261+พ.ย.!N257+ธ.ค.!N257</f>
        <v>0</v>
      </c>
      <c r="O256" s="267">
        <f>+'ต.ค. '!O261+พ.ย.!O257+ธ.ค.!O257</f>
        <v>0</v>
      </c>
      <c r="P256" s="267">
        <f>+'ต.ค. '!P261+พ.ย.!P257+ธ.ค.!P257</f>
        <v>0</v>
      </c>
      <c r="Q256" s="267">
        <f>+'ต.ค. '!Q261+พ.ย.!Q257+ธ.ค.!Q257</f>
        <v>0</v>
      </c>
      <c r="R256" s="267">
        <f>+'ต.ค. '!R261+พ.ย.!R257+ธ.ค.!R257</f>
        <v>0</v>
      </c>
      <c r="S256" s="267">
        <f>+'ต.ค. '!S261+พ.ย.!S257+ธ.ค.!S257</f>
        <v>0</v>
      </c>
      <c r="T256" s="267"/>
      <c r="U256" s="267">
        <f>+'ต.ค. '!U261+พ.ย.!U257+ธ.ค.!U257</f>
        <v>0</v>
      </c>
      <c r="V256" s="267">
        <f>+'ต.ค. '!V261+พ.ย.!V257+ธ.ค.!V257</f>
        <v>0</v>
      </c>
    </row>
    <row r="257" spans="1:23" ht="25.5" customHeight="1" thickBot="1">
      <c r="A257" s="24"/>
      <c r="B257" s="45" t="s">
        <v>5</v>
      </c>
      <c r="C257" s="170">
        <f>SUM(C226:C256)</f>
        <v>2383100</v>
      </c>
      <c r="D257" s="255">
        <f>SUM(D226:D256)</f>
        <v>0</v>
      </c>
      <c r="E257" s="254">
        <f t="shared" ref="E257:V257" si="7">SUM(E226:E256)</f>
        <v>0</v>
      </c>
      <c r="F257" s="254">
        <f t="shared" si="7"/>
        <v>0</v>
      </c>
      <c r="G257" s="254">
        <f t="shared" si="7"/>
        <v>0</v>
      </c>
      <c r="H257" s="254">
        <f t="shared" si="7"/>
        <v>0</v>
      </c>
      <c r="I257" s="255">
        <f t="shared" si="7"/>
        <v>0</v>
      </c>
      <c r="J257" s="255">
        <f t="shared" si="7"/>
        <v>0</v>
      </c>
      <c r="K257" s="255">
        <f t="shared" si="7"/>
        <v>0</v>
      </c>
      <c r="L257" s="255">
        <f t="shared" si="7"/>
        <v>0</v>
      </c>
      <c r="M257" s="254">
        <f t="shared" si="7"/>
        <v>0</v>
      </c>
      <c r="N257" s="255">
        <f t="shared" si="7"/>
        <v>216000</v>
      </c>
      <c r="O257" s="255">
        <f t="shared" si="7"/>
        <v>0</v>
      </c>
      <c r="P257" s="255">
        <f t="shared" si="7"/>
        <v>0</v>
      </c>
      <c r="Q257" s="255">
        <f t="shared" si="7"/>
        <v>0</v>
      </c>
      <c r="R257" s="255">
        <f t="shared" si="7"/>
        <v>0</v>
      </c>
      <c r="S257" s="255">
        <f t="shared" si="7"/>
        <v>0</v>
      </c>
      <c r="T257" s="255"/>
      <c r="U257" s="255">
        <f t="shared" si="7"/>
        <v>0</v>
      </c>
      <c r="V257" s="255">
        <f t="shared" si="7"/>
        <v>0</v>
      </c>
      <c r="W257" s="314">
        <f>SUM(D257:V257)</f>
        <v>216000</v>
      </c>
    </row>
    <row r="258" spans="1:23" ht="25.5" customHeight="1" thickTop="1">
      <c r="A258" s="50" t="s">
        <v>149</v>
      </c>
      <c r="B258" s="4"/>
      <c r="C258" s="193"/>
      <c r="D258" s="133"/>
      <c r="E258" s="269"/>
      <c r="F258" s="136"/>
      <c r="G258" s="136"/>
      <c r="H258" s="136"/>
      <c r="I258" s="133"/>
      <c r="J258" s="133"/>
      <c r="K258" s="133"/>
      <c r="L258" s="133"/>
      <c r="M258" s="136"/>
      <c r="N258" s="133"/>
      <c r="O258" s="133"/>
      <c r="P258" s="133"/>
      <c r="Q258" s="133"/>
      <c r="R258" s="258"/>
      <c r="S258" s="259"/>
      <c r="T258" s="259"/>
      <c r="U258" s="258"/>
      <c r="V258" s="258"/>
    </row>
    <row r="259" spans="1:23" ht="25.5" customHeight="1">
      <c r="A259" s="9"/>
      <c r="B259" s="186"/>
      <c r="C259" s="296"/>
      <c r="D259" s="133"/>
      <c r="E259" s="269"/>
      <c r="F259" s="136"/>
      <c r="G259" s="136"/>
      <c r="H259" s="136"/>
      <c r="I259" s="133"/>
      <c r="J259" s="133"/>
      <c r="K259" s="133"/>
      <c r="L259" s="133"/>
      <c r="M259" s="136"/>
      <c r="N259" s="133"/>
      <c r="O259" s="133"/>
      <c r="P259" s="133"/>
      <c r="Q259" s="133"/>
      <c r="R259" s="258"/>
      <c r="S259" s="259"/>
      <c r="T259" s="259"/>
      <c r="U259" s="258"/>
      <c r="V259" s="258"/>
    </row>
    <row r="260" spans="1:23" ht="25.5" customHeight="1">
      <c r="A260" s="9"/>
      <c r="B260" s="186"/>
      <c r="C260" s="296"/>
      <c r="D260" s="133"/>
      <c r="E260" s="269"/>
      <c r="F260" s="136"/>
      <c r="G260" s="136"/>
      <c r="H260" s="136"/>
      <c r="I260" s="133"/>
      <c r="J260" s="133"/>
      <c r="K260" s="133"/>
      <c r="L260" s="133"/>
      <c r="M260" s="136"/>
      <c r="N260" s="133"/>
      <c r="O260" s="133"/>
      <c r="P260" s="133"/>
      <c r="Q260" s="133"/>
      <c r="R260" s="258"/>
      <c r="S260" s="259"/>
      <c r="T260" s="259"/>
      <c r="U260" s="258"/>
      <c r="V260" s="258"/>
    </row>
    <row r="261" spans="1:23" ht="25.5" customHeight="1">
      <c r="A261" s="9"/>
      <c r="B261" s="186"/>
      <c r="C261" s="296"/>
      <c r="D261" s="133"/>
      <c r="E261" s="269"/>
      <c r="F261" s="136"/>
      <c r="G261" s="136"/>
      <c r="H261" s="136"/>
      <c r="I261" s="133"/>
      <c r="J261" s="133"/>
      <c r="K261" s="133"/>
      <c r="L261" s="133"/>
      <c r="M261" s="136"/>
      <c r="N261" s="133"/>
      <c r="O261" s="133"/>
      <c r="P261" s="133"/>
      <c r="Q261" s="133"/>
      <c r="R261" s="258"/>
      <c r="S261" s="259"/>
      <c r="T261" s="259"/>
      <c r="U261" s="258"/>
      <c r="V261" s="258"/>
    </row>
    <row r="262" spans="1:23" ht="25.5" customHeight="1">
      <c r="A262" s="9"/>
      <c r="B262" s="186"/>
      <c r="C262" s="296"/>
      <c r="D262" s="131"/>
      <c r="E262" s="267"/>
      <c r="F262" s="135"/>
      <c r="G262" s="135"/>
      <c r="H262" s="135"/>
      <c r="I262" s="131"/>
      <c r="J262" s="131"/>
      <c r="K262" s="131"/>
      <c r="L262" s="131"/>
      <c r="M262" s="135"/>
      <c r="N262" s="131"/>
      <c r="O262" s="131"/>
      <c r="P262" s="131"/>
      <c r="Q262" s="131"/>
      <c r="R262" s="217"/>
      <c r="S262" s="219"/>
      <c r="T262" s="219"/>
      <c r="U262" s="217"/>
      <c r="V262" s="217"/>
    </row>
    <row r="263" spans="1:23" ht="25.5" customHeight="1">
      <c r="A263" s="9"/>
      <c r="B263" s="186"/>
      <c r="C263" s="296"/>
      <c r="D263" s="131"/>
      <c r="E263" s="267"/>
      <c r="F263" s="135"/>
      <c r="G263" s="135"/>
      <c r="H263" s="135"/>
      <c r="I263" s="131"/>
      <c r="J263" s="131"/>
      <c r="K263" s="131"/>
      <c r="L263" s="131"/>
      <c r="M263" s="135"/>
      <c r="N263" s="131"/>
      <c r="O263" s="131"/>
      <c r="P263" s="131"/>
      <c r="Q263" s="131"/>
      <c r="R263" s="217"/>
      <c r="S263" s="219"/>
      <c r="T263" s="219"/>
      <c r="U263" s="217"/>
      <c r="V263" s="217"/>
    </row>
    <row r="264" spans="1:23" ht="25.5" customHeight="1">
      <c r="A264" s="9"/>
      <c r="B264" s="186"/>
      <c r="C264" s="296"/>
      <c r="D264" s="131"/>
      <c r="E264" s="267"/>
      <c r="F264" s="135"/>
      <c r="G264" s="135"/>
      <c r="H264" s="135"/>
      <c r="I264" s="131"/>
      <c r="J264" s="131"/>
      <c r="K264" s="131"/>
      <c r="L264" s="131"/>
      <c r="M264" s="135"/>
      <c r="N264" s="131"/>
      <c r="O264" s="131"/>
      <c r="P264" s="131"/>
      <c r="Q264" s="131"/>
      <c r="R264" s="217"/>
      <c r="S264" s="219"/>
      <c r="T264" s="219"/>
      <c r="U264" s="217"/>
      <c r="V264" s="217"/>
    </row>
    <row r="265" spans="1:23" ht="25.5" customHeight="1">
      <c r="A265" s="9"/>
      <c r="B265" s="186"/>
      <c r="C265" s="296"/>
      <c r="D265" s="131"/>
      <c r="E265" s="267"/>
      <c r="F265" s="135"/>
      <c r="G265" s="135"/>
      <c r="H265" s="135"/>
      <c r="I265" s="131"/>
      <c r="J265" s="131"/>
      <c r="K265" s="131"/>
      <c r="L265" s="131"/>
      <c r="M265" s="135"/>
      <c r="N265" s="131"/>
      <c r="O265" s="131"/>
      <c r="P265" s="131"/>
      <c r="Q265" s="131"/>
      <c r="R265" s="217"/>
      <c r="S265" s="219"/>
      <c r="T265" s="219"/>
      <c r="U265" s="217"/>
      <c r="V265" s="217"/>
    </row>
    <row r="266" spans="1:23" ht="25.5" customHeight="1">
      <c r="A266" s="9"/>
      <c r="B266" s="186"/>
      <c r="C266" s="296"/>
      <c r="D266" s="131"/>
      <c r="E266" s="267"/>
      <c r="F266" s="135"/>
      <c r="G266" s="135"/>
      <c r="H266" s="135"/>
      <c r="I266" s="131"/>
      <c r="J266" s="131"/>
      <c r="K266" s="131"/>
      <c r="L266" s="131"/>
      <c r="M266" s="135"/>
      <c r="N266" s="131"/>
      <c r="O266" s="131"/>
      <c r="P266" s="131"/>
      <c r="Q266" s="131"/>
      <c r="R266" s="217"/>
      <c r="S266" s="219"/>
      <c r="T266" s="219"/>
      <c r="U266" s="217"/>
      <c r="V266" s="217"/>
    </row>
    <row r="267" spans="1:23" ht="25.5" customHeight="1" thickBot="1">
      <c r="A267" s="15"/>
      <c r="B267" s="14" t="s">
        <v>5</v>
      </c>
      <c r="C267" s="170">
        <f>SUM(C259:C266)</f>
        <v>0</v>
      </c>
      <c r="D267" s="255">
        <f>SUM(D259:D266)</f>
        <v>0</v>
      </c>
      <c r="E267" s="254">
        <f t="shared" ref="E267:V267" si="8">SUM(E259:E266)</f>
        <v>0</v>
      </c>
      <c r="F267" s="254">
        <f t="shared" si="8"/>
        <v>0</v>
      </c>
      <c r="G267" s="254">
        <f t="shared" si="8"/>
        <v>0</v>
      </c>
      <c r="H267" s="254">
        <f t="shared" si="8"/>
        <v>0</v>
      </c>
      <c r="I267" s="255">
        <f t="shared" si="8"/>
        <v>0</v>
      </c>
      <c r="J267" s="255">
        <f t="shared" si="8"/>
        <v>0</v>
      </c>
      <c r="K267" s="255">
        <f t="shared" si="8"/>
        <v>0</v>
      </c>
      <c r="L267" s="255">
        <f t="shared" si="8"/>
        <v>0</v>
      </c>
      <c r="M267" s="254">
        <f t="shared" si="8"/>
        <v>0</v>
      </c>
      <c r="N267" s="255">
        <f t="shared" si="8"/>
        <v>0</v>
      </c>
      <c r="O267" s="255">
        <f t="shared" si="8"/>
        <v>0</v>
      </c>
      <c r="P267" s="255">
        <f t="shared" si="8"/>
        <v>0</v>
      </c>
      <c r="Q267" s="255">
        <f t="shared" si="8"/>
        <v>0</v>
      </c>
      <c r="R267" s="255">
        <f t="shared" si="8"/>
        <v>0</v>
      </c>
      <c r="S267" s="255">
        <f t="shared" si="8"/>
        <v>0</v>
      </c>
      <c r="T267" s="255"/>
      <c r="U267" s="255">
        <f t="shared" si="8"/>
        <v>0</v>
      </c>
      <c r="V267" s="255">
        <f t="shared" si="8"/>
        <v>0</v>
      </c>
      <c r="W267" s="314">
        <f>SUM(D267:V267)</f>
        <v>0</v>
      </c>
    </row>
    <row r="268" spans="1:23" ht="25.5" customHeight="1" thickTop="1">
      <c r="A268" s="20" t="s">
        <v>24</v>
      </c>
      <c r="B268" s="23"/>
      <c r="C268" s="190"/>
      <c r="D268" s="133"/>
      <c r="E268" s="269"/>
      <c r="F268" s="136"/>
      <c r="G268" s="136"/>
      <c r="H268" s="136"/>
      <c r="I268" s="133"/>
      <c r="J268" s="133"/>
      <c r="K268" s="133"/>
      <c r="L268" s="133"/>
      <c r="M268" s="136"/>
      <c r="N268" s="133"/>
      <c r="O268" s="133"/>
      <c r="P268" s="133"/>
      <c r="Q268" s="133"/>
      <c r="R268" s="258"/>
      <c r="S268" s="259"/>
      <c r="T268" s="259"/>
      <c r="U268" s="258"/>
      <c r="V268" s="258"/>
    </row>
    <row r="269" spans="1:23" ht="25.5" customHeight="1">
      <c r="A269" s="20"/>
      <c r="B269" s="130" t="s">
        <v>406</v>
      </c>
      <c r="C269" s="192">
        <v>121500</v>
      </c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20"/>
      <c r="B270" s="130" t="s">
        <v>405</v>
      </c>
      <c r="C270" s="192">
        <v>105000</v>
      </c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 thickBot="1">
      <c r="A271" s="15"/>
      <c r="B271" s="14" t="s">
        <v>5</v>
      </c>
      <c r="C271" s="298">
        <f>SUM(C269:C270)</f>
        <v>226500</v>
      </c>
      <c r="D271" s="255">
        <f>SUM(D269:D270)</f>
        <v>0</v>
      </c>
      <c r="E271" s="254">
        <f t="shared" ref="E271:V271" si="9">SUM(E269:E270)</f>
        <v>0</v>
      </c>
      <c r="F271" s="254">
        <f t="shared" si="9"/>
        <v>0</v>
      </c>
      <c r="G271" s="254">
        <f t="shared" si="9"/>
        <v>0</v>
      </c>
      <c r="H271" s="254">
        <f t="shared" si="9"/>
        <v>0</v>
      </c>
      <c r="I271" s="255">
        <f t="shared" si="9"/>
        <v>0</v>
      </c>
      <c r="J271" s="255">
        <f t="shared" si="9"/>
        <v>0</v>
      </c>
      <c r="K271" s="255">
        <f t="shared" si="9"/>
        <v>0</v>
      </c>
      <c r="L271" s="255">
        <f t="shared" si="9"/>
        <v>0</v>
      </c>
      <c r="M271" s="254">
        <f t="shared" si="9"/>
        <v>0</v>
      </c>
      <c r="N271" s="255">
        <f t="shared" si="9"/>
        <v>0</v>
      </c>
      <c r="O271" s="255">
        <f t="shared" si="9"/>
        <v>0</v>
      </c>
      <c r="P271" s="255">
        <f t="shared" si="9"/>
        <v>0</v>
      </c>
      <c r="Q271" s="255">
        <f t="shared" si="9"/>
        <v>0</v>
      </c>
      <c r="R271" s="255">
        <f t="shared" si="9"/>
        <v>0</v>
      </c>
      <c r="S271" s="255">
        <f t="shared" si="9"/>
        <v>0</v>
      </c>
      <c r="T271" s="255"/>
      <c r="U271" s="255">
        <f t="shared" si="9"/>
        <v>0</v>
      </c>
      <c r="V271" s="255">
        <f t="shared" si="9"/>
        <v>0</v>
      </c>
      <c r="W271" s="314">
        <f>SUM(D271:V271)</f>
        <v>0</v>
      </c>
    </row>
    <row r="272" spans="1:23" ht="25.5" customHeight="1" thickTop="1">
      <c r="A272" s="20" t="s">
        <v>44</v>
      </c>
      <c r="B272" s="23"/>
      <c r="C272" s="193"/>
      <c r="D272" s="133"/>
      <c r="E272" s="269"/>
      <c r="F272" s="136"/>
      <c r="G272" s="136"/>
      <c r="H272" s="136"/>
      <c r="I272" s="133"/>
      <c r="J272" s="133"/>
      <c r="K272" s="133"/>
      <c r="L272" s="133"/>
      <c r="M272" s="136"/>
      <c r="N272" s="133"/>
      <c r="O272" s="133"/>
      <c r="P272" s="133"/>
      <c r="Q272" s="133"/>
      <c r="R272" s="258"/>
      <c r="S272" s="259"/>
      <c r="T272" s="259"/>
      <c r="U272" s="258"/>
      <c r="V272" s="258"/>
    </row>
    <row r="273" spans="1:23" ht="25.5" customHeight="1">
      <c r="A273" s="20"/>
      <c r="B273" s="185" t="s">
        <v>420</v>
      </c>
      <c r="C273" s="192">
        <v>20000</v>
      </c>
      <c r="D273" s="133">
        <v>20000</v>
      </c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85"/>
      <c r="C274" s="190"/>
      <c r="D274" s="133"/>
      <c r="E274" s="269"/>
      <c r="F274" s="136"/>
      <c r="G274" s="136"/>
      <c r="H274" s="136"/>
      <c r="I274" s="133"/>
      <c r="J274" s="133"/>
      <c r="K274" s="133"/>
      <c r="L274" s="133"/>
      <c r="M274" s="136"/>
      <c r="N274" s="133"/>
      <c r="O274" s="133"/>
      <c r="P274" s="133"/>
      <c r="Q274" s="133"/>
      <c r="R274" s="258"/>
      <c r="S274" s="259"/>
      <c r="T274" s="259"/>
      <c r="U274" s="258"/>
      <c r="V274" s="258"/>
    </row>
    <row r="275" spans="1:23" ht="25.5" customHeight="1" thickBot="1">
      <c r="A275" s="15"/>
      <c r="B275" s="53" t="s">
        <v>5</v>
      </c>
      <c r="C275" s="105">
        <f>SUM(C273:C274)</f>
        <v>20000</v>
      </c>
      <c r="D275" s="255">
        <f>SUM(D273:D274)</f>
        <v>20000</v>
      </c>
      <c r="E275" s="254">
        <f t="shared" ref="E275:V275" si="10">SUM(E273:E274)</f>
        <v>0</v>
      </c>
      <c r="F275" s="254">
        <f t="shared" si="10"/>
        <v>0</v>
      </c>
      <c r="G275" s="254">
        <f t="shared" si="10"/>
        <v>0</v>
      </c>
      <c r="H275" s="254">
        <f t="shared" si="10"/>
        <v>0</v>
      </c>
      <c r="I275" s="255">
        <f t="shared" si="10"/>
        <v>0</v>
      </c>
      <c r="J275" s="255">
        <f t="shared" si="10"/>
        <v>0</v>
      </c>
      <c r="K275" s="255">
        <f t="shared" si="10"/>
        <v>0</v>
      </c>
      <c r="L275" s="255">
        <f t="shared" si="10"/>
        <v>0</v>
      </c>
      <c r="M275" s="254">
        <f t="shared" si="10"/>
        <v>0</v>
      </c>
      <c r="N275" s="255">
        <f t="shared" si="10"/>
        <v>0</v>
      </c>
      <c r="O275" s="255">
        <f t="shared" si="10"/>
        <v>0</v>
      </c>
      <c r="P275" s="255">
        <f t="shared" si="10"/>
        <v>0</v>
      </c>
      <c r="Q275" s="255">
        <f t="shared" si="10"/>
        <v>0</v>
      </c>
      <c r="R275" s="255">
        <f t="shared" si="10"/>
        <v>0</v>
      </c>
      <c r="S275" s="255">
        <f t="shared" si="10"/>
        <v>0</v>
      </c>
      <c r="T275" s="255"/>
      <c r="U275" s="255">
        <f t="shared" si="10"/>
        <v>0</v>
      </c>
      <c r="V275" s="255">
        <f t="shared" si="10"/>
        <v>0</v>
      </c>
      <c r="W275" s="314">
        <f>SUM(D275:V275)</f>
        <v>20000</v>
      </c>
    </row>
    <row r="276" spans="1:23" ht="25.5" customHeight="1" thickTop="1">
      <c r="A276" s="20" t="s">
        <v>276</v>
      </c>
      <c r="B276" s="23"/>
      <c r="C276" s="193"/>
      <c r="D276" s="133"/>
      <c r="E276" s="269"/>
      <c r="F276" s="136"/>
      <c r="G276" s="136"/>
      <c r="H276" s="136"/>
      <c r="I276" s="133"/>
      <c r="J276" s="133"/>
      <c r="K276" s="133"/>
      <c r="L276" s="133"/>
      <c r="M276" s="136"/>
      <c r="N276" s="133"/>
      <c r="O276" s="133"/>
      <c r="P276" s="133"/>
      <c r="Q276" s="133"/>
      <c r="R276" s="258"/>
      <c r="S276" s="259"/>
      <c r="T276" s="259"/>
      <c r="U276" s="258"/>
      <c r="V276" s="258"/>
    </row>
    <row r="277" spans="1:23" ht="25.5" customHeight="1">
      <c r="A277" s="20"/>
      <c r="B277" s="185" t="s">
        <v>226</v>
      </c>
      <c r="C277" s="192">
        <f>+'ต.ค. '!E284+'ต.ค. '!F284+'ต.ค. '!H284+'ต.ค. '!M284</f>
        <v>37500</v>
      </c>
      <c r="D277" s="133"/>
      <c r="E277" s="136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133"/>
      <c r="S277" s="133"/>
      <c r="T277" s="133"/>
      <c r="U277" s="133"/>
      <c r="V277" s="133"/>
    </row>
    <row r="278" spans="1:23" ht="25.5" customHeight="1">
      <c r="A278" s="20"/>
      <c r="B278" s="185" t="s">
        <v>233</v>
      </c>
      <c r="C278" s="299">
        <v>7500</v>
      </c>
      <c r="D278" s="133"/>
      <c r="E278" s="136"/>
      <c r="F278" s="136"/>
      <c r="G278" s="136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133"/>
      <c r="S278" s="133"/>
      <c r="T278" s="133"/>
      <c r="U278" s="133"/>
      <c r="V278" s="133"/>
    </row>
    <row r="279" spans="1:23" ht="25.5" customHeight="1">
      <c r="A279" s="20"/>
      <c r="B279" s="274" t="s">
        <v>378</v>
      </c>
      <c r="C279" s="299">
        <v>37500</v>
      </c>
      <c r="D279" s="133"/>
      <c r="E279" s="136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133"/>
      <c r="S279" s="133"/>
      <c r="T279" s="133"/>
      <c r="U279" s="133"/>
      <c r="V279" s="133"/>
    </row>
    <row r="280" spans="1:23" ht="25.5" customHeight="1">
      <c r="A280" s="20"/>
      <c r="B280" s="185" t="s">
        <v>379</v>
      </c>
      <c r="C280" s="299">
        <v>10000</v>
      </c>
      <c r="D280" s="133"/>
      <c r="E280" s="136"/>
      <c r="F280" s="136"/>
      <c r="G280" s="136"/>
      <c r="H280" s="136"/>
      <c r="I280" s="133"/>
      <c r="J280" s="133"/>
      <c r="K280" s="133"/>
      <c r="L280" s="133"/>
      <c r="M280" s="136"/>
      <c r="N280" s="133"/>
      <c r="O280" s="133"/>
      <c r="P280" s="133"/>
      <c r="Q280" s="133"/>
      <c r="R280" s="133"/>
      <c r="S280" s="133"/>
      <c r="T280" s="133"/>
      <c r="U280" s="133"/>
      <c r="V280" s="133"/>
    </row>
    <row r="281" spans="1:23" ht="25.5" customHeight="1">
      <c r="A281" s="20"/>
      <c r="B281" s="185" t="s">
        <v>382</v>
      </c>
      <c r="C281" s="299">
        <v>1950</v>
      </c>
      <c r="D281" s="133"/>
      <c r="E281" s="136"/>
      <c r="F281" s="136"/>
      <c r="G281" s="136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133"/>
      <c r="S281" s="133"/>
      <c r="T281" s="133"/>
      <c r="U281" s="133"/>
      <c r="V281" s="133"/>
    </row>
    <row r="282" spans="1:23" ht="25.5" customHeight="1">
      <c r="A282" s="20"/>
      <c r="B282" s="185" t="s">
        <v>380</v>
      </c>
      <c r="C282" s="299">
        <v>4550</v>
      </c>
      <c r="D282" s="133"/>
      <c r="E282" s="136"/>
      <c r="F282" s="136"/>
      <c r="G282" s="136"/>
      <c r="H282" s="136"/>
      <c r="I282" s="133"/>
      <c r="J282" s="133"/>
      <c r="K282" s="133"/>
      <c r="L282" s="133"/>
      <c r="M282" s="136"/>
      <c r="N282" s="133"/>
      <c r="O282" s="133"/>
      <c r="P282" s="133"/>
      <c r="Q282" s="133"/>
      <c r="R282" s="133"/>
      <c r="S282" s="133"/>
      <c r="T282" s="133"/>
      <c r="U282" s="133"/>
      <c r="V282" s="133"/>
    </row>
    <row r="283" spans="1:23" ht="25.5" customHeight="1">
      <c r="A283" s="20"/>
      <c r="B283" s="185" t="s">
        <v>386</v>
      </c>
      <c r="C283" s="192">
        <v>409940.96</v>
      </c>
      <c r="D283" s="133"/>
      <c r="E283" s="136"/>
      <c r="F283" s="136"/>
      <c r="G283" s="136"/>
      <c r="H283" s="136"/>
      <c r="I283" s="133"/>
      <c r="J283" s="133"/>
      <c r="K283" s="133"/>
      <c r="L283" s="133"/>
      <c r="M283" s="136"/>
      <c r="N283" s="133"/>
      <c r="O283" s="133"/>
      <c r="P283" s="133"/>
      <c r="Q283" s="133"/>
      <c r="R283" s="133"/>
      <c r="S283" s="133"/>
      <c r="T283" s="133"/>
      <c r="U283" s="133"/>
      <c r="V283" s="133"/>
    </row>
    <row r="284" spans="1:23" ht="25.5" customHeight="1">
      <c r="A284" s="20"/>
      <c r="B284" s="185" t="s">
        <v>387</v>
      </c>
      <c r="C284" s="192">
        <v>40000</v>
      </c>
      <c r="D284" s="133"/>
      <c r="E284" s="136"/>
      <c r="F284" s="136"/>
      <c r="G284" s="136"/>
      <c r="H284" s="136"/>
      <c r="I284" s="133"/>
      <c r="J284" s="133"/>
      <c r="K284" s="133"/>
      <c r="L284" s="133"/>
      <c r="M284" s="136"/>
      <c r="N284" s="133"/>
      <c r="O284" s="133"/>
      <c r="P284" s="133"/>
      <c r="Q284" s="133"/>
      <c r="R284" s="133"/>
      <c r="S284" s="133"/>
      <c r="T284" s="133"/>
      <c r="U284" s="133"/>
      <c r="V284" s="133"/>
    </row>
    <row r="285" spans="1:23" ht="25.5" customHeight="1">
      <c r="A285" s="20"/>
      <c r="B285" s="347" t="s">
        <v>409</v>
      </c>
      <c r="C285" s="192">
        <v>175000</v>
      </c>
      <c r="D285" s="131"/>
      <c r="E285" s="135"/>
      <c r="F285" s="135"/>
      <c r="G285" s="135"/>
      <c r="H285" s="135"/>
      <c r="I285" s="131"/>
      <c r="J285" s="131"/>
      <c r="K285" s="131"/>
      <c r="L285" s="131"/>
      <c r="M285" s="135"/>
      <c r="N285" s="131"/>
      <c r="O285" s="131"/>
      <c r="P285" s="131"/>
      <c r="Q285" s="131"/>
      <c r="R285" s="131"/>
      <c r="S285" s="131"/>
      <c r="T285" s="131"/>
      <c r="U285" s="131"/>
      <c r="V285" s="131"/>
    </row>
    <row r="286" spans="1:23" ht="25.5" customHeight="1">
      <c r="A286" s="20"/>
      <c r="B286" s="348"/>
      <c r="C286" s="350"/>
      <c r="D286" s="345"/>
      <c r="E286" s="346"/>
      <c r="F286" s="346"/>
      <c r="G286" s="346"/>
      <c r="H286" s="346"/>
      <c r="I286" s="345"/>
      <c r="J286" s="345"/>
      <c r="K286" s="345"/>
      <c r="L286" s="345"/>
      <c r="M286" s="346"/>
      <c r="N286" s="345"/>
      <c r="O286" s="345"/>
      <c r="P286" s="345"/>
      <c r="Q286" s="345"/>
      <c r="R286" s="345"/>
      <c r="S286" s="345"/>
      <c r="T286" s="345"/>
      <c r="U286" s="345"/>
      <c r="V286" s="345"/>
    </row>
    <row r="287" spans="1:23" ht="25.5" customHeight="1" thickBot="1">
      <c r="A287" s="15"/>
      <c r="B287" s="53" t="s">
        <v>5</v>
      </c>
      <c r="C287" s="105">
        <f>SUM(C277:C286)</f>
        <v>723940.96</v>
      </c>
      <c r="D287" s="132">
        <f>SUM(D277:D284)</f>
        <v>0</v>
      </c>
      <c r="E287" s="137">
        <f>SUM(E277:E284)</f>
        <v>0</v>
      </c>
      <c r="F287" s="137">
        <f>SUM(F277:F284)</f>
        <v>0</v>
      </c>
      <c r="G287" s="137">
        <f t="shared" ref="G287:V287" si="11">SUM(G277:G284)</f>
        <v>0</v>
      </c>
      <c r="H287" s="137">
        <f>SUM(H277:H284)</f>
        <v>0</v>
      </c>
      <c r="I287" s="132">
        <f>SUM(I277:I284)</f>
        <v>0</v>
      </c>
      <c r="J287" s="132">
        <f t="shared" si="11"/>
        <v>0</v>
      </c>
      <c r="K287" s="132">
        <f t="shared" si="11"/>
        <v>0</v>
      </c>
      <c r="L287" s="132">
        <f t="shared" si="11"/>
        <v>0</v>
      </c>
      <c r="M287" s="137">
        <f>SUM(M277:M284)</f>
        <v>0</v>
      </c>
      <c r="N287" s="132">
        <f>SUM(N277:N286)</f>
        <v>0</v>
      </c>
      <c r="O287" s="132">
        <f t="shared" si="11"/>
        <v>0</v>
      </c>
      <c r="P287" s="132">
        <f t="shared" si="11"/>
        <v>0</v>
      </c>
      <c r="Q287" s="132">
        <f t="shared" si="11"/>
        <v>0</v>
      </c>
      <c r="R287" s="132">
        <f t="shared" si="11"/>
        <v>0</v>
      </c>
      <c r="S287" s="132">
        <f t="shared" si="11"/>
        <v>0</v>
      </c>
      <c r="T287" s="132"/>
      <c r="U287" s="132">
        <f t="shared" si="11"/>
        <v>0</v>
      </c>
      <c r="V287" s="132">
        <f t="shared" si="11"/>
        <v>0</v>
      </c>
      <c r="W287" s="318">
        <f>SUM(D287:V287)</f>
        <v>0</v>
      </c>
    </row>
    <row r="288" spans="1:23" ht="25.5" customHeight="1" thickTop="1" thickBot="1">
      <c r="A288" s="16"/>
      <c r="B288" s="52" t="s">
        <v>49</v>
      </c>
      <c r="C288" s="229">
        <f>+C267+C257+C220+C209+C203++C48+C38+C21+C175+C28+C223</f>
        <v>39148280</v>
      </c>
      <c r="D288" s="229">
        <f t="shared" ref="D288:V288" si="12">+D267+D257+D220+D209+D203++D48+D38+D21+D175+D28+D223</f>
        <v>960653</v>
      </c>
      <c r="E288" s="229">
        <f t="shared" si="12"/>
        <v>885988.49</v>
      </c>
      <c r="F288" s="229">
        <f t="shared" si="12"/>
        <v>280474.8</v>
      </c>
      <c r="G288" s="229">
        <f t="shared" si="12"/>
        <v>0</v>
      </c>
      <c r="H288" s="229">
        <f t="shared" si="12"/>
        <v>439753.56</v>
      </c>
      <c r="I288" s="229">
        <f t="shared" si="12"/>
        <v>4000</v>
      </c>
      <c r="J288" s="229">
        <f t="shared" si="12"/>
        <v>0</v>
      </c>
      <c r="K288" s="229">
        <f t="shared" si="12"/>
        <v>0</v>
      </c>
      <c r="L288" s="229">
        <f t="shared" si="12"/>
        <v>0</v>
      </c>
      <c r="M288" s="229">
        <f t="shared" si="12"/>
        <v>200215.8</v>
      </c>
      <c r="N288" s="229">
        <f t="shared" si="12"/>
        <v>216000</v>
      </c>
      <c r="O288" s="229">
        <f t="shared" si="12"/>
        <v>0</v>
      </c>
      <c r="P288" s="229">
        <f t="shared" si="12"/>
        <v>18800</v>
      </c>
      <c r="Q288" s="229">
        <f t="shared" si="12"/>
        <v>0</v>
      </c>
      <c r="R288" s="229">
        <f t="shared" si="12"/>
        <v>65658</v>
      </c>
      <c r="S288" s="229">
        <f t="shared" si="12"/>
        <v>0</v>
      </c>
      <c r="T288" s="229"/>
      <c r="U288" s="229">
        <f t="shared" si="12"/>
        <v>0</v>
      </c>
      <c r="V288" s="51">
        <f t="shared" si="12"/>
        <v>0</v>
      </c>
      <c r="W288" s="314">
        <f>SUM(D288:V288)</f>
        <v>3071543.65</v>
      </c>
    </row>
    <row r="289" spans="1:23" ht="25.5" customHeight="1" thickTop="1" thickBot="1">
      <c r="A289" s="16"/>
      <c r="B289" s="41" t="s">
        <v>25</v>
      </c>
      <c r="C289" s="260">
        <f>+C287+C275+C271+C267+C257+C223+C220+C209+C175+C48+C28+C21+C38++C203</f>
        <v>40118720.960000001</v>
      </c>
      <c r="D289" s="260">
        <f>+D287+D275+D271+D267+D257+D223+D220+D209+D175+D48+D28+D21+D38++D203</f>
        <v>980653</v>
      </c>
      <c r="E289" s="260">
        <f t="shared" ref="E289:V289" si="13">+E287+E275+E271+E267+E257+E223+E220+E209+E175+E48+E28+E21+E38++E203</f>
        <v>885988.49</v>
      </c>
      <c r="F289" s="260">
        <f t="shared" si="13"/>
        <v>280474.8</v>
      </c>
      <c r="G289" s="260">
        <f t="shared" si="13"/>
        <v>0</v>
      </c>
      <c r="H289" s="260">
        <f t="shared" si="13"/>
        <v>439753.56</v>
      </c>
      <c r="I289" s="260">
        <f t="shared" si="13"/>
        <v>4000</v>
      </c>
      <c r="J289" s="260">
        <f t="shared" si="13"/>
        <v>0</v>
      </c>
      <c r="K289" s="260">
        <f t="shared" si="13"/>
        <v>0</v>
      </c>
      <c r="L289" s="260">
        <f t="shared" si="13"/>
        <v>0</v>
      </c>
      <c r="M289" s="260">
        <f t="shared" si="13"/>
        <v>200215.8</v>
      </c>
      <c r="N289" s="260">
        <f t="shared" si="13"/>
        <v>216000</v>
      </c>
      <c r="O289" s="260">
        <f t="shared" si="13"/>
        <v>0</v>
      </c>
      <c r="P289" s="260">
        <f t="shared" si="13"/>
        <v>18800</v>
      </c>
      <c r="Q289" s="260">
        <f t="shared" si="13"/>
        <v>0</v>
      </c>
      <c r="R289" s="260">
        <f t="shared" si="13"/>
        <v>65658</v>
      </c>
      <c r="S289" s="260">
        <f t="shared" si="13"/>
        <v>0</v>
      </c>
      <c r="T289" s="260"/>
      <c r="U289" s="260">
        <f t="shared" si="13"/>
        <v>0</v>
      </c>
      <c r="V289" s="309">
        <f t="shared" si="13"/>
        <v>0</v>
      </c>
      <c r="W289" s="319">
        <f>SUM(D289:V289)</f>
        <v>3091543.65</v>
      </c>
    </row>
    <row r="290" spans="1:23" ht="25.5" customHeight="1" thickTop="1">
      <c r="B290" s="246" t="s">
        <v>273</v>
      </c>
      <c r="C290" s="182"/>
      <c r="D290" s="300"/>
      <c r="E290" s="301"/>
      <c r="F290" s="302"/>
      <c r="G290" s="302"/>
      <c r="H290" s="302"/>
      <c r="I290" s="300"/>
      <c r="J290" s="300"/>
      <c r="K290" s="300"/>
      <c r="L290" s="300"/>
      <c r="M290" s="302"/>
      <c r="N290" s="300"/>
      <c r="O290" s="300"/>
      <c r="P290" s="300"/>
      <c r="Q290" s="300"/>
      <c r="R290" s="303"/>
      <c r="S290" s="304"/>
      <c r="T290" s="304"/>
      <c r="U290" s="303"/>
      <c r="V290" s="303"/>
      <c r="W290" s="246" t="s">
        <v>416</v>
      </c>
    </row>
    <row r="291" spans="1:23" ht="25.5" customHeight="1">
      <c r="C291" s="182"/>
      <c r="D291" s="35"/>
      <c r="E291" s="266"/>
      <c r="F291" s="134"/>
      <c r="G291" s="134"/>
      <c r="H291" s="134"/>
      <c r="I291" s="35"/>
      <c r="J291" s="35"/>
      <c r="K291" s="35"/>
      <c r="L291" s="35"/>
      <c r="M291" s="134"/>
      <c r="N291" s="35"/>
      <c r="O291" s="35"/>
      <c r="P291" s="35"/>
      <c r="Q291" s="35"/>
      <c r="R291" s="34"/>
      <c r="S291" s="171"/>
      <c r="T291" s="171"/>
      <c r="U291" s="34"/>
      <c r="V291" s="34"/>
      <c r="W291"/>
    </row>
    <row r="292" spans="1:23" ht="25.5" customHeight="1">
      <c r="C292" s="182"/>
      <c r="D292" s="35"/>
      <c r="E292" s="266"/>
      <c r="F292" s="134"/>
      <c r="G292" s="134"/>
      <c r="H292" s="134"/>
      <c r="I292" s="35"/>
      <c r="J292" s="35"/>
      <c r="K292" s="35"/>
      <c r="L292" s="35"/>
      <c r="M292" s="134"/>
      <c r="N292" s="35"/>
      <c r="O292" s="35"/>
      <c r="P292" s="35"/>
      <c r="Q292" s="35"/>
      <c r="R292" s="34"/>
      <c r="S292" s="171"/>
      <c r="T292" s="171"/>
      <c r="U292" s="34"/>
      <c r="V292" s="34"/>
      <c r="W292" s="253">
        <f>39148280-C288</f>
        <v>0</v>
      </c>
    </row>
    <row r="293" spans="1:23" ht="25.5" customHeight="1">
      <c r="B293" s="253">
        <f>39148280-C288</f>
        <v>0</v>
      </c>
      <c r="C293" s="182"/>
      <c r="D293" s="181"/>
      <c r="E293" s="272"/>
      <c r="F293" s="265"/>
      <c r="G293" s="265"/>
      <c r="H293" s="265"/>
      <c r="I293" s="181"/>
      <c r="J293" s="181"/>
      <c r="K293" s="181"/>
      <c r="L293" s="181"/>
      <c r="M293" s="265"/>
      <c r="N293" s="181"/>
      <c r="O293" s="181"/>
      <c r="P293" s="181"/>
      <c r="Q293" s="181"/>
      <c r="R293" s="221"/>
      <c r="S293" s="234"/>
      <c r="T293" s="234"/>
      <c r="U293" s="221"/>
      <c r="V293" s="221"/>
      <c r="W293" s="322">
        <v>2737526.35</v>
      </c>
    </row>
    <row r="294" spans="1:23" ht="25.5" customHeight="1">
      <c r="C294" s="182"/>
      <c r="D294" s="181"/>
      <c r="E294" s="272"/>
      <c r="F294" s="265"/>
      <c r="G294" s="265"/>
      <c r="H294" s="265"/>
      <c r="I294" s="181"/>
      <c r="J294" s="181"/>
      <c r="K294" s="181"/>
      <c r="L294" s="181"/>
      <c r="M294" s="265"/>
      <c r="N294" s="181"/>
      <c r="O294" s="181"/>
      <c r="P294" s="181"/>
      <c r="Q294" s="181"/>
      <c r="R294" s="221"/>
      <c r="S294" s="234"/>
      <c r="T294" s="234"/>
      <c r="U294" s="221"/>
      <c r="V294" s="221"/>
      <c r="W294" s="328">
        <v>2757526.35</v>
      </c>
    </row>
    <row r="295" spans="1:23" ht="25.5" customHeight="1">
      <c r="C295" s="182"/>
      <c r="D295" s="181"/>
      <c r="E295" s="272"/>
      <c r="F295" s="265"/>
      <c r="G295" s="265"/>
      <c r="H295" s="265"/>
      <c r="I295" s="181"/>
      <c r="J295" s="181"/>
      <c r="K295" s="181"/>
      <c r="L295" s="181"/>
      <c r="M295" s="265"/>
      <c r="N295" s="181"/>
      <c r="O295" s="181"/>
      <c r="P295" s="181"/>
      <c r="Q295" s="181"/>
      <c r="R295" s="221"/>
      <c r="S295" s="234"/>
      <c r="T295" s="234"/>
      <c r="U295" s="221"/>
      <c r="V295" s="221"/>
      <c r="W295" s="321"/>
    </row>
    <row r="296" spans="1:23" ht="25.5" customHeight="1">
      <c r="D296" s="181"/>
      <c r="E296" s="272"/>
      <c r="F296" s="265"/>
      <c r="G296" s="265"/>
      <c r="H296" s="265"/>
      <c r="I296" s="181"/>
      <c r="J296" s="181"/>
      <c r="K296" s="181"/>
      <c r="L296" s="181"/>
      <c r="M296" s="265"/>
      <c r="N296" s="181"/>
      <c r="O296" s="181"/>
      <c r="P296" s="181"/>
      <c r="Q296" s="181"/>
      <c r="R296" s="221"/>
      <c r="S296" s="234"/>
      <c r="T296" s="234"/>
      <c r="U296" s="221"/>
      <c r="V296" s="221"/>
      <c r="W296" s="321"/>
    </row>
    <row r="297" spans="1:23" ht="25.5" customHeight="1">
      <c r="D297" s="181"/>
      <c r="E297" s="272"/>
      <c r="F297" s="265"/>
      <c r="G297" s="265"/>
      <c r="H297" s="265"/>
      <c r="I297" s="181"/>
      <c r="J297" s="181"/>
      <c r="K297" s="181"/>
      <c r="L297" s="181"/>
      <c r="M297" s="265"/>
      <c r="N297" s="181"/>
      <c r="O297" s="181"/>
      <c r="P297" s="181"/>
      <c r="Q297" s="181"/>
      <c r="R297" s="221"/>
      <c r="S297" s="234"/>
      <c r="T297" s="234"/>
      <c r="U297" s="221"/>
      <c r="V297" s="221"/>
    </row>
    <row r="298" spans="1:23" ht="25.5" customHeight="1"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</row>
    <row r="299" spans="1:23" ht="25.5" customHeight="1"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</row>
    <row r="300" spans="1:23" ht="25.5" customHeight="1"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</row>
    <row r="301" spans="1:23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</row>
    <row r="302" spans="1:23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3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3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1:24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1:24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1:24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1:24" s="310" customFormat="1" ht="25.5" customHeight="1">
      <c r="A308"/>
      <c r="B308"/>
      <c r="C308" s="282"/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  <c r="X308"/>
    </row>
    <row r="309" spans="1:24" s="310" customFormat="1" ht="25.5" customHeight="1">
      <c r="A309"/>
      <c r="B309"/>
      <c r="C309" s="282"/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  <c r="X309"/>
    </row>
    <row r="310" spans="1:24" s="310" customFormat="1" ht="25.5" customHeight="1">
      <c r="A310"/>
      <c r="B310"/>
      <c r="C310" s="282"/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  <c r="X310"/>
    </row>
    <row r="311" spans="1:24" s="310" customFormat="1" ht="25.5" customHeight="1">
      <c r="A311"/>
      <c r="B311"/>
      <c r="C311" s="282"/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  <c r="X311"/>
    </row>
    <row r="312" spans="1:24" s="310" customFormat="1" ht="25.5" customHeight="1">
      <c r="A312"/>
      <c r="B312"/>
      <c r="C312" s="282"/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  <c r="X312"/>
    </row>
    <row r="313" spans="1:24" s="310" customFormat="1" ht="25.5" customHeight="1">
      <c r="A313"/>
      <c r="B313"/>
      <c r="C313" s="282"/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  <c r="X313"/>
    </row>
    <row r="314" spans="1:24" s="310" customFormat="1" ht="25.5" customHeight="1">
      <c r="A314"/>
      <c r="B314"/>
      <c r="C314" s="282"/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  <c r="X314"/>
    </row>
    <row r="315" spans="1:24" s="310" customFormat="1" ht="25.5" customHeight="1">
      <c r="A315"/>
      <c r="B315"/>
      <c r="C315" s="282"/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  <c r="X315"/>
    </row>
    <row r="316" spans="1:24" s="310" customFormat="1" ht="25.5" customHeight="1">
      <c r="A316"/>
      <c r="B316"/>
      <c r="C316" s="282"/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  <c r="X316"/>
    </row>
    <row r="317" spans="1:24" s="310" customFormat="1" ht="25.5" customHeight="1">
      <c r="A317"/>
      <c r="B317"/>
      <c r="C317" s="282"/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  <c r="X317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/>
    </row>
  </sheetData>
  <mergeCells count="32"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R7:R8"/>
    <mergeCell ref="S7:S8"/>
    <mergeCell ref="U7:U8"/>
    <mergeCell ref="V7:V8"/>
  </mergeCells>
  <pageMargins left="0.17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X376"/>
  <sheetViews>
    <sheetView workbookViewId="0">
      <pane ySplit="8" topLeftCell="A270" activePane="bottomLeft" state="frozen"/>
      <selection activeCell="C78" sqref="C78"/>
      <selection pane="bottomLeft" activeCell="T4" sqref="T1:T65536"/>
    </sheetView>
  </sheetViews>
  <sheetFormatPr defaultRowHeight="25.5" customHeight="1"/>
  <cols>
    <col min="1" max="1" width="1.140625" customWidth="1"/>
    <col min="2" max="2" width="37" customWidth="1"/>
    <col min="3" max="3" width="11.28515625" style="282" customWidth="1"/>
    <col min="4" max="4" width="9.7109375" style="33" customWidth="1"/>
    <col min="5" max="5" width="9.5703125" style="273" customWidth="1"/>
    <col min="6" max="7" width="8.85546875" style="138" customWidth="1"/>
    <col min="8" max="8" width="9.5703125" style="138" customWidth="1"/>
    <col min="9" max="9" width="8.7109375" style="33" customWidth="1"/>
    <col min="10" max="10" width="1.7109375" style="33" customWidth="1"/>
    <col min="11" max="12" width="1.85546875" style="33" customWidth="1"/>
    <col min="13" max="13" width="9.140625" style="138" customWidth="1"/>
    <col min="14" max="14" width="1.7109375" style="33" customWidth="1"/>
    <col min="15" max="17" width="1.85546875" style="33" customWidth="1"/>
    <col min="18" max="18" width="8.140625" customWidth="1"/>
    <col min="19" max="20" width="8.28515625" style="168" customWidth="1"/>
    <col min="21" max="22" width="1.85546875" customWidth="1"/>
    <col min="23" max="23" width="15.285156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423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425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410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12914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527200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197600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228" t="s">
        <v>220</v>
      </c>
      <c r="C18" s="216">
        <v>15000</v>
      </c>
      <c r="D18" s="356"/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30" t="s">
        <v>81</v>
      </c>
      <c r="C19" s="216">
        <v>344150</v>
      </c>
      <c r="D19" s="357"/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198" t="s">
        <v>424</v>
      </c>
      <c r="C20" s="350">
        <v>70650</v>
      </c>
      <c r="D20" s="359">
        <v>70650</v>
      </c>
      <c r="E20" s="267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47" t="s">
        <v>5</v>
      </c>
      <c r="C21" s="289">
        <f>SUM(C10:C20)</f>
        <v>10157432</v>
      </c>
      <c r="D21" s="40">
        <f>SUM(D10:D20)</f>
        <v>811004</v>
      </c>
      <c r="E21" s="35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811004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42780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7000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7000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1283280-10000-14000</f>
        <v>1259280</v>
      </c>
      <c r="D27" s="131"/>
      <c r="E27" s="267">
        <v>95220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2393520</v>
      </c>
      <c r="D28" s="132">
        <f>SUM(D23:D27)</f>
        <v>0</v>
      </c>
      <c r="E28" s="268">
        <f>SUM(E23:E27)</f>
        <v>168560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168560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3188820+1300000+884640+1648500-100000-22000-19000-60000-184500-25100-50000-100000-20000-70650</f>
        <v>6370710</v>
      </c>
      <c r="D30" s="133"/>
      <c r="E30" s="269">
        <v>222690</v>
      </c>
      <c r="F30" s="269">
        <v>80130</v>
      </c>
      <c r="G30" s="269"/>
      <c r="H30" s="269">
        <v>76620</v>
      </c>
      <c r="I30" s="269"/>
      <c r="J30" s="269"/>
      <c r="K30" s="269"/>
      <c r="L30" s="269"/>
      <c r="M30" s="269">
        <v>112190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269">
        <v>0</v>
      </c>
      <c r="G31" s="269"/>
      <c r="H31" s="269">
        <v>161580</v>
      </c>
      <c r="I31" s="269"/>
      <c r="J31" s="269"/>
      <c r="K31" s="269"/>
      <c r="L31" s="269"/>
      <c r="M31" s="269"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269">
        <v>0</v>
      </c>
      <c r="G32" s="269"/>
      <c r="H32" s="269">
        <v>0</v>
      </c>
      <c r="I32" s="269"/>
      <c r="J32" s="269"/>
      <c r="K32" s="269"/>
      <c r="L32" s="269"/>
      <c r="M32" s="269"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v>11000</v>
      </c>
      <c r="F33" s="269">
        <v>0</v>
      </c>
      <c r="G33" s="269"/>
      <c r="H33" s="269">
        <v>3500</v>
      </c>
      <c r="I33" s="269"/>
      <c r="J33" s="269"/>
      <c r="K33" s="269"/>
      <c r="L33" s="269"/>
      <c r="M33" s="269">
        <v>3500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787000+589000+559480+350880+100000+184500+153000</f>
        <v>2723860</v>
      </c>
      <c r="D34" s="131"/>
      <c r="E34" s="269">
        <v>85330</v>
      </c>
      <c r="F34" s="269">
        <v>58130</v>
      </c>
      <c r="G34" s="269"/>
      <c r="H34" s="269">
        <v>64910</v>
      </c>
      <c r="I34" s="269"/>
      <c r="J34" s="269"/>
      <c r="K34" s="269"/>
      <c r="L34" s="269"/>
      <c r="M34" s="269">
        <v>29240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v>0</v>
      </c>
      <c r="F35" s="269">
        <v>0</v>
      </c>
      <c r="G35" s="269"/>
      <c r="H35" s="269">
        <v>20970</v>
      </c>
      <c r="I35" s="269"/>
      <c r="J35" s="269"/>
      <c r="K35" s="269"/>
      <c r="L35" s="269"/>
      <c r="M35" s="269"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76000+72000+84000+22000+25100+11000</f>
        <v>290100</v>
      </c>
      <c r="D36" s="131"/>
      <c r="E36" s="269">
        <v>9160</v>
      </c>
      <c r="F36" s="269">
        <v>6355</v>
      </c>
      <c r="G36" s="269"/>
      <c r="H36" s="269">
        <v>8500</v>
      </c>
      <c r="I36" s="269"/>
      <c r="J36" s="269"/>
      <c r="K36" s="269"/>
      <c r="L36" s="269"/>
      <c r="M36" s="269"/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v>0</v>
      </c>
      <c r="F37" s="269">
        <v>0</v>
      </c>
      <c r="G37" s="269"/>
      <c r="H37" s="269">
        <v>1830</v>
      </c>
      <c r="I37" s="269"/>
      <c r="J37" s="269"/>
      <c r="K37" s="269"/>
      <c r="L37" s="269"/>
      <c r="M37" s="269"/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ht="25.5" customHeight="1" thickBot="1">
      <c r="A38" s="46"/>
      <c r="B38" s="47" t="s">
        <v>5</v>
      </c>
      <c r="C38" s="289">
        <f>SUM(C30:C37)</f>
        <v>11812450</v>
      </c>
      <c r="D38" s="255">
        <f>SUM(D30:D37)</f>
        <v>0</v>
      </c>
      <c r="E38" s="254">
        <f>SUM(E30:E37)</f>
        <v>328620</v>
      </c>
      <c r="F38" s="254">
        <f>SUM(F30:F37)</f>
        <v>144615</v>
      </c>
      <c r="G38" s="254">
        <f t="shared" ref="G38:V38" si="2">SUM(G30:G37)</f>
        <v>0</v>
      </c>
      <c r="H38" s="254">
        <f>SUM(H30:H37)</f>
        <v>337910</v>
      </c>
      <c r="I38" s="255">
        <f t="shared" si="2"/>
        <v>0</v>
      </c>
      <c r="J38" s="255">
        <f t="shared" si="2"/>
        <v>0</v>
      </c>
      <c r="K38" s="255">
        <f t="shared" si="2"/>
        <v>0</v>
      </c>
      <c r="L38" s="255">
        <f t="shared" si="2"/>
        <v>0</v>
      </c>
      <c r="M38" s="254">
        <f>SUM(M30:M37)</f>
        <v>144930</v>
      </c>
      <c r="N38" s="255">
        <f t="shared" si="2"/>
        <v>0</v>
      </c>
      <c r="O38" s="255">
        <f t="shared" si="2"/>
        <v>0</v>
      </c>
      <c r="P38" s="255">
        <f t="shared" si="2"/>
        <v>0</v>
      </c>
      <c r="Q38" s="255">
        <f t="shared" si="2"/>
        <v>0</v>
      </c>
      <c r="R38" s="255">
        <f t="shared" si="2"/>
        <v>0</v>
      </c>
      <c r="S38" s="255">
        <f t="shared" si="2"/>
        <v>0</v>
      </c>
      <c r="T38" s="255"/>
      <c r="U38" s="255">
        <f t="shared" si="2"/>
        <v>0</v>
      </c>
      <c r="V38" s="255">
        <f t="shared" si="2"/>
        <v>0</v>
      </c>
      <c r="W38" s="316">
        <f>SUM(D38:V38)</f>
        <v>956075</v>
      </c>
    </row>
    <row r="39" spans="1:23" ht="25.5" customHeight="1" thickTop="1">
      <c r="A39" s="5" t="s">
        <v>98</v>
      </c>
      <c r="B39" s="6"/>
      <c r="C39" s="190"/>
      <c r="D39" s="133"/>
      <c r="E39" s="269"/>
      <c r="F39" s="136"/>
      <c r="G39" s="136"/>
      <c r="H39" s="136"/>
      <c r="I39" s="133"/>
      <c r="J39" s="133"/>
      <c r="K39" s="133"/>
      <c r="L39" s="133"/>
      <c r="M39" s="136"/>
      <c r="N39" s="133"/>
      <c r="O39" s="133"/>
      <c r="P39" s="133"/>
      <c r="Q39" s="133"/>
      <c r="R39" s="217"/>
      <c r="S39" s="219"/>
      <c r="T39" s="259"/>
      <c r="U39" s="258"/>
      <c r="V39" s="258"/>
      <c r="W39" s="317"/>
    </row>
    <row r="40" spans="1:23" ht="25.5" customHeight="1">
      <c r="A40" s="9"/>
      <c r="B40" s="130" t="s">
        <v>93</v>
      </c>
      <c r="C40" s="216">
        <v>5000</v>
      </c>
      <c r="D40" s="133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315"/>
    </row>
    <row r="41" spans="1:23" ht="25.5" customHeight="1">
      <c r="A41" s="9"/>
      <c r="B41" s="130" t="s">
        <v>205</v>
      </c>
      <c r="C41" s="285">
        <v>10000</v>
      </c>
      <c r="D41" s="131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315"/>
    </row>
    <row r="42" spans="1:23" ht="25.5" customHeight="1">
      <c r="A42" s="9"/>
      <c r="B42" s="130" t="s">
        <v>94</v>
      </c>
      <c r="C42" s="285">
        <v>10000</v>
      </c>
      <c r="D42" s="131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311"/>
    </row>
    <row r="43" spans="1:23" ht="25.5" customHeight="1">
      <c r="A43" s="9"/>
      <c r="B43" s="130" t="s">
        <v>95</v>
      </c>
      <c r="C43" s="192">
        <v>5000</v>
      </c>
      <c r="D43" s="131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</row>
    <row r="44" spans="1:23" ht="25.5" customHeight="1">
      <c r="A44" s="9"/>
      <c r="B44" s="130" t="s">
        <v>96</v>
      </c>
      <c r="C44" s="192">
        <v>5000</v>
      </c>
      <c r="D44" s="131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</row>
    <row r="45" spans="1:23" ht="25.5" customHeight="1">
      <c r="A45" s="9"/>
      <c r="B45" s="130" t="s">
        <v>10</v>
      </c>
      <c r="C45" s="216">
        <f>144000+36000+78000+78000</f>
        <v>336000</v>
      </c>
      <c r="D45" s="133"/>
      <c r="E45" s="269">
        <v>10000</v>
      </c>
      <c r="F45" s="269">
        <v>3000</v>
      </c>
      <c r="G45" s="269"/>
      <c r="H45" s="269">
        <v>6500</v>
      </c>
      <c r="I45" s="269"/>
      <c r="J45" s="269"/>
      <c r="K45" s="269"/>
      <c r="L45" s="269"/>
      <c r="M45" s="269">
        <v>6500</v>
      </c>
      <c r="N45" s="269"/>
      <c r="O45" s="269"/>
      <c r="P45" s="269"/>
      <c r="Q45" s="269"/>
      <c r="R45" s="269"/>
      <c r="S45" s="269"/>
      <c r="T45" s="269"/>
      <c r="U45" s="269"/>
      <c r="V45" s="269"/>
    </row>
    <row r="46" spans="1:23" ht="25.5" customHeight="1">
      <c r="A46" s="9"/>
      <c r="B46" s="130" t="s">
        <v>9</v>
      </c>
      <c r="C46" s="216">
        <f>25000+10000+30000+20000</f>
        <v>85000</v>
      </c>
      <c r="D46" s="131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</row>
    <row r="47" spans="1:23" ht="25.5" customHeight="1">
      <c r="A47" s="197"/>
      <c r="B47" s="198" t="s">
        <v>241</v>
      </c>
      <c r="C47" s="286">
        <v>44200</v>
      </c>
      <c r="D47" s="131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</row>
    <row r="48" spans="1:23" ht="25.5" customHeight="1" thickBot="1">
      <c r="A48" s="46"/>
      <c r="B48" s="47" t="s">
        <v>5</v>
      </c>
      <c r="C48" s="289">
        <f>SUM(C40:C47)</f>
        <v>500200</v>
      </c>
      <c r="D48" s="255">
        <f>SUM(D40:D47)</f>
        <v>0</v>
      </c>
      <c r="E48" s="254">
        <f>SUM(E40:E47)</f>
        <v>10000</v>
      </c>
      <c r="F48" s="254">
        <f>SUM(F40:F47)</f>
        <v>3000</v>
      </c>
      <c r="G48" s="254">
        <f t="shared" ref="G48:V48" si="3">SUM(G40:G47)</f>
        <v>0</v>
      </c>
      <c r="H48" s="254">
        <f>SUM(H40:H47)</f>
        <v>6500</v>
      </c>
      <c r="I48" s="255">
        <f t="shared" si="3"/>
        <v>0</v>
      </c>
      <c r="J48" s="255">
        <f t="shared" si="3"/>
        <v>0</v>
      </c>
      <c r="K48" s="255">
        <f t="shared" si="3"/>
        <v>0</v>
      </c>
      <c r="L48" s="255">
        <f t="shared" si="3"/>
        <v>0</v>
      </c>
      <c r="M48" s="254">
        <f>SUM(M40:M47)</f>
        <v>6500</v>
      </c>
      <c r="N48" s="255">
        <f t="shared" si="3"/>
        <v>0</v>
      </c>
      <c r="O48" s="255">
        <f t="shared" si="3"/>
        <v>0</v>
      </c>
      <c r="P48" s="255">
        <f t="shared" si="3"/>
        <v>0</v>
      </c>
      <c r="Q48" s="255">
        <f t="shared" si="3"/>
        <v>0</v>
      </c>
      <c r="R48" s="255">
        <f t="shared" si="3"/>
        <v>0</v>
      </c>
      <c r="S48" s="255">
        <f t="shared" si="3"/>
        <v>0</v>
      </c>
      <c r="T48" s="255"/>
      <c r="U48" s="255">
        <f t="shared" si="3"/>
        <v>0</v>
      </c>
      <c r="V48" s="255">
        <f t="shared" si="3"/>
        <v>0</v>
      </c>
      <c r="W48" s="314">
        <f>SUM(D48:V48)</f>
        <v>26000</v>
      </c>
    </row>
    <row r="49" spans="1:24" ht="25.5" customHeight="1" thickTop="1">
      <c r="A49" s="5" t="s">
        <v>99</v>
      </c>
      <c r="B49" s="6"/>
      <c r="C49" s="190"/>
      <c r="D49" s="133"/>
      <c r="E49" s="269"/>
      <c r="F49" s="136"/>
      <c r="G49" s="136"/>
      <c r="H49" s="136"/>
      <c r="I49" s="133"/>
      <c r="J49" s="133"/>
      <c r="K49" s="133"/>
      <c r="L49" s="133"/>
      <c r="M49" s="136"/>
      <c r="N49" s="133"/>
      <c r="O49" s="133"/>
      <c r="P49" s="133"/>
      <c r="Q49" s="133"/>
      <c r="R49" s="217"/>
      <c r="S49" s="219"/>
      <c r="T49" s="259"/>
      <c r="U49" s="258"/>
      <c r="V49" s="258"/>
    </row>
    <row r="50" spans="1:24" s="310" customFormat="1" ht="25.5" customHeight="1">
      <c r="A50" s="5"/>
      <c r="B50" s="130" t="s">
        <v>100</v>
      </c>
      <c r="C50" s="281">
        <f>15000+7000+20000+15000</f>
        <v>57000</v>
      </c>
      <c r="D50" s="133"/>
      <c r="E50" s="269">
        <v>550</v>
      </c>
      <c r="F50" s="269"/>
      <c r="G50" s="269"/>
      <c r="H50" s="269">
        <v>2700</v>
      </c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X50"/>
    </row>
    <row r="51" spans="1:24" s="310" customFormat="1" ht="25.5" customHeight="1">
      <c r="A51" s="5"/>
      <c r="B51" s="130" t="s">
        <v>226</v>
      </c>
      <c r="C51" s="281">
        <f>1044000+124000+384000+296000-47000+10000+156000+65000</f>
        <v>2032000</v>
      </c>
      <c r="D51" s="133"/>
      <c r="E51" s="269">
        <v>128000</v>
      </c>
      <c r="F51" s="269">
        <v>7000</v>
      </c>
      <c r="G51" s="269"/>
      <c r="H51" s="269">
        <v>48000</v>
      </c>
      <c r="I51" s="269"/>
      <c r="J51" s="269"/>
      <c r="K51" s="269"/>
      <c r="L51" s="269"/>
      <c r="M51" s="269">
        <v>37500</v>
      </c>
      <c r="N51" s="269"/>
      <c r="O51" s="269"/>
      <c r="P51" s="269"/>
      <c r="Q51" s="269"/>
      <c r="R51" s="269"/>
      <c r="S51" s="269"/>
      <c r="T51" s="269"/>
      <c r="U51" s="269"/>
      <c r="V51" s="269"/>
      <c r="X51"/>
    </row>
    <row r="52" spans="1:24" s="310" customFormat="1" ht="25.5" customHeight="1">
      <c r="A52" s="5"/>
      <c r="B52" s="130" t="s">
        <v>223</v>
      </c>
      <c r="C52" s="281">
        <v>200000</v>
      </c>
      <c r="D52" s="133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X52"/>
    </row>
    <row r="53" spans="1:24" s="310" customFormat="1" ht="25.5" customHeight="1">
      <c r="A53" s="5"/>
      <c r="B53" s="130" t="s">
        <v>224</v>
      </c>
      <c r="C53" s="281">
        <v>20000</v>
      </c>
      <c r="D53" s="133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X53"/>
    </row>
    <row r="54" spans="1:24" s="310" customFormat="1" ht="25.5" customHeight="1">
      <c r="A54" s="5"/>
      <c r="B54" s="130" t="s">
        <v>225</v>
      </c>
      <c r="C54" s="281">
        <f>10000+14000</f>
        <v>24000</v>
      </c>
      <c r="D54" s="133"/>
      <c r="E54" s="269">
        <v>5790</v>
      </c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X54"/>
    </row>
    <row r="55" spans="1:24" s="310" customFormat="1" ht="25.5" customHeight="1">
      <c r="A55" s="5"/>
      <c r="B55" s="130" t="s">
        <v>227</v>
      </c>
      <c r="C55" s="281">
        <v>40000</v>
      </c>
      <c r="D55" s="133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X55"/>
    </row>
    <row r="56" spans="1:24" s="310" customFormat="1" ht="25.5" customHeight="1">
      <c r="A56" s="5"/>
      <c r="B56" s="130" t="s">
        <v>228</v>
      </c>
      <c r="C56" s="281">
        <v>9000</v>
      </c>
      <c r="D56" s="133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X56"/>
    </row>
    <row r="57" spans="1:24" s="310" customFormat="1" ht="25.5" customHeight="1">
      <c r="A57" s="5"/>
      <c r="B57" s="130" t="s">
        <v>11</v>
      </c>
      <c r="C57" s="281">
        <f>10000+60000+20000</f>
        <v>90000</v>
      </c>
      <c r="D57" s="133"/>
      <c r="E57" s="269">
        <v>2980</v>
      </c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X57"/>
    </row>
    <row r="58" spans="1:24" s="310" customFormat="1" ht="25.5" customHeight="1">
      <c r="A58" s="5"/>
      <c r="B58" s="130" t="s">
        <v>229</v>
      </c>
      <c r="C58" s="281">
        <v>10000</v>
      </c>
      <c r="D58" s="133"/>
      <c r="E58" s="269">
        <v>2073</v>
      </c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X58"/>
    </row>
    <row r="59" spans="1:24" s="310" customFormat="1" ht="25.5" customHeight="1">
      <c r="A59" s="5"/>
      <c r="B59" s="130" t="s">
        <v>230</v>
      </c>
      <c r="C59" s="281">
        <v>20000</v>
      </c>
      <c r="D59" s="133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X59"/>
    </row>
    <row r="60" spans="1:24" s="310" customFormat="1" ht="25.5" customHeight="1">
      <c r="A60" s="9"/>
      <c r="B60" s="130" t="s">
        <v>50</v>
      </c>
      <c r="C60" s="280">
        <v>10000</v>
      </c>
      <c r="D60" s="133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X60"/>
    </row>
    <row r="61" spans="1:24" s="310" customFormat="1" ht="25.5" customHeight="1">
      <c r="A61" s="9"/>
      <c r="B61" s="130" t="s">
        <v>103</v>
      </c>
      <c r="C61" s="280">
        <v>10000</v>
      </c>
      <c r="D61" s="131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X61"/>
    </row>
    <row r="62" spans="1:24" s="310" customFormat="1" ht="25.5" customHeight="1">
      <c r="A62" s="9"/>
      <c r="B62" s="187" t="s">
        <v>106</v>
      </c>
      <c r="C62" s="283">
        <f>200000+30000+30000+80000+19000+1000+10000+2500+2500+2500+2500+20000</f>
        <v>400000</v>
      </c>
      <c r="D62" s="131"/>
      <c r="E62" s="269">
        <v>47544</v>
      </c>
      <c r="F62" s="269"/>
      <c r="G62" s="269"/>
      <c r="H62" s="269">
        <v>8520</v>
      </c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X62"/>
    </row>
    <row r="63" spans="1:24" s="310" customFormat="1" ht="25.5" customHeight="1">
      <c r="A63" s="9"/>
      <c r="B63" s="187" t="s">
        <v>231</v>
      </c>
      <c r="C63" s="283">
        <f>5000+8900</f>
        <v>13900</v>
      </c>
      <c r="D63" s="131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X63"/>
    </row>
    <row r="64" spans="1:24" s="310" customFormat="1" ht="25.5" customHeight="1">
      <c r="A64" s="9"/>
      <c r="B64" s="187" t="s">
        <v>204</v>
      </c>
      <c r="C64" s="283">
        <v>5000</v>
      </c>
      <c r="D64" s="131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X64"/>
    </row>
    <row r="65" spans="1:24" s="310" customFormat="1" ht="25.5" customHeight="1">
      <c r="A65" s="9"/>
      <c r="B65" s="187" t="s">
        <v>232</v>
      </c>
      <c r="C65" s="283">
        <f>120000+100000</f>
        <v>220000</v>
      </c>
      <c r="D65" s="131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X65"/>
    </row>
    <row r="66" spans="1:24" s="310" customFormat="1" ht="25.5" customHeight="1">
      <c r="A66" s="9"/>
      <c r="B66" s="187" t="s">
        <v>233</v>
      </c>
      <c r="C66" s="283">
        <f>125000-8900-16100</f>
        <v>100000</v>
      </c>
      <c r="D66" s="131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X66"/>
    </row>
    <row r="67" spans="1:24" s="310" customFormat="1" ht="25.5" customHeight="1">
      <c r="A67" s="9"/>
      <c r="B67" s="187" t="s">
        <v>234</v>
      </c>
      <c r="C67" s="283">
        <v>5000</v>
      </c>
      <c r="D67" s="131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X67"/>
    </row>
    <row r="68" spans="1:24" s="310" customFormat="1" ht="25.5" customHeight="1">
      <c r="A68" s="9"/>
      <c r="B68" s="187" t="s">
        <v>235</v>
      </c>
      <c r="C68" s="283">
        <v>90000</v>
      </c>
      <c r="D68" s="131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X68"/>
    </row>
    <row r="69" spans="1:24" s="310" customFormat="1" ht="25.5" customHeight="1">
      <c r="A69" s="9"/>
      <c r="B69" s="187" t="s">
        <v>236</v>
      </c>
      <c r="C69" s="283">
        <v>5000</v>
      </c>
      <c r="D69" s="131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X69"/>
    </row>
    <row r="70" spans="1:24" s="310" customFormat="1" ht="25.5" customHeight="1">
      <c r="A70" s="9"/>
      <c r="B70" s="187" t="s">
        <v>237</v>
      </c>
      <c r="C70" s="283">
        <v>5000</v>
      </c>
      <c r="D70" s="131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X70"/>
    </row>
    <row r="71" spans="1:24" s="310" customFormat="1" ht="25.5" customHeight="1">
      <c r="A71" s="165"/>
      <c r="B71" s="226" t="s">
        <v>277</v>
      </c>
      <c r="C71" s="279">
        <v>5000</v>
      </c>
      <c r="D71" s="131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X71"/>
    </row>
    <row r="72" spans="1:24" s="310" customFormat="1" ht="25.5" customHeight="1">
      <c r="A72" s="165"/>
      <c r="B72" s="226" t="s">
        <v>107</v>
      </c>
      <c r="C72" s="279">
        <v>10000</v>
      </c>
      <c r="D72" s="131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X72"/>
    </row>
    <row r="73" spans="1:24" s="310" customFormat="1" ht="25.5" customHeight="1">
      <c r="A73" s="9"/>
      <c r="B73" s="226" t="s">
        <v>278</v>
      </c>
      <c r="C73" s="279">
        <v>10000</v>
      </c>
      <c r="D73" s="195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X73"/>
    </row>
    <row r="74" spans="1:24" s="310" customFormat="1" ht="25.5" customHeight="1">
      <c r="A74" s="165"/>
      <c r="B74" s="226" t="s">
        <v>279</v>
      </c>
      <c r="C74" s="279">
        <v>10000</v>
      </c>
      <c r="D74" s="195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X74"/>
    </row>
    <row r="75" spans="1:24" s="310" customFormat="1" ht="25.5" customHeight="1">
      <c r="A75" s="9"/>
      <c r="B75" s="226" t="s">
        <v>280</v>
      </c>
      <c r="C75" s="279">
        <v>10000</v>
      </c>
      <c r="D75" s="195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X75"/>
    </row>
    <row r="76" spans="1:24" s="310" customFormat="1" ht="25.5" customHeight="1">
      <c r="A76" s="9"/>
      <c r="B76" s="226" t="s">
        <v>281</v>
      </c>
      <c r="C76" s="279">
        <v>5000</v>
      </c>
      <c r="D76" s="195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X76"/>
    </row>
    <row r="77" spans="1:24" s="310" customFormat="1" ht="25.5" customHeight="1">
      <c r="A77" s="9"/>
      <c r="B77" s="226" t="s">
        <v>282</v>
      </c>
      <c r="C77" s="279">
        <v>5000</v>
      </c>
      <c r="D77" s="195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X77"/>
    </row>
    <row r="78" spans="1:24" s="310" customFormat="1" ht="25.5" customHeight="1">
      <c r="A78" s="9"/>
      <c r="B78" s="226" t="s">
        <v>238</v>
      </c>
      <c r="C78" s="279">
        <f>70000+40000+10000+20000+30000+10000+10000</f>
        <v>190000</v>
      </c>
      <c r="D78" s="195"/>
      <c r="E78" s="269">
        <v>300</v>
      </c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X78"/>
    </row>
    <row r="79" spans="1:24" s="310" customFormat="1" ht="25.5" customHeight="1">
      <c r="A79" s="9"/>
      <c r="B79" s="226" t="s">
        <v>121</v>
      </c>
      <c r="C79" s="279">
        <f>100000+47000+3000-140000</f>
        <v>10000</v>
      </c>
      <c r="D79" s="195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X79"/>
    </row>
    <row r="80" spans="1:24" s="310" customFormat="1" ht="25.5" customHeight="1">
      <c r="A80" s="9"/>
      <c r="B80" s="226" t="s">
        <v>295</v>
      </c>
      <c r="C80" s="279">
        <f>40000+50000</f>
        <v>90000</v>
      </c>
      <c r="D80" s="195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X80"/>
    </row>
    <row r="81" spans="1:24" s="310" customFormat="1" ht="25.5" customHeight="1">
      <c r="A81" s="9"/>
      <c r="B81" s="226" t="s">
        <v>296</v>
      </c>
      <c r="C81" s="279">
        <v>30000</v>
      </c>
      <c r="D81" s="195"/>
      <c r="E81" s="269"/>
      <c r="F81" s="269"/>
      <c r="G81" s="269">
        <v>11520</v>
      </c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X81"/>
    </row>
    <row r="82" spans="1:24" s="310" customFormat="1" ht="25.5" customHeight="1">
      <c r="A82" s="9"/>
      <c r="B82" s="226" t="s">
        <v>210</v>
      </c>
      <c r="C82" s="279">
        <v>10000</v>
      </c>
      <c r="D82" s="195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X82"/>
    </row>
    <row r="83" spans="1:24" s="310" customFormat="1" ht="25.5" customHeight="1">
      <c r="A83" s="9"/>
      <c r="B83" s="187" t="s">
        <v>297</v>
      </c>
      <c r="C83" s="279">
        <v>20000</v>
      </c>
      <c r="D83" s="195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X83"/>
    </row>
    <row r="84" spans="1:24" s="310" customFormat="1" ht="25.5" customHeight="1">
      <c r="A84" s="9"/>
      <c r="B84" s="187" t="s">
        <v>298</v>
      </c>
      <c r="C84" s="279">
        <v>20000</v>
      </c>
      <c r="D84" s="195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X84"/>
    </row>
    <row r="85" spans="1:24" s="310" customFormat="1" ht="25.5" customHeight="1">
      <c r="A85" s="9"/>
      <c r="B85" s="187" t="s">
        <v>299</v>
      </c>
      <c r="C85" s="279">
        <v>15000</v>
      </c>
      <c r="D85" s="195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X85"/>
    </row>
    <row r="86" spans="1:24" s="310" customFormat="1" ht="25.5" customHeight="1">
      <c r="A86" s="9"/>
      <c r="B86" s="187" t="s">
        <v>300</v>
      </c>
      <c r="C86" s="279">
        <v>10000</v>
      </c>
      <c r="D86" s="195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X86"/>
    </row>
    <row r="87" spans="1:24" s="310" customFormat="1" ht="25.5" customHeight="1">
      <c r="A87" s="9"/>
      <c r="B87" s="187" t="s">
        <v>301</v>
      </c>
      <c r="C87" s="279">
        <v>345100</v>
      </c>
      <c r="D87" s="19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X87"/>
    </row>
    <row r="88" spans="1:24" s="310" customFormat="1" ht="25.5" customHeight="1">
      <c r="A88" s="9"/>
      <c r="B88" s="187" t="s">
        <v>242</v>
      </c>
      <c r="C88" s="279">
        <v>40000</v>
      </c>
      <c r="D88" s="195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X88"/>
    </row>
    <row r="89" spans="1:24" s="310" customFormat="1" ht="25.5" customHeight="1">
      <c r="A89" s="9"/>
      <c r="B89" s="187" t="s">
        <v>307</v>
      </c>
      <c r="C89" s="279">
        <f>10000-10000</f>
        <v>0</v>
      </c>
      <c r="D89" s="131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X89"/>
    </row>
    <row r="90" spans="1:24" s="310" customFormat="1" ht="25.5" customHeight="1">
      <c r="A90" s="9"/>
      <c r="B90" s="187" t="s">
        <v>134</v>
      </c>
      <c r="C90" s="279">
        <f>15000-10000</f>
        <v>5000</v>
      </c>
      <c r="D90" s="195"/>
      <c r="E90" s="269"/>
      <c r="F90" s="269"/>
      <c r="G90" s="269"/>
      <c r="H90" s="269"/>
      <c r="I90" s="269">
        <v>1000</v>
      </c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X90"/>
    </row>
    <row r="91" spans="1:24" s="310" customFormat="1" ht="25.5" customHeight="1">
      <c r="A91" s="9"/>
      <c r="B91" s="187" t="s">
        <v>308</v>
      </c>
      <c r="C91" s="279">
        <f>2500-2500</f>
        <v>0</v>
      </c>
      <c r="D91" s="195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X91"/>
    </row>
    <row r="92" spans="1:24" s="310" customFormat="1" ht="25.5" customHeight="1">
      <c r="A92" s="9"/>
      <c r="B92" s="187" t="s">
        <v>309</v>
      </c>
      <c r="C92" s="279">
        <f>2500-2500</f>
        <v>0</v>
      </c>
      <c r="D92" s="195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X92"/>
    </row>
    <row r="93" spans="1:24" s="310" customFormat="1" ht="25.5" customHeight="1">
      <c r="A93" s="9"/>
      <c r="B93" s="187" t="s">
        <v>310</v>
      </c>
      <c r="C93" s="279">
        <f>2500-2500</f>
        <v>0</v>
      </c>
      <c r="D93" s="195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X93"/>
    </row>
    <row r="94" spans="1:24" s="310" customFormat="1" ht="25.5" customHeight="1">
      <c r="A94" s="9"/>
      <c r="B94" s="187" t="s">
        <v>311</v>
      </c>
      <c r="C94" s="279">
        <f>2500-2500</f>
        <v>0</v>
      </c>
      <c r="D94" s="195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X94"/>
    </row>
    <row r="95" spans="1:24" s="310" customFormat="1" ht="25.5" customHeight="1">
      <c r="A95" s="9"/>
      <c r="B95" s="187" t="s">
        <v>243</v>
      </c>
      <c r="C95" s="279">
        <v>2000</v>
      </c>
      <c r="D95" s="195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X95"/>
    </row>
    <row r="96" spans="1:24" s="310" customFormat="1" ht="25.5" customHeight="1">
      <c r="A96" s="9"/>
      <c r="B96" s="187" t="s">
        <v>248</v>
      </c>
      <c r="C96" s="279">
        <v>2000</v>
      </c>
      <c r="D96" s="195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X96"/>
    </row>
    <row r="97" spans="1:24" s="310" customFormat="1" ht="25.5" customHeight="1">
      <c r="A97" s="9"/>
      <c r="B97" s="187" t="s">
        <v>244</v>
      </c>
      <c r="C97" s="279">
        <v>2000</v>
      </c>
      <c r="D97" s="195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X97"/>
    </row>
    <row r="98" spans="1:24" s="310" customFormat="1" ht="25.5" customHeight="1">
      <c r="A98" s="9"/>
      <c r="B98" s="187" t="s">
        <v>245</v>
      </c>
      <c r="C98" s="279">
        <v>2000</v>
      </c>
      <c r="D98" s="195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X98"/>
    </row>
    <row r="99" spans="1:24" s="310" customFormat="1" ht="25.5" customHeight="1">
      <c r="A99" s="9"/>
      <c r="B99" s="187" t="s">
        <v>246</v>
      </c>
      <c r="C99" s="279">
        <v>2000</v>
      </c>
      <c r="D99" s="195"/>
      <c r="E99" s="269"/>
      <c r="F99" s="269"/>
      <c r="G99" s="269"/>
      <c r="H99" s="269"/>
      <c r="I99" s="269">
        <v>1000</v>
      </c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X99"/>
    </row>
    <row r="100" spans="1:24" s="310" customFormat="1" ht="25.5" customHeight="1">
      <c r="A100" s="9"/>
      <c r="B100" s="187" t="s">
        <v>247</v>
      </c>
      <c r="C100" s="279">
        <v>2000</v>
      </c>
      <c r="D100" s="195"/>
      <c r="E100" s="269"/>
      <c r="F100" s="269"/>
      <c r="G100" s="269"/>
      <c r="H100" s="269"/>
      <c r="I100" s="269">
        <v>1000</v>
      </c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X100"/>
    </row>
    <row r="101" spans="1:24" s="310" customFormat="1" ht="25.5" customHeight="1">
      <c r="A101" s="9"/>
      <c r="B101" s="187" t="s">
        <v>249</v>
      </c>
      <c r="C101" s="279">
        <v>2000</v>
      </c>
      <c r="D101" s="195"/>
      <c r="E101" s="269"/>
      <c r="F101" s="269"/>
      <c r="G101" s="269"/>
      <c r="H101" s="269"/>
      <c r="I101" s="269">
        <v>1000</v>
      </c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X101"/>
    </row>
    <row r="102" spans="1:24" s="310" customFormat="1" ht="25.5" customHeight="1">
      <c r="A102" s="9"/>
      <c r="B102" s="187" t="s">
        <v>250</v>
      </c>
      <c r="C102" s="279">
        <v>2000</v>
      </c>
      <c r="D102" s="195"/>
      <c r="E102" s="269"/>
      <c r="F102" s="269"/>
      <c r="G102" s="269"/>
      <c r="H102" s="269"/>
      <c r="I102" s="269">
        <v>1000</v>
      </c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X102"/>
    </row>
    <row r="103" spans="1:24" s="310" customFormat="1" ht="25.5" customHeight="1">
      <c r="A103" s="9"/>
      <c r="B103" s="187" t="s">
        <v>251</v>
      </c>
      <c r="C103" s="279">
        <v>2000</v>
      </c>
      <c r="D103" s="195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X103"/>
    </row>
    <row r="104" spans="1:24" s="310" customFormat="1" ht="25.5" customHeight="1">
      <c r="A104" s="9"/>
      <c r="B104" s="187" t="s">
        <v>252</v>
      </c>
      <c r="C104" s="279">
        <v>2000</v>
      </c>
      <c r="D104" s="195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X104"/>
    </row>
    <row r="105" spans="1:24" s="310" customFormat="1" ht="25.5" customHeight="1">
      <c r="A105" s="9"/>
      <c r="B105" s="187" t="s">
        <v>253</v>
      </c>
      <c r="C105" s="279">
        <v>2000</v>
      </c>
      <c r="D105" s="195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X105"/>
    </row>
    <row r="106" spans="1:24" s="310" customFormat="1" ht="25.5" customHeight="1">
      <c r="A106" s="9"/>
      <c r="B106" s="187" t="s">
        <v>254</v>
      </c>
      <c r="C106" s="279">
        <v>2000</v>
      </c>
      <c r="D106" s="195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X106"/>
    </row>
    <row r="107" spans="1:24" s="310" customFormat="1" ht="25.5" customHeight="1">
      <c r="A107" s="9"/>
      <c r="B107" s="187" t="s">
        <v>312</v>
      </c>
      <c r="C107" s="279">
        <v>2500</v>
      </c>
      <c r="D107" s="195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X107"/>
    </row>
    <row r="108" spans="1:24" s="310" customFormat="1" ht="25.5" customHeight="1">
      <c r="A108" s="9"/>
      <c r="B108" s="187" t="s">
        <v>313</v>
      </c>
      <c r="C108" s="279">
        <v>2500</v>
      </c>
      <c r="D108" s="131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X108"/>
    </row>
    <row r="109" spans="1:24" s="310" customFormat="1" ht="25.5" customHeight="1">
      <c r="A109" s="9"/>
      <c r="B109" s="187" t="s">
        <v>314</v>
      </c>
      <c r="C109" s="279">
        <v>2500</v>
      </c>
      <c r="D109" s="195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X109"/>
    </row>
    <row r="110" spans="1:24" s="310" customFormat="1" ht="25.5" customHeight="1">
      <c r="A110" s="9"/>
      <c r="B110" s="187" t="s">
        <v>255</v>
      </c>
      <c r="C110" s="279">
        <v>4000</v>
      </c>
      <c r="D110" s="195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X110"/>
    </row>
    <row r="111" spans="1:24" s="310" customFormat="1" ht="25.5" customHeight="1">
      <c r="A111" s="9"/>
      <c r="B111" s="187" t="s">
        <v>256</v>
      </c>
      <c r="C111" s="279">
        <v>2500</v>
      </c>
      <c r="D111" s="195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X111"/>
    </row>
    <row r="112" spans="1:24" s="310" customFormat="1" ht="25.5" customHeight="1">
      <c r="A112" s="9"/>
      <c r="B112" s="187" t="s">
        <v>257</v>
      </c>
      <c r="C112" s="279">
        <v>2500</v>
      </c>
      <c r="D112" s="195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X112"/>
    </row>
    <row r="113" spans="1:24" s="310" customFormat="1" ht="25.5" customHeight="1">
      <c r="A113" s="9"/>
      <c r="B113" s="187" t="s">
        <v>258</v>
      </c>
      <c r="C113" s="279">
        <v>2500</v>
      </c>
      <c r="D113" s="195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X113"/>
    </row>
    <row r="114" spans="1:24" s="310" customFormat="1" ht="25.5" customHeight="1">
      <c r="A114" s="9"/>
      <c r="B114" s="187" t="s">
        <v>259</v>
      </c>
      <c r="C114" s="279">
        <v>1000</v>
      </c>
      <c r="D114" s="195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X114"/>
    </row>
    <row r="115" spans="1:24" s="310" customFormat="1" ht="25.5" customHeight="1">
      <c r="A115" s="9"/>
      <c r="B115" s="187" t="s">
        <v>260</v>
      </c>
      <c r="C115" s="279">
        <v>1000</v>
      </c>
      <c r="D115" s="195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X115"/>
    </row>
    <row r="116" spans="1:24" s="310" customFormat="1" ht="25.5" customHeight="1">
      <c r="A116" s="9"/>
      <c r="B116" s="187" t="s">
        <v>261</v>
      </c>
      <c r="C116" s="279">
        <v>1000</v>
      </c>
      <c r="D116" s="195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X116"/>
    </row>
    <row r="117" spans="1:24" s="310" customFormat="1" ht="25.5" customHeight="1">
      <c r="A117" s="9"/>
      <c r="B117" s="187" t="s">
        <v>262</v>
      </c>
      <c r="C117" s="279">
        <v>1000</v>
      </c>
      <c r="D117" s="195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X117"/>
    </row>
    <row r="118" spans="1:24" s="310" customFormat="1" ht="25.5" customHeight="1">
      <c r="A118" s="9"/>
      <c r="B118" s="187" t="s">
        <v>211</v>
      </c>
      <c r="C118" s="279">
        <v>392000</v>
      </c>
      <c r="D118" s="195"/>
      <c r="E118" s="269"/>
      <c r="F118" s="269"/>
      <c r="G118" s="269"/>
      <c r="H118" s="269"/>
      <c r="I118" s="269">
        <v>93600</v>
      </c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X118"/>
    </row>
    <row r="119" spans="1:24" s="310" customFormat="1" ht="25.5" customHeight="1">
      <c r="A119" s="9"/>
      <c r="B119" s="187" t="s">
        <v>263</v>
      </c>
      <c r="C119" s="279">
        <v>200900</v>
      </c>
      <c r="D119" s="195"/>
      <c r="E119" s="269"/>
      <c r="F119" s="269"/>
      <c r="G119" s="269"/>
      <c r="H119" s="269"/>
      <c r="I119" s="269">
        <v>50400</v>
      </c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X119"/>
    </row>
    <row r="120" spans="1:24" s="310" customFormat="1" ht="25.5" customHeight="1">
      <c r="A120" s="9"/>
      <c r="B120" s="187" t="s">
        <v>315</v>
      </c>
      <c r="C120" s="279">
        <v>230300</v>
      </c>
      <c r="D120" s="195"/>
      <c r="E120" s="269"/>
      <c r="F120" s="269"/>
      <c r="G120" s="269"/>
      <c r="H120" s="269"/>
      <c r="I120" s="269">
        <v>55200</v>
      </c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X120"/>
    </row>
    <row r="121" spans="1:24" s="310" customFormat="1" ht="25.5" customHeight="1">
      <c r="A121" s="9"/>
      <c r="B121" s="187" t="s">
        <v>212</v>
      </c>
      <c r="C121" s="279">
        <v>171500</v>
      </c>
      <c r="D121" s="195"/>
      <c r="E121" s="269"/>
      <c r="F121" s="269"/>
      <c r="G121" s="269"/>
      <c r="H121" s="269"/>
      <c r="I121" s="269">
        <v>43200</v>
      </c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X121"/>
    </row>
    <row r="122" spans="1:24" s="310" customFormat="1" ht="25.5" customHeight="1">
      <c r="A122" s="9"/>
      <c r="B122" s="187" t="s">
        <v>140</v>
      </c>
      <c r="C122" s="279">
        <v>50000</v>
      </c>
      <c r="D122" s="195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X122"/>
    </row>
    <row r="123" spans="1:24" s="310" customFormat="1" ht="25.5" customHeight="1">
      <c r="A123" s="9"/>
      <c r="B123" s="187" t="s">
        <v>206</v>
      </c>
      <c r="C123" s="279">
        <v>20000</v>
      </c>
      <c r="D123" s="195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X123"/>
    </row>
    <row r="124" spans="1:24" s="310" customFormat="1" ht="25.5" customHeight="1">
      <c r="A124" s="9"/>
      <c r="B124" s="187" t="s">
        <v>326</v>
      </c>
      <c r="C124" s="279">
        <v>5000</v>
      </c>
      <c r="D124" s="195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X124"/>
    </row>
    <row r="125" spans="1:24" s="310" customFormat="1" ht="25.5" customHeight="1">
      <c r="A125" s="9"/>
      <c r="B125" s="187" t="s">
        <v>327</v>
      </c>
      <c r="C125" s="279">
        <v>5000</v>
      </c>
      <c r="D125" s="195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X125"/>
    </row>
    <row r="126" spans="1:24" s="310" customFormat="1" ht="25.5" customHeight="1">
      <c r="A126" s="9"/>
      <c r="B126" s="187" t="s">
        <v>142</v>
      </c>
      <c r="C126" s="279">
        <v>20000</v>
      </c>
      <c r="D126" s="195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X126"/>
    </row>
    <row r="127" spans="1:24" s="310" customFormat="1" ht="25.5" customHeight="1">
      <c r="A127" s="9"/>
      <c r="B127" s="226" t="s">
        <v>328</v>
      </c>
      <c r="C127" s="279">
        <v>10000</v>
      </c>
      <c r="D127" s="195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X127"/>
    </row>
    <row r="128" spans="1:24" s="310" customFormat="1" ht="25.5" customHeight="1">
      <c r="A128" s="9"/>
      <c r="B128" s="226" t="s">
        <v>329</v>
      </c>
      <c r="C128" s="279">
        <v>10000</v>
      </c>
      <c r="D128" s="131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X128"/>
    </row>
    <row r="129" spans="1:24" s="310" customFormat="1" ht="25.5" customHeight="1">
      <c r="A129" s="9"/>
      <c r="B129" s="226" t="s">
        <v>330</v>
      </c>
      <c r="C129" s="279">
        <v>10000</v>
      </c>
      <c r="D129" s="195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X129"/>
    </row>
    <row r="130" spans="1:24" s="310" customFormat="1" ht="25.5" customHeight="1">
      <c r="A130" s="9"/>
      <c r="B130" s="226" t="s">
        <v>331</v>
      </c>
      <c r="C130" s="279">
        <f>10000-10000</f>
        <v>0</v>
      </c>
      <c r="D130" s="195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X130"/>
    </row>
    <row r="131" spans="1:24" s="310" customFormat="1" ht="25.5" customHeight="1">
      <c r="A131" s="9"/>
      <c r="B131" s="226" t="s">
        <v>333</v>
      </c>
      <c r="C131" s="279">
        <v>15000</v>
      </c>
      <c r="D131" s="195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X131"/>
    </row>
    <row r="132" spans="1:24" s="310" customFormat="1" ht="25.5" customHeight="1">
      <c r="A132" s="9"/>
      <c r="B132" s="226" t="s">
        <v>157</v>
      </c>
      <c r="C132" s="279">
        <v>10000</v>
      </c>
      <c r="D132" s="195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X132"/>
    </row>
    <row r="133" spans="1:24" s="310" customFormat="1" ht="25.5" customHeight="1">
      <c r="A133" s="9"/>
      <c r="B133" s="226" t="s">
        <v>158</v>
      </c>
      <c r="C133" s="279">
        <v>10000</v>
      </c>
      <c r="D133" s="195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X133"/>
    </row>
    <row r="134" spans="1:24" s="310" customFormat="1" ht="25.5" customHeight="1">
      <c r="A134" s="9"/>
      <c r="B134" s="226" t="s">
        <v>352</v>
      </c>
      <c r="C134" s="279">
        <f>10000+10000-20000</f>
        <v>0</v>
      </c>
      <c r="D134" s="195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X134"/>
    </row>
    <row r="135" spans="1:24" s="310" customFormat="1" ht="25.5" customHeight="1">
      <c r="A135" s="9"/>
      <c r="B135" s="226" t="s">
        <v>213</v>
      </c>
      <c r="C135" s="279">
        <v>15000</v>
      </c>
      <c r="D135" s="195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X135"/>
    </row>
    <row r="136" spans="1:24" s="310" customFormat="1" ht="25.5" customHeight="1">
      <c r="A136" s="9"/>
      <c r="B136" s="226" t="s">
        <v>265</v>
      </c>
      <c r="C136" s="279">
        <f>20000-20000</f>
        <v>0</v>
      </c>
      <c r="D136" s="195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X136"/>
    </row>
    <row r="137" spans="1:24" s="310" customFormat="1" ht="25.5" customHeight="1">
      <c r="A137" s="9"/>
      <c r="B137" s="226" t="s">
        <v>353</v>
      </c>
      <c r="C137" s="279">
        <v>5000</v>
      </c>
      <c r="D137" s="195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X137"/>
    </row>
    <row r="138" spans="1:24" s="310" customFormat="1" ht="25.5" customHeight="1">
      <c r="A138" s="9"/>
      <c r="B138" s="226" t="s">
        <v>354</v>
      </c>
      <c r="C138" s="279">
        <v>10000</v>
      </c>
      <c r="D138" s="195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X138"/>
    </row>
    <row r="139" spans="1:24" s="310" customFormat="1" ht="25.5" customHeight="1">
      <c r="A139" s="9"/>
      <c r="B139" s="187" t="s">
        <v>355</v>
      </c>
      <c r="C139" s="279">
        <v>20000</v>
      </c>
      <c r="D139" s="195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X139"/>
    </row>
    <row r="140" spans="1:24" s="310" customFormat="1" ht="25.5" customHeight="1">
      <c r="A140" s="9"/>
      <c r="B140" s="187" t="s">
        <v>356</v>
      </c>
      <c r="C140" s="279">
        <v>20000</v>
      </c>
      <c r="D140" s="195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X140"/>
    </row>
    <row r="141" spans="1:24" s="310" customFormat="1" ht="25.5" customHeight="1">
      <c r="A141" s="9"/>
      <c r="B141" s="187" t="s">
        <v>357</v>
      </c>
      <c r="C141" s="279">
        <v>10000</v>
      </c>
      <c r="D141" s="195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X141"/>
    </row>
    <row r="142" spans="1:24" s="310" customFormat="1" ht="25.5" customHeight="1">
      <c r="A142" s="9"/>
      <c r="B142" s="187" t="s">
        <v>358</v>
      </c>
      <c r="C142" s="279">
        <v>10000</v>
      </c>
      <c r="D142" s="195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X142"/>
    </row>
    <row r="143" spans="1:24" s="310" customFormat="1" ht="25.5" customHeight="1">
      <c r="A143" s="9"/>
      <c r="B143" s="187" t="s">
        <v>359</v>
      </c>
      <c r="C143" s="279">
        <v>5000</v>
      </c>
      <c r="D143" s="195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X143"/>
    </row>
    <row r="144" spans="1:24" s="310" customFormat="1" ht="25.5" customHeight="1">
      <c r="A144" s="9"/>
      <c r="B144" s="187" t="s">
        <v>360</v>
      </c>
      <c r="C144" s="279">
        <v>5000</v>
      </c>
      <c r="D144" s="195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X144"/>
    </row>
    <row r="145" spans="1:24" s="310" customFormat="1" ht="25.5" customHeight="1">
      <c r="A145" s="9"/>
      <c r="B145" s="187" t="s">
        <v>361</v>
      </c>
      <c r="C145" s="279">
        <v>5000</v>
      </c>
      <c r="D145" s="195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X145"/>
    </row>
    <row r="146" spans="1:24" s="310" customFormat="1" ht="25.5" customHeight="1">
      <c r="A146" s="9"/>
      <c r="B146" s="187" t="s">
        <v>362</v>
      </c>
      <c r="C146" s="279">
        <v>5000</v>
      </c>
      <c r="D146" s="195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X146"/>
    </row>
    <row r="147" spans="1:24" s="310" customFormat="1" ht="25.5" customHeight="1">
      <c r="A147" s="9"/>
      <c r="B147" s="187" t="s">
        <v>363</v>
      </c>
      <c r="C147" s="279">
        <v>5000</v>
      </c>
      <c r="D147" s="131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X147"/>
    </row>
    <row r="148" spans="1:24" s="310" customFormat="1" ht="25.5" customHeight="1">
      <c r="A148" s="9"/>
      <c r="B148" s="187" t="s">
        <v>364</v>
      </c>
      <c r="C148" s="279">
        <v>5000</v>
      </c>
      <c r="D148" s="131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X148"/>
    </row>
    <row r="149" spans="1:24" s="310" customFormat="1" ht="25.5" customHeight="1">
      <c r="A149" s="9"/>
      <c r="B149" s="187" t="s">
        <v>365</v>
      </c>
      <c r="C149" s="279">
        <v>5000</v>
      </c>
      <c r="D149" s="131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X149"/>
    </row>
    <row r="150" spans="1:24" s="310" customFormat="1" ht="25.5" customHeight="1">
      <c r="A150" s="9"/>
      <c r="B150" s="187" t="s">
        <v>366</v>
      </c>
      <c r="C150" s="279">
        <v>5000</v>
      </c>
      <c r="D150" s="131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X150"/>
    </row>
    <row r="151" spans="1:24" s="310" customFormat="1" ht="25.5" customHeight="1">
      <c r="A151" s="9"/>
      <c r="B151" s="187" t="s">
        <v>367</v>
      </c>
      <c r="C151" s="279">
        <v>5000</v>
      </c>
      <c r="D151" s="131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X151"/>
    </row>
    <row r="152" spans="1:24" s="310" customFormat="1" ht="25.5" customHeight="1">
      <c r="A152" s="9"/>
      <c r="B152" s="187" t="s">
        <v>368</v>
      </c>
      <c r="C152" s="279">
        <v>5000</v>
      </c>
      <c r="D152" s="131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X152"/>
    </row>
    <row r="153" spans="1:24" s="310" customFormat="1" ht="25.5" customHeight="1">
      <c r="A153" s="9"/>
      <c r="B153" s="187" t="s">
        <v>369</v>
      </c>
      <c r="C153" s="279">
        <f>10000-10000</f>
        <v>0</v>
      </c>
      <c r="D153" s="131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X153"/>
    </row>
    <row r="154" spans="1:24" s="310" customFormat="1" ht="25.5" customHeight="1">
      <c r="A154" s="9"/>
      <c r="B154" s="187" t="s">
        <v>370</v>
      </c>
      <c r="C154" s="279">
        <v>10000</v>
      </c>
      <c r="D154" s="131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X154"/>
    </row>
    <row r="155" spans="1:24" s="310" customFormat="1" ht="25.5" customHeight="1">
      <c r="A155" s="9"/>
      <c r="B155" s="187" t="s">
        <v>163</v>
      </c>
      <c r="C155" s="279">
        <f>350000-156000-153000-11000-10000-20000</f>
        <v>0</v>
      </c>
      <c r="D155" s="131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X155"/>
    </row>
    <row r="156" spans="1:24" s="310" customFormat="1" ht="25.5" customHeight="1">
      <c r="A156" s="9"/>
      <c r="B156" s="187" t="s">
        <v>214</v>
      </c>
      <c r="C156" s="279">
        <v>25000</v>
      </c>
      <c r="D156" s="131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X156"/>
    </row>
    <row r="157" spans="1:24" s="310" customFormat="1" ht="25.5" customHeight="1">
      <c r="A157" s="9"/>
      <c r="B157" s="187" t="s">
        <v>167</v>
      </c>
      <c r="C157" s="279">
        <f>30000-30000</f>
        <v>0</v>
      </c>
      <c r="D157" s="131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X157"/>
    </row>
    <row r="158" spans="1:24" s="310" customFormat="1" ht="25.5" customHeight="1">
      <c r="A158" s="9"/>
      <c r="B158" s="187" t="s">
        <v>371</v>
      </c>
      <c r="C158" s="279">
        <v>30000</v>
      </c>
      <c r="D158" s="131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>
        <v>30000</v>
      </c>
      <c r="T158" s="269"/>
      <c r="U158" s="269"/>
      <c r="V158" s="269"/>
      <c r="X158"/>
    </row>
    <row r="159" spans="1:24" s="310" customFormat="1" ht="25.5" customHeight="1">
      <c r="A159" s="9"/>
      <c r="B159" s="187" t="s">
        <v>170</v>
      </c>
      <c r="C159" s="279">
        <v>40000</v>
      </c>
      <c r="D159" s="131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>
        <v>40000</v>
      </c>
      <c r="T159" s="269"/>
      <c r="U159" s="269"/>
      <c r="V159" s="269"/>
      <c r="X159"/>
    </row>
    <row r="160" spans="1:24" s="310" customFormat="1" ht="25.5" customHeight="1">
      <c r="A160" s="9"/>
      <c r="B160" s="187" t="s">
        <v>266</v>
      </c>
      <c r="C160" s="279">
        <v>15000</v>
      </c>
      <c r="D160" s="131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X160"/>
    </row>
    <row r="161" spans="1:24" s="310" customFormat="1" ht="25.5" customHeight="1">
      <c r="A161" s="9"/>
      <c r="B161" s="187" t="s">
        <v>372</v>
      </c>
      <c r="C161" s="279">
        <v>65000</v>
      </c>
      <c r="D161" s="131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X161"/>
    </row>
    <row r="162" spans="1:24" ht="25.5" customHeight="1">
      <c r="A162" s="9"/>
      <c r="B162" s="187" t="s">
        <v>373</v>
      </c>
      <c r="C162" s="279">
        <f>65000-65000</f>
        <v>0</v>
      </c>
      <c r="D162" s="131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</row>
    <row r="163" spans="1:24" ht="25.5" customHeight="1">
      <c r="A163" s="9"/>
      <c r="B163" s="187" t="s">
        <v>374</v>
      </c>
      <c r="C163" s="279">
        <v>20000</v>
      </c>
      <c r="D163" s="131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>
        <v>19500</v>
      </c>
      <c r="T163" s="269"/>
      <c r="U163" s="269"/>
      <c r="V163" s="269"/>
    </row>
    <row r="164" spans="1:24" ht="25.5" customHeight="1">
      <c r="A164" s="9"/>
      <c r="B164" s="187" t="s">
        <v>375</v>
      </c>
      <c r="C164" s="279">
        <v>20000</v>
      </c>
      <c r="D164" s="131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>
        <v>3500</v>
      </c>
      <c r="T164" s="269"/>
      <c r="U164" s="269"/>
      <c r="V164" s="269"/>
    </row>
    <row r="165" spans="1:24" ht="25.5" customHeight="1">
      <c r="A165" s="9"/>
      <c r="B165" s="187" t="s">
        <v>376</v>
      </c>
      <c r="C165" s="279">
        <v>25000</v>
      </c>
      <c r="D165" s="131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</row>
    <row r="166" spans="1:24" ht="25.5" customHeight="1">
      <c r="A166" s="9"/>
      <c r="B166" s="187" t="s">
        <v>377</v>
      </c>
      <c r="C166" s="279">
        <v>20000</v>
      </c>
      <c r="D166" s="131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</row>
    <row r="167" spans="1:24" ht="25.5" customHeight="1">
      <c r="A167" s="9"/>
      <c r="B167" s="187" t="s">
        <v>267</v>
      </c>
      <c r="C167" s="279">
        <v>15000</v>
      </c>
      <c r="D167" s="131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</row>
    <row r="168" spans="1:24" ht="25.5" customHeight="1">
      <c r="A168" s="9"/>
      <c r="B168" s="187" t="s">
        <v>215</v>
      </c>
      <c r="C168" s="279">
        <v>10000</v>
      </c>
      <c r="D168" s="131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</row>
    <row r="169" spans="1:24" ht="25.5" customHeight="1">
      <c r="A169" s="9"/>
      <c r="B169" s="187" t="s">
        <v>268</v>
      </c>
      <c r="C169" s="279">
        <v>5000</v>
      </c>
      <c r="D169" s="131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</row>
    <row r="170" spans="1:24" ht="25.5" customHeight="1">
      <c r="A170" s="9"/>
      <c r="B170" s="187" t="s">
        <v>413</v>
      </c>
      <c r="C170" s="279">
        <v>140000</v>
      </c>
      <c r="D170" s="131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321"/>
    </row>
    <row r="171" spans="1:24" ht="25.5" customHeight="1">
      <c r="A171" s="9"/>
      <c r="B171" s="187" t="s">
        <v>414</v>
      </c>
      <c r="C171" s="279">
        <v>40000</v>
      </c>
      <c r="D171" s="131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</row>
    <row r="172" spans="1:24" ht="25.5" customHeight="1">
      <c r="A172" s="9"/>
      <c r="B172" s="187" t="s">
        <v>415</v>
      </c>
      <c r="C172" s="279">
        <v>20000</v>
      </c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321"/>
    </row>
    <row r="173" spans="1:24" ht="25.5" customHeight="1">
      <c r="A173" s="9"/>
      <c r="B173" s="187" t="s">
        <v>330</v>
      </c>
      <c r="C173" s="279"/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</row>
    <row r="174" spans="1:24" ht="25.5" customHeight="1">
      <c r="A174" s="9"/>
      <c r="B174" s="187"/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4" ht="25.5" customHeight="1" thickBot="1">
      <c r="A175" s="15"/>
      <c r="B175" s="14" t="s">
        <v>5</v>
      </c>
      <c r="C175" s="170">
        <f>SUM(C50:C174)</f>
        <v>6052700</v>
      </c>
      <c r="D175" s="255">
        <f t="shared" ref="D175:V175" si="4">SUM(D50:D174)</f>
        <v>0</v>
      </c>
      <c r="E175" s="254">
        <f>SUM(E50:E174)</f>
        <v>187237</v>
      </c>
      <c r="F175" s="254">
        <f>SUM(F50:F174)</f>
        <v>7000</v>
      </c>
      <c r="G175" s="254">
        <f t="shared" si="4"/>
        <v>11520</v>
      </c>
      <c r="H175" s="254">
        <f>SUM(H50:H174)</f>
        <v>59220</v>
      </c>
      <c r="I175" s="255">
        <f>SUM(I50:I174)</f>
        <v>247400</v>
      </c>
      <c r="J175" s="255">
        <f t="shared" si="4"/>
        <v>0</v>
      </c>
      <c r="K175" s="255">
        <f t="shared" si="4"/>
        <v>0</v>
      </c>
      <c r="L175" s="255">
        <f t="shared" si="4"/>
        <v>0</v>
      </c>
      <c r="M175" s="254">
        <f>SUM(M50:M174)</f>
        <v>37500</v>
      </c>
      <c r="N175" s="255">
        <f t="shared" si="4"/>
        <v>0</v>
      </c>
      <c r="O175" s="255">
        <f t="shared" si="4"/>
        <v>0</v>
      </c>
      <c r="P175" s="255">
        <f>SUM(P50:P174)</f>
        <v>0</v>
      </c>
      <c r="Q175" s="255">
        <f t="shared" si="4"/>
        <v>0</v>
      </c>
      <c r="R175" s="255">
        <f t="shared" si="4"/>
        <v>0</v>
      </c>
      <c r="S175" s="255">
        <f t="shared" si="4"/>
        <v>93000</v>
      </c>
      <c r="T175" s="255"/>
      <c r="U175" s="255">
        <f t="shared" si="4"/>
        <v>0</v>
      </c>
      <c r="V175" s="255">
        <f t="shared" si="4"/>
        <v>0</v>
      </c>
      <c r="W175" s="314">
        <f>SUM(D175:V175)</f>
        <v>642877</v>
      </c>
    </row>
    <row r="176" spans="1:24" ht="25.5" customHeight="1" thickTop="1">
      <c r="A176" s="3" t="s">
        <v>113</v>
      </c>
      <c r="B176" s="4"/>
      <c r="C176" s="287"/>
      <c r="D176" s="133"/>
      <c r="E176" s="269"/>
      <c r="F176" s="136"/>
      <c r="G176" s="136"/>
      <c r="H176" s="136"/>
      <c r="I176" s="133"/>
      <c r="J176" s="133"/>
      <c r="K176" s="133"/>
      <c r="L176" s="133"/>
      <c r="M176" s="136"/>
      <c r="N176" s="133"/>
      <c r="O176" s="133"/>
      <c r="P176" s="133"/>
      <c r="Q176" s="133"/>
      <c r="R176" s="258"/>
      <c r="S176" s="259"/>
      <c r="T176" s="259"/>
      <c r="U176" s="258"/>
      <c r="V176" s="258"/>
    </row>
    <row r="177" spans="1:23" ht="25.5" customHeight="1">
      <c r="A177" s="9"/>
      <c r="B177" s="130" t="s">
        <v>111</v>
      </c>
      <c r="C177" s="216">
        <f>50000+25000+5000+25000+10000+10000-8000</f>
        <v>117000</v>
      </c>
      <c r="D177" s="131"/>
      <c r="E177" s="267">
        <v>10355</v>
      </c>
      <c r="F177" s="267">
        <v>3604</v>
      </c>
      <c r="G177" s="267"/>
      <c r="H177" s="267">
        <v>5935</v>
      </c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</row>
    <row r="178" spans="1:23" s="67" customFormat="1" ht="25.5" customHeight="1">
      <c r="A178" s="9"/>
      <c r="B178" s="130" t="s">
        <v>302</v>
      </c>
      <c r="C178" s="216">
        <v>10000</v>
      </c>
      <c r="D178" s="131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312"/>
    </row>
    <row r="179" spans="1:23" s="67" customFormat="1" ht="25.5" customHeight="1">
      <c r="A179" s="9"/>
      <c r="B179" s="130" t="s">
        <v>16</v>
      </c>
      <c r="C179" s="216">
        <f>8000+200000+5000</f>
        <v>213000</v>
      </c>
      <c r="D179" s="131"/>
      <c r="E179" s="267"/>
      <c r="F179" s="267"/>
      <c r="G179" s="267"/>
      <c r="H179" s="267">
        <v>1370</v>
      </c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312"/>
    </row>
    <row r="180" spans="1:23" s="67" customFormat="1" ht="25.5" customHeight="1">
      <c r="A180" s="9"/>
      <c r="B180" s="130" t="s">
        <v>12</v>
      </c>
      <c r="C180" s="216">
        <f>15000+10000</f>
        <v>25000</v>
      </c>
      <c r="D180" s="131"/>
      <c r="E180" s="267">
        <v>1920</v>
      </c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312"/>
    </row>
    <row r="181" spans="1:23" ht="25.5" customHeight="1">
      <c r="A181" s="9"/>
      <c r="B181" s="130" t="s">
        <v>17</v>
      </c>
      <c r="C181" s="216">
        <f>15000+25000+20000-10000+8000</f>
        <v>58000</v>
      </c>
      <c r="D181" s="133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</row>
    <row r="182" spans="1:23" ht="25.5" customHeight="1">
      <c r="A182" s="9"/>
      <c r="B182" s="130" t="s">
        <v>13</v>
      </c>
      <c r="C182" s="216">
        <v>15000</v>
      </c>
      <c r="D182" s="131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</row>
    <row r="183" spans="1:23" ht="25.5" customHeight="1">
      <c r="A183" s="9"/>
      <c r="B183" s="130" t="s">
        <v>14</v>
      </c>
      <c r="C183" s="216">
        <f>240000+5000+20000</f>
        <v>265000</v>
      </c>
      <c r="D183" s="133"/>
      <c r="E183" s="267">
        <v>15435</v>
      </c>
      <c r="F183" s="267">
        <v>61</v>
      </c>
      <c r="G183" s="267"/>
      <c r="H183" s="267"/>
      <c r="I183" s="267"/>
      <c r="J183" s="267"/>
      <c r="K183" s="267"/>
      <c r="L183" s="267"/>
      <c r="M183" s="267">
        <v>714.65</v>
      </c>
      <c r="N183" s="267"/>
      <c r="O183" s="267"/>
      <c r="P183" s="267"/>
      <c r="Q183" s="267"/>
      <c r="R183" s="267"/>
      <c r="S183" s="267"/>
      <c r="T183" s="267"/>
      <c r="U183" s="267"/>
      <c r="V183" s="267"/>
    </row>
    <row r="184" spans="1:23" ht="25.5" customHeight="1">
      <c r="A184" s="9"/>
      <c r="B184" s="130" t="s">
        <v>112</v>
      </c>
      <c r="C184" s="216">
        <f>5000+5000+5000</f>
        <v>15000</v>
      </c>
      <c r="D184" s="133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</row>
    <row r="185" spans="1:23" ht="25.5" customHeight="1">
      <c r="A185" s="9"/>
      <c r="B185" s="130" t="s">
        <v>208</v>
      </c>
      <c r="C185" s="216">
        <v>5000</v>
      </c>
      <c r="D185" s="133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</row>
    <row r="186" spans="1:23" ht="25.5" customHeight="1">
      <c r="A186" s="9"/>
      <c r="B186" s="130" t="s">
        <v>15</v>
      </c>
      <c r="C186" s="216">
        <f>40000+15000+15000+40000</f>
        <v>110000</v>
      </c>
      <c r="D186" s="195"/>
      <c r="E186" s="267">
        <v>11800</v>
      </c>
      <c r="F186" s="267"/>
      <c r="G186" s="267"/>
      <c r="H186" s="267">
        <v>9020</v>
      </c>
      <c r="I186" s="267"/>
      <c r="J186" s="267"/>
      <c r="K186" s="267"/>
      <c r="L186" s="267"/>
      <c r="M186" s="267">
        <v>14700</v>
      </c>
      <c r="N186" s="267"/>
      <c r="O186" s="267"/>
      <c r="P186" s="267"/>
      <c r="Q186" s="267"/>
      <c r="R186" s="267"/>
      <c r="S186" s="267"/>
      <c r="T186" s="267"/>
      <c r="U186" s="267"/>
      <c r="V186" s="267"/>
    </row>
    <row r="187" spans="1:23" ht="25.5" customHeight="1">
      <c r="A187" s="9"/>
      <c r="B187" s="130" t="s">
        <v>303</v>
      </c>
      <c r="C187" s="216">
        <v>10000</v>
      </c>
      <c r="D187" s="195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</row>
    <row r="188" spans="1:23" ht="25.5" customHeight="1">
      <c r="A188" s="9"/>
      <c r="B188" s="130" t="s">
        <v>304</v>
      </c>
      <c r="C188" s="216">
        <f>5000+20000</f>
        <v>25000</v>
      </c>
      <c r="D188" s="195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</row>
    <row r="189" spans="1:23" ht="25.5" customHeight="1">
      <c r="A189" s="9"/>
      <c r="B189" s="130" t="s">
        <v>332</v>
      </c>
      <c r="C189" s="216">
        <v>10000</v>
      </c>
      <c r="D189" s="195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</row>
    <row r="190" spans="1:23" ht="25.5" customHeight="1">
      <c r="A190" s="9"/>
      <c r="B190" s="130" t="s">
        <v>46</v>
      </c>
      <c r="C190" s="216">
        <v>80000</v>
      </c>
      <c r="D190" s="195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</row>
    <row r="191" spans="1:23" ht="25.5" customHeight="1">
      <c r="A191" s="9"/>
      <c r="B191" s="130" t="s">
        <v>316</v>
      </c>
      <c r="C191" s="216">
        <v>413900</v>
      </c>
      <c r="D191" s="131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</row>
    <row r="192" spans="1:23" ht="25.5" customHeight="1">
      <c r="A192" s="9"/>
      <c r="B192" s="130" t="s">
        <v>317</v>
      </c>
      <c r="C192" s="290">
        <v>525039</v>
      </c>
      <c r="D192" s="133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</row>
    <row r="193" spans="1:23" ht="25.5" customHeight="1">
      <c r="A193" s="9"/>
      <c r="B193" s="130" t="s">
        <v>318</v>
      </c>
      <c r="C193" s="216">
        <v>277849</v>
      </c>
      <c r="D193" s="133"/>
      <c r="E193" s="267"/>
      <c r="F193" s="267"/>
      <c r="G193" s="267"/>
      <c r="H193" s="267"/>
      <c r="I193" s="324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</row>
    <row r="194" spans="1:23" ht="25.5" customHeight="1">
      <c r="A194" s="9"/>
      <c r="B194" s="185" t="s">
        <v>319</v>
      </c>
      <c r="C194" s="216">
        <v>153296</v>
      </c>
      <c r="D194" s="133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</row>
    <row r="195" spans="1:23" ht="25.5" customHeight="1">
      <c r="A195" s="9"/>
      <c r="B195" s="185" t="s">
        <v>320</v>
      </c>
      <c r="C195" s="216">
        <v>78565</v>
      </c>
      <c r="D195" s="133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</row>
    <row r="196" spans="1:23" ht="25.5" customHeight="1">
      <c r="A196" s="9"/>
      <c r="B196" s="185" t="s">
        <v>321</v>
      </c>
      <c r="C196" s="216">
        <v>90062</v>
      </c>
      <c r="D196" s="133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</row>
    <row r="197" spans="1:23" ht="25.5" customHeight="1">
      <c r="A197" s="165"/>
      <c r="B197" s="185" t="s">
        <v>322</v>
      </c>
      <c r="C197" s="216">
        <v>67067</v>
      </c>
      <c r="D197" s="133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</row>
    <row r="198" spans="1:23" ht="25.5" customHeight="1">
      <c r="A198" s="9"/>
      <c r="B198" s="185"/>
      <c r="C198" s="216"/>
      <c r="D198" s="133"/>
      <c r="E198" s="269"/>
      <c r="F198" s="136"/>
      <c r="G198" s="136"/>
      <c r="H198" s="136"/>
      <c r="I198" s="133"/>
      <c r="J198" s="133"/>
      <c r="K198" s="133"/>
      <c r="L198" s="133"/>
      <c r="M198" s="136"/>
      <c r="N198" s="133"/>
      <c r="O198" s="133"/>
      <c r="P198" s="133"/>
      <c r="Q198" s="133"/>
      <c r="R198" s="217"/>
      <c r="S198" s="219"/>
      <c r="T198" s="219"/>
      <c r="U198" s="217"/>
      <c r="V198" s="217"/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30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197"/>
      <c r="B202" s="198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 thickBot="1">
      <c r="A203" s="46"/>
      <c r="B203" s="47" t="s">
        <v>5</v>
      </c>
      <c r="C203" s="170">
        <f>SUM(C177:C202)</f>
        <v>2563778</v>
      </c>
      <c r="D203" s="255">
        <f>SUM(D177:D202)</f>
        <v>0</v>
      </c>
      <c r="E203" s="254">
        <f>SUM(E177:E202)</f>
        <v>39510</v>
      </c>
      <c r="F203" s="254">
        <f>SUM(F177:F202)</f>
        <v>3665</v>
      </c>
      <c r="G203" s="254">
        <f t="shared" ref="G203:V203" si="5">SUM(G177:G202)</f>
        <v>0</v>
      </c>
      <c r="H203" s="254">
        <f>SUM(H177:H202)</f>
        <v>16325</v>
      </c>
      <c r="I203" s="255">
        <f>SUM(I177:I202)</f>
        <v>0</v>
      </c>
      <c r="J203" s="255">
        <f t="shared" si="5"/>
        <v>0</v>
      </c>
      <c r="K203" s="255">
        <f t="shared" si="5"/>
        <v>0</v>
      </c>
      <c r="L203" s="255">
        <f t="shared" si="5"/>
        <v>0</v>
      </c>
      <c r="M203" s="254">
        <f>SUM(M177:M202)</f>
        <v>15414.65</v>
      </c>
      <c r="N203" s="255">
        <f t="shared" si="5"/>
        <v>0</v>
      </c>
      <c r="O203" s="255">
        <f t="shared" si="5"/>
        <v>0</v>
      </c>
      <c r="P203" s="255">
        <f t="shared" si="5"/>
        <v>0</v>
      </c>
      <c r="Q203" s="255">
        <f t="shared" si="5"/>
        <v>0</v>
      </c>
      <c r="R203" s="255">
        <f t="shared" si="5"/>
        <v>0</v>
      </c>
      <c r="S203" s="255">
        <f t="shared" si="5"/>
        <v>0</v>
      </c>
      <c r="T203" s="255"/>
      <c r="U203" s="255">
        <f t="shared" si="5"/>
        <v>0</v>
      </c>
      <c r="V203" s="255">
        <f t="shared" si="5"/>
        <v>0</v>
      </c>
      <c r="W203" s="314">
        <f>SUM(D203:V203)</f>
        <v>74914.649999999994</v>
      </c>
    </row>
    <row r="204" spans="1:23" ht="25.5" customHeight="1" thickTop="1">
      <c r="A204" s="5" t="s">
        <v>114</v>
      </c>
      <c r="B204" s="6"/>
      <c r="C204" s="190"/>
      <c r="D204" s="133"/>
      <c r="E204" s="269"/>
      <c r="F204" s="136"/>
      <c r="G204" s="136"/>
      <c r="H204" s="136"/>
      <c r="I204" s="133"/>
      <c r="J204" s="133"/>
      <c r="K204" s="133"/>
      <c r="L204" s="133"/>
      <c r="M204" s="136"/>
      <c r="N204" s="133"/>
      <c r="O204" s="133"/>
      <c r="P204" s="133"/>
      <c r="Q204" s="133"/>
      <c r="R204" s="258"/>
      <c r="S204" s="259"/>
      <c r="T204" s="259"/>
      <c r="U204" s="258"/>
      <c r="V204" s="258"/>
    </row>
    <row r="205" spans="1:23" ht="25.5" customHeight="1">
      <c r="A205" s="9"/>
      <c r="B205" s="130" t="s">
        <v>20</v>
      </c>
      <c r="C205" s="216">
        <f>240000+35000</f>
        <v>275000</v>
      </c>
      <c r="D205" s="261"/>
      <c r="E205" s="269">
        <v>23519.16</v>
      </c>
      <c r="F205" s="269"/>
      <c r="G205" s="269"/>
      <c r="H205" s="269">
        <v>3015.06</v>
      </c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</row>
    <row r="206" spans="1:23" ht="25.5" customHeight="1">
      <c r="A206" s="9"/>
      <c r="B206" s="130" t="s">
        <v>283</v>
      </c>
      <c r="C206" s="216">
        <f>100000+12000</f>
        <v>112000</v>
      </c>
      <c r="D206" s="261"/>
      <c r="E206" s="269">
        <v>6973.95</v>
      </c>
      <c r="F206" s="269"/>
      <c r="G206" s="269"/>
      <c r="H206" s="269">
        <v>1000</v>
      </c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</row>
    <row r="207" spans="1:23" ht="25.5" customHeight="1">
      <c r="A207" s="9"/>
      <c r="B207" s="130" t="s">
        <v>284</v>
      </c>
      <c r="C207" s="216">
        <v>15000</v>
      </c>
      <c r="D207" s="131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</row>
    <row r="208" spans="1:23" ht="25.5" customHeight="1">
      <c r="A208" s="9"/>
      <c r="B208" s="130" t="s">
        <v>285</v>
      </c>
      <c r="C208" s="216">
        <f>72000+32000+16100</f>
        <v>120100</v>
      </c>
      <c r="D208" s="131"/>
      <c r="E208" s="269">
        <v>5911.75</v>
      </c>
      <c r="F208" s="269"/>
      <c r="G208" s="269"/>
      <c r="H208" s="269">
        <v>2632.2</v>
      </c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</row>
    <row r="209" spans="1:23" ht="25.5" customHeight="1" thickBot="1">
      <c r="A209" s="15"/>
      <c r="B209" s="14" t="s">
        <v>5</v>
      </c>
      <c r="C209" s="170">
        <f>SUM(C205:C208)</f>
        <v>522100</v>
      </c>
      <c r="D209" s="132"/>
      <c r="E209" s="268">
        <f>SUM(E205:E208)</f>
        <v>36404.86</v>
      </c>
      <c r="F209" s="137"/>
      <c r="G209" s="137"/>
      <c r="H209" s="137">
        <f>SUM(H205:H208)</f>
        <v>6647.26</v>
      </c>
      <c r="I209" s="132"/>
      <c r="J209" s="132"/>
      <c r="K209" s="132"/>
      <c r="L209" s="132"/>
      <c r="M209" s="137"/>
      <c r="N209" s="132"/>
      <c r="O209" s="132"/>
      <c r="P209" s="132"/>
      <c r="Q209" s="132"/>
      <c r="R209" s="307"/>
      <c r="S209" s="308"/>
      <c r="T209" s="308"/>
      <c r="U209" s="307"/>
      <c r="V209" s="307"/>
      <c r="W209" s="318">
        <f>SUM(D209:V209)</f>
        <v>43052.12</v>
      </c>
    </row>
    <row r="210" spans="1:23" ht="25.5" customHeight="1" thickTop="1">
      <c r="A210" s="3" t="s">
        <v>122</v>
      </c>
      <c r="B210" s="4"/>
      <c r="C210" s="287"/>
      <c r="D210" s="133"/>
      <c r="E210" s="305"/>
      <c r="F210" s="306"/>
      <c r="G210" s="306"/>
      <c r="H210" s="306"/>
      <c r="I210" s="133"/>
      <c r="J210" s="133"/>
      <c r="K210" s="133"/>
      <c r="L210" s="133"/>
      <c r="M210" s="136"/>
      <c r="N210" s="133"/>
      <c r="O210" s="133"/>
      <c r="P210" s="133"/>
      <c r="Q210" s="133"/>
      <c r="R210" s="258"/>
      <c r="S210" s="259"/>
      <c r="T210" s="259"/>
      <c r="U210" s="258"/>
      <c r="V210" s="258"/>
    </row>
    <row r="211" spans="1:23" ht="25.5" customHeight="1">
      <c r="A211" s="169"/>
      <c r="B211" s="185" t="s">
        <v>323</v>
      </c>
      <c r="C211" s="190">
        <v>864000</v>
      </c>
      <c r="D211" s="131"/>
      <c r="E211" s="267"/>
      <c r="F211" s="267"/>
      <c r="G211" s="267"/>
      <c r="H211" s="267"/>
      <c r="I211" s="267">
        <v>224000</v>
      </c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</row>
    <row r="212" spans="1:23" ht="25.5" customHeight="1">
      <c r="A212" s="169"/>
      <c r="B212" s="185" t="s">
        <v>324</v>
      </c>
      <c r="C212" s="190">
        <v>1096000</v>
      </c>
      <c r="D212" s="131"/>
      <c r="E212" s="267"/>
      <c r="F212" s="267"/>
      <c r="G212" s="267"/>
      <c r="H212" s="267"/>
      <c r="I212" s="267">
        <v>276000</v>
      </c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</row>
    <row r="213" spans="1:23" ht="25.5" customHeight="1">
      <c r="A213" s="169"/>
      <c r="B213" s="185" t="s">
        <v>325</v>
      </c>
      <c r="C213" s="190">
        <v>580000</v>
      </c>
      <c r="D213" s="133"/>
      <c r="E213" s="267"/>
      <c r="F213" s="267"/>
      <c r="G213" s="267"/>
      <c r="H213" s="267"/>
      <c r="I213" s="267">
        <v>140000</v>
      </c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</row>
    <row r="214" spans="1:23" ht="25.5" customHeight="1">
      <c r="A214" s="169"/>
      <c r="B214" s="185" t="s">
        <v>351</v>
      </c>
      <c r="C214" s="190">
        <v>223000</v>
      </c>
      <c r="D214" s="133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</row>
    <row r="215" spans="1:23" ht="25.5" customHeight="1">
      <c r="A215" s="169"/>
      <c r="B215" s="185"/>
      <c r="C215" s="190"/>
      <c r="D215" s="133"/>
      <c r="E215" s="269"/>
      <c r="F215" s="136"/>
      <c r="G215" s="136"/>
      <c r="H215" s="136"/>
      <c r="I215" s="133"/>
      <c r="J215" s="133"/>
      <c r="K215" s="133"/>
      <c r="L215" s="133"/>
      <c r="M215" s="136"/>
      <c r="N215" s="133"/>
      <c r="O215" s="133"/>
      <c r="P215" s="133"/>
      <c r="Q215" s="133"/>
      <c r="R215" s="258"/>
      <c r="S215" s="259"/>
      <c r="T215" s="259"/>
      <c r="U215" s="258"/>
      <c r="V215" s="258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5"/>
      <c r="B218" s="185"/>
      <c r="C218" s="216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30"/>
      <c r="C219" s="285"/>
      <c r="D219" s="131"/>
      <c r="E219" s="267"/>
      <c r="F219" s="135"/>
      <c r="G219" s="135"/>
      <c r="H219" s="135"/>
      <c r="I219" s="131"/>
      <c r="J219" s="131"/>
      <c r="K219" s="131"/>
      <c r="L219" s="131"/>
      <c r="M219" s="135"/>
      <c r="N219" s="131"/>
      <c r="O219" s="131"/>
      <c r="P219" s="131"/>
      <c r="Q219" s="131"/>
      <c r="R219" s="217"/>
      <c r="S219" s="219"/>
      <c r="T219" s="219"/>
      <c r="U219" s="217"/>
      <c r="V219" s="217"/>
    </row>
    <row r="220" spans="1:23" ht="25.5" customHeight="1" thickBot="1">
      <c r="A220" s="15"/>
      <c r="B220" s="14" t="s">
        <v>5</v>
      </c>
      <c r="C220" s="170">
        <f>SUM(C211:C219)</f>
        <v>2763000</v>
      </c>
      <c r="D220" s="255">
        <f>SUM(D211:D219)</f>
        <v>0</v>
      </c>
      <c r="E220" s="254">
        <f t="shared" ref="E220:V220" si="6">SUM(E211:E219)</f>
        <v>0</v>
      </c>
      <c r="F220" s="254">
        <f t="shared" si="6"/>
        <v>0</v>
      </c>
      <c r="G220" s="254">
        <f t="shared" si="6"/>
        <v>0</v>
      </c>
      <c r="H220" s="254">
        <f t="shared" si="6"/>
        <v>0</v>
      </c>
      <c r="I220" s="255">
        <f>SUM(I211:I219)</f>
        <v>640000</v>
      </c>
      <c r="J220" s="255">
        <f t="shared" si="6"/>
        <v>0</v>
      </c>
      <c r="K220" s="255">
        <f t="shared" si="6"/>
        <v>0</v>
      </c>
      <c r="L220" s="255">
        <f t="shared" si="6"/>
        <v>0</v>
      </c>
      <c r="M220" s="254">
        <f t="shared" si="6"/>
        <v>0</v>
      </c>
      <c r="N220" s="255">
        <f t="shared" si="6"/>
        <v>0</v>
      </c>
      <c r="O220" s="255">
        <f t="shared" si="6"/>
        <v>0</v>
      </c>
      <c r="P220" s="255">
        <f t="shared" si="6"/>
        <v>0</v>
      </c>
      <c r="Q220" s="255">
        <f t="shared" si="6"/>
        <v>0</v>
      </c>
      <c r="R220" s="255">
        <f t="shared" si="6"/>
        <v>0</v>
      </c>
      <c r="S220" s="255">
        <f t="shared" si="6"/>
        <v>0</v>
      </c>
      <c r="T220" s="255"/>
      <c r="U220" s="255">
        <f t="shared" si="6"/>
        <v>0</v>
      </c>
      <c r="V220" s="255">
        <f t="shared" si="6"/>
        <v>0</v>
      </c>
      <c r="W220" s="314">
        <f>SUM(D220:V220)</f>
        <v>640000</v>
      </c>
    </row>
    <row r="221" spans="1:23" ht="25.5" customHeight="1" thickTop="1">
      <c r="A221" s="20" t="s">
        <v>71</v>
      </c>
      <c r="B221" s="82"/>
      <c r="C221" s="291"/>
      <c r="D221" s="133"/>
      <c r="E221" s="269"/>
      <c r="F221" s="136"/>
      <c r="G221" s="136"/>
      <c r="H221" s="136"/>
      <c r="I221" s="133"/>
      <c r="J221" s="133"/>
      <c r="K221" s="133"/>
      <c r="L221" s="133"/>
      <c r="M221" s="136"/>
      <c r="N221" s="133"/>
      <c r="O221" s="133"/>
      <c r="P221" s="133"/>
      <c r="Q221" s="133"/>
      <c r="R221" s="258"/>
      <c r="S221" s="259"/>
      <c r="T221" s="259"/>
      <c r="U221" s="258"/>
      <c r="V221" s="258"/>
    </row>
    <row r="222" spans="1:23" ht="25.5" customHeight="1">
      <c r="A222" s="66"/>
      <c r="B222" s="96"/>
      <c r="C222" s="216"/>
      <c r="D222" s="131"/>
      <c r="E222" s="267"/>
      <c r="F222" s="135"/>
      <c r="G222" s="135"/>
      <c r="H222" s="135"/>
      <c r="I222" s="131"/>
      <c r="J222" s="131"/>
      <c r="K222" s="131"/>
      <c r="L222" s="131"/>
      <c r="M222" s="135"/>
      <c r="N222" s="131"/>
      <c r="O222" s="131"/>
      <c r="P222" s="131"/>
      <c r="Q222" s="131"/>
      <c r="R222" s="217"/>
      <c r="S222" s="219"/>
      <c r="T222" s="219"/>
      <c r="U222" s="217"/>
      <c r="V222" s="217"/>
    </row>
    <row r="223" spans="1:23" ht="25.5" customHeight="1" thickBot="1">
      <c r="A223" s="167"/>
      <c r="B223" s="95" t="s">
        <v>5</v>
      </c>
      <c r="C223" s="292">
        <f>SUM(C221:C222)</f>
        <v>0</v>
      </c>
      <c r="D223" s="255"/>
      <c r="E223" s="271"/>
      <c r="F223" s="254"/>
      <c r="G223" s="254"/>
      <c r="H223" s="254"/>
      <c r="I223" s="255"/>
      <c r="J223" s="255"/>
      <c r="K223" s="255"/>
      <c r="L223" s="255"/>
      <c r="M223" s="254"/>
      <c r="N223" s="255"/>
      <c r="O223" s="255"/>
      <c r="P223" s="255"/>
      <c r="Q223" s="255"/>
      <c r="R223" s="256"/>
      <c r="S223" s="257"/>
      <c r="T223" s="257"/>
      <c r="U223" s="256"/>
      <c r="V223" s="256"/>
    </row>
    <row r="224" spans="1:23" ht="25.5" customHeight="1" thickTop="1">
      <c r="A224" s="20" t="s">
        <v>115</v>
      </c>
      <c r="B224" s="284"/>
      <c r="C224" s="293"/>
      <c r="D224" s="133"/>
      <c r="E224" s="269"/>
      <c r="F224" s="136"/>
      <c r="G224" s="136"/>
      <c r="H224" s="136"/>
      <c r="I224" s="133"/>
      <c r="J224" s="133"/>
      <c r="K224" s="133"/>
      <c r="L224" s="133"/>
      <c r="M224" s="136"/>
      <c r="N224" s="133"/>
      <c r="O224" s="133"/>
      <c r="P224" s="133"/>
      <c r="Q224" s="133"/>
      <c r="R224" s="258"/>
      <c r="S224" s="259"/>
      <c r="T224" s="259"/>
      <c r="U224" s="258"/>
      <c r="V224" s="258"/>
    </row>
    <row r="225" spans="1:24" ht="25.5" customHeight="1">
      <c r="A225" s="20"/>
      <c r="B225" s="252" t="s">
        <v>291</v>
      </c>
      <c r="C225" s="293"/>
      <c r="D225" s="131"/>
      <c r="E225" s="267"/>
      <c r="F225" s="135"/>
      <c r="G225" s="135"/>
      <c r="H225" s="135"/>
      <c r="I225" s="131"/>
      <c r="J225" s="131"/>
      <c r="K225" s="131"/>
      <c r="L225" s="131"/>
      <c r="M225" s="135"/>
      <c r="N225" s="131"/>
      <c r="O225" s="131"/>
      <c r="P225" s="131"/>
      <c r="Q225" s="131"/>
      <c r="R225" s="217"/>
      <c r="S225" s="219"/>
      <c r="T225" s="219"/>
      <c r="U225" s="217"/>
      <c r="V225" s="217"/>
    </row>
    <row r="226" spans="1:24" s="310" customFormat="1" ht="25.5" customHeight="1">
      <c r="A226" s="20"/>
      <c r="B226" s="186" t="s">
        <v>286</v>
      </c>
      <c r="C226" s="294">
        <v>10000</v>
      </c>
      <c r="D226" s="131"/>
      <c r="E226" s="267">
        <f>+'ต.ค. '!E227+พ.ย.!E227+ธ.ค.!E227</f>
        <v>0</v>
      </c>
      <c r="F226" s="267">
        <f>+'ต.ค. '!F227+พ.ย.!F227+ธ.ค.!F227</f>
        <v>0</v>
      </c>
      <c r="G226" s="267">
        <f>+'ต.ค. '!G227+พ.ย.!G227+ธ.ค.!G227</f>
        <v>0</v>
      </c>
      <c r="H226" s="267">
        <f>+'ต.ค. '!H227+พ.ย.!H227+ธ.ค.!H227</f>
        <v>0</v>
      </c>
      <c r="I226" s="267">
        <f>+'ต.ค. '!I227+พ.ย.!I227+ธ.ค.!I227</f>
        <v>0</v>
      </c>
      <c r="J226" s="267">
        <f>+'ต.ค. '!J227+พ.ย.!J227+ธ.ค.!J227</f>
        <v>0</v>
      </c>
      <c r="K226" s="267">
        <f>+'ต.ค. '!K227+พ.ย.!K227+ธ.ค.!K227</f>
        <v>0</v>
      </c>
      <c r="L226" s="267">
        <f>+'ต.ค. '!L227+พ.ย.!L227+ธ.ค.!L227</f>
        <v>0</v>
      </c>
      <c r="M226" s="267">
        <f>+'ต.ค. '!M227+พ.ย.!M227+ธ.ค.!M227</f>
        <v>0</v>
      </c>
      <c r="N226" s="267">
        <f>+'ต.ค. '!N227+พ.ย.!N227+ธ.ค.!N227</f>
        <v>0</v>
      </c>
      <c r="O226" s="267">
        <f>+'ต.ค. '!O227+พ.ย.!O227+ธ.ค.!O227</f>
        <v>0</v>
      </c>
      <c r="P226" s="267">
        <f>+'ต.ค. '!P227+พ.ย.!P227+ธ.ค.!P227</f>
        <v>0</v>
      </c>
      <c r="Q226" s="267">
        <f>+'ต.ค. '!Q227+พ.ย.!Q227+ธ.ค.!Q227</f>
        <v>0</v>
      </c>
      <c r="R226" s="267">
        <f>+'ต.ค. '!R227+พ.ย.!R227+ธ.ค.!R227</f>
        <v>0</v>
      </c>
      <c r="S226" s="267">
        <f>+'ต.ค. '!S227+พ.ย.!S227+ธ.ค.!S227</f>
        <v>0</v>
      </c>
      <c r="T226" s="267"/>
      <c r="U226" s="267">
        <f>+'ต.ค. '!U227+พ.ย.!U227+ธ.ค.!U227</f>
        <v>0</v>
      </c>
      <c r="V226" s="267">
        <f>+'ต.ค. '!V227+พ.ย.!V227+ธ.ค.!V227</f>
        <v>0</v>
      </c>
      <c r="X226"/>
    </row>
    <row r="227" spans="1:24" s="310" customFormat="1" ht="25.5" customHeight="1">
      <c r="A227" s="20"/>
      <c r="B227" s="186" t="s">
        <v>287</v>
      </c>
      <c r="C227" s="294">
        <v>4500</v>
      </c>
      <c r="D227" s="131"/>
      <c r="E227" s="267">
        <f>+'ต.ค. '!E228+พ.ย.!E228+ธ.ค.!E228</f>
        <v>0</v>
      </c>
      <c r="F227" s="267">
        <f>+'ต.ค. '!F228+พ.ย.!F228+ธ.ค.!F228</f>
        <v>0</v>
      </c>
      <c r="G227" s="267">
        <f>+'ต.ค. '!G228+พ.ย.!G228+ธ.ค.!G228</f>
        <v>0</v>
      </c>
      <c r="H227" s="267">
        <f>+'ต.ค. '!H228+พ.ย.!H228+ธ.ค.!H228</f>
        <v>0</v>
      </c>
      <c r="I227" s="267">
        <f>+'ต.ค. '!I228+พ.ย.!I228+ธ.ค.!I228</f>
        <v>0</v>
      </c>
      <c r="J227" s="267">
        <f>+'ต.ค. '!J228+พ.ย.!J228+ธ.ค.!J228</f>
        <v>0</v>
      </c>
      <c r="K227" s="267">
        <f>+'ต.ค. '!K228+พ.ย.!K228+ธ.ค.!K228</f>
        <v>0</v>
      </c>
      <c r="L227" s="267">
        <f>+'ต.ค. '!L228+พ.ย.!L228+ธ.ค.!L228</f>
        <v>0</v>
      </c>
      <c r="M227" s="267">
        <f>+'ต.ค. '!M228+พ.ย.!M228+ธ.ค.!M228</f>
        <v>0</v>
      </c>
      <c r="N227" s="267">
        <f>+'ต.ค. '!N228+พ.ย.!N228+ธ.ค.!N228</f>
        <v>0</v>
      </c>
      <c r="O227" s="267">
        <f>+'ต.ค. '!O228+พ.ย.!O228+ธ.ค.!O228</f>
        <v>0</v>
      </c>
      <c r="P227" s="267">
        <f>+'ต.ค. '!P228+พ.ย.!P228+ธ.ค.!P228</f>
        <v>0</v>
      </c>
      <c r="Q227" s="267">
        <f>+'ต.ค. '!Q228+พ.ย.!Q228+ธ.ค.!Q228</f>
        <v>0</v>
      </c>
      <c r="R227" s="267">
        <f>+'ต.ค. '!R228+พ.ย.!R228+ธ.ค.!R228</f>
        <v>0</v>
      </c>
      <c r="S227" s="267">
        <f>+'ต.ค. '!S228+พ.ย.!S228+ธ.ค.!S228</f>
        <v>0</v>
      </c>
      <c r="T227" s="267"/>
      <c r="U227" s="267">
        <f>+'ต.ค. '!U228+พ.ย.!U228+ธ.ค.!U228</f>
        <v>0</v>
      </c>
      <c r="V227" s="267">
        <f>+'ต.ค. '!V228+พ.ย.!V228+ธ.ค.!V228</f>
        <v>0</v>
      </c>
      <c r="X227"/>
    </row>
    <row r="228" spans="1:24" s="310" customFormat="1" ht="25.5" customHeight="1">
      <c r="A228" s="20"/>
      <c r="B228" s="186" t="s">
        <v>288</v>
      </c>
      <c r="C228" s="294">
        <v>3000</v>
      </c>
      <c r="D228" s="131"/>
      <c r="E228" s="267"/>
      <c r="F228" s="267">
        <f>+'ต.ค. '!F229+พ.ย.!F229+ธ.ค.!F229</f>
        <v>0</v>
      </c>
      <c r="G228" s="267">
        <f>+'ต.ค. '!G229+พ.ย.!G229+ธ.ค.!G229</f>
        <v>0</v>
      </c>
      <c r="H228" s="267">
        <f>+'ต.ค. '!H229+พ.ย.!H229+ธ.ค.!H229</f>
        <v>0</v>
      </c>
      <c r="I228" s="267">
        <f>+'ต.ค. '!I229+พ.ย.!I229+ธ.ค.!I229</f>
        <v>0</v>
      </c>
      <c r="J228" s="267">
        <f>+'ต.ค. '!J229+พ.ย.!J229+ธ.ค.!J229</f>
        <v>0</v>
      </c>
      <c r="K228" s="267">
        <f>+'ต.ค. '!K229+พ.ย.!K229+ธ.ค.!K229</f>
        <v>0</v>
      </c>
      <c r="L228" s="267">
        <f>+'ต.ค. '!L229+พ.ย.!L229+ธ.ค.!L229</f>
        <v>0</v>
      </c>
      <c r="M228" s="267">
        <f>+'ต.ค. '!M229+พ.ย.!M229+ธ.ค.!M229</f>
        <v>0</v>
      </c>
      <c r="N228" s="267">
        <f>+'ต.ค. '!N229+พ.ย.!N229+ธ.ค.!N229</f>
        <v>0</v>
      </c>
      <c r="O228" s="267">
        <f>+'ต.ค. '!O229+พ.ย.!O229+ธ.ค.!O229</f>
        <v>0</v>
      </c>
      <c r="P228" s="267">
        <f>+'ต.ค. '!P229+พ.ย.!P229+ธ.ค.!P229</f>
        <v>0</v>
      </c>
      <c r="Q228" s="267">
        <f>+'ต.ค. '!Q229+พ.ย.!Q229+ธ.ค.!Q229</f>
        <v>0</v>
      </c>
      <c r="R228" s="267">
        <f>+'ต.ค. '!R229+พ.ย.!R229+ธ.ค.!R229</f>
        <v>0</v>
      </c>
      <c r="S228" s="267">
        <f>+'ต.ค. '!S229+พ.ย.!S229+ธ.ค.!S229</f>
        <v>0</v>
      </c>
      <c r="T228" s="267"/>
      <c r="U228" s="267">
        <f>+'ต.ค. '!U229+พ.ย.!U229+ธ.ค.!U229</f>
        <v>0</v>
      </c>
      <c r="V228" s="267">
        <f>+'ต.ค. '!V229+พ.ย.!V229+ธ.ค.!V229</f>
        <v>0</v>
      </c>
      <c r="X228"/>
    </row>
    <row r="229" spans="1:24" s="310" customFormat="1" ht="25.5" customHeight="1">
      <c r="A229" s="20"/>
      <c r="B229" s="186" t="s">
        <v>289</v>
      </c>
      <c r="C229" s="294">
        <v>20000</v>
      </c>
      <c r="D229" s="131"/>
      <c r="E229" s="267">
        <f>+'ต.ค. '!E230+พ.ย.!E230+ธ.ค.!E230</f>
        <v>0</v>
      </c>
      <c r="F229" s="267">
        <f>+'ต.ค. '!F230+พ.ย.!F230+ธ.ค.!F230</f>
        <v>0</v>
      </c>
      <c r="G229" s="267">
        <f>+'ต.ค. '!G230+พ.ย.!G230+ธ.ค.!G230</f>
        <v>0</v>
      </c>
      <c r="H229" s="267">
        <f>+'ต.ค. '!H230+พ.ย.!H230+ธ.ค.!H230</f>
        <v>0</v>
      </c>
      <c r="I229" s="267">
        <f>+'ต.ค. '!I230+พ.ย.!I230+ธ.ค.!I230</f>
        <v>0</v>
      </c>
      <c r="J229" s="267">
        <f>+'ต.ค. '!J230+พ.ย.!J230+ธ.ค.!J230</f>
        <v>0</v>
      </c>
      <c r="K229" s="267">
        <f>+'ต.ค. '!K230+พ.ย.!K230+ธ.ค.!K230</f>
        <v>0</v>
      </c>
      <c r="L229" s="267">
        <f>+'ต.ค. '!L230+พ.ย.!L230+ธ.ค.!L230</f>
        <v>0</v>
      </c>
      <c r="M229" s="267">
        <f>+'ต.ค. '!M230+พ.ย.!M230+ธ.ค.!M230</f>
        <v>0</v>
      </c>
      <c r="N229" s="267">
        <f>+'ต.ค. '!N230+พ.ย.!N230+ธ.ค.!N230</f>
        <v>0</v>
      </c>
      <c r="O229" s="267">
        <f>+'ต.ค. '!O230+พ.ย.!O230+ธ.ค.!O230</f>
        <v>0</v>
      </c>
      <c r="P229" s="267">
        <f>+'ต.ค. '!P230+พ.ย.!P230+ธ.ค.!P230</f>
        <v>0</v>
      </c>
      <c r="Q229" s="267">
        <f>+'ต.ค. '!Q230+พ.ย.!Q230+ธ.ค.!Q230</f>
        <v>0</v>
      </c>
      <c r="R229" s="267">
        <f>+'ต.ค. '!R230+พ.ย.!R230+ธ.ค.!R230</f>
        <v>0</v>
      </c>
      <c r="S229" s="267">
        <f>+'ต.ค. '!S230+พ.ย.!S230+ธ.ค.!S230</f>
        <v>0</v>
      </c>
      <c r="T229" s="267"/>
      <c r="U229" s="267">
        <f>+'ต.ค. '!U230+พ.ย.!U230+ธ.ค.!U230</f>
        <v>0</v>
      </c>
      <c r="V229" s="267">
        <f>+'ต.ค. '!V230+พ.ย.!V230+ธ.ค.!V230</f>
        <v>0</v>
      </c>
      <c r="X229"/>
    </row>
    <row r="230" spans="1:24" s="310" customFormat="1" ht="25.5" customHeight="1">
      <c r="A230" s="20"/>
      <c r="B230" s="186" t="s">
        <v>290</v>
      </c>
      <c r="C230" s="295">
        <f>5500+5500</f>
        <v>11000</v>
      </c>
      <c r="D230" s="131"/>
      <c r="E230" s="267">
        <f>+'ต.ค. '!E231+พ.ย.!E231+ธ.ค.!E231</f>
        <v>0</v>
      </c>
      <c r="F230" s="267">
        <f>+'ต.ค. '!F231+พ.ย.!F231+ธ.ค.!F231</f>
        <v>0</v>
      </c>
      <c r="G230" s="267">
        <f>+'ต.ค. '!G231+พ.ย.!G231+ธ.ค.!G231</f>
        <v>0</v>
      </c>
      <c r="H230" s="267">
        <f>+'ต.ค. '!H231+พ.ย.!H231+ธ.ค.!H231</f>
        <v>0</v>
      </c>
      <c r="I230" s="267">
        <f>+'ต.ค. '!I231+พ.ย.!I231+ธ.ค.!I231</f>
        <v>0</v>
      </c>
      <c r="J230" s="267">
        <f>+'ต.ค. '!J231+พ.ย.!J231+ธ.ค.!J231</f>
        <v>0</v>
      </c>
      <c r="K230" s="267">
        <f>+'ต.ค. '!K231+พ.ย.!K231+ธ.ค.!K231</f>
        <v>0</v>
      </c>
      <c r="L230" s="267">
        <f>+'ต.ค. '!L231+พ.ย.!L231+ธ.ค.!L231</f>
        <v>0</v>
      </c>
      <c r="M230" s="267">
        <f>+'ต.ค. '!M231+พ.ย.!M231+ธ.ค.!M231</f>
        <v>0</v>
      </c>
      <c r="N230" s="267">
        <f>+'ต.ค. '!N231+พ.ย.!N231+ธ.ค.!N231</f>
        <v>0</v>
      </c>
      <c r="O230" s="267">
        <f>+'ต.ค. '!O231+พ.ย.!O231+ธ.ค.!O231</f>
        <v>0</v>
      </c>
      <c r="P230" s="267">
        <f>+'ต.ค. '!P231+พ.ย.!P231+ธ.ค.!P231</f>
        <v>0</v>
      </c>
      <c r="Q230" s="267">
        <f>+'ต.ค. '!Q231+พ.ย.!Q231+ธ.ค.!Q231</f>
        <v>0</v>
      </c>
      <c r="R230" s="267">
        <f>+'ต.ค. '!R231+พ.ย.!R231+ธ.ค.!R231</f>
        <v>0</v>
      </c>
      <c r="S230" s="267">
        <f>+'ต.ค. '!S231+พ.ย.!S231+ธ.ค.!S231</f>
        <v>0</v>
      </c>
      <c r="T230" s="267"/>
      <c r="U230" s="267">
        <f>+'ต.ค. '!U231+พ.ย.!U231+ธ.ค.!U231</f>
        <v>0</v>
      </c>
      <c r="V230" s="267">
        <f>+'ต.ค. '!V231+พ.ย.!V231+ธ.ค.!V231</f>
        <v>0</v>
      </c>
      <c r="X230"/>
    </row>
    <row r="231" spans="1:24" s="310" customFormat="1" ht="25.5" customHeight="1">
      <c r="A231" s="20"/>
      <c r="B231" s="186" t="s">
        <v>305</v>
      </c>
      <c r="C231" s="295">
        <v>16000</v>
      </c>
      <c r="D231" s="131"/>
      <c r="E231" s="267">
        <f>+'ต.ค. '!E232+พ.ย.!E232+ธ.ค.!E232</f>
        <v>0</v>
      </c>
      <c r="F231" s="267">
        <f>+'ต.ค. '!F232+พ.ย.!F232+ธ.ค.!F232</f>
        <v>0</v>
      </c>
      <c r="G231" s="267">
        <f>+'ต.ค. '!G232+พ.ย.!G232+ธ.ค.!G232</f>
        <v>0</v>
      </c>
      <c r="H231" s="267">
        <f>+'ต.ค. '!H232+พ.ย.!H232+ธ.ค.!H232</f>
        <v>0</v>
      </c>
      <c r="I231" s="267">
        <f>+'ต.ค. '!I232+พ.ย.!I232+ธ.ค.!I232</f>
        <v>0</v>
      </c>
      <c r="J231" s="267">
        <f>+'ต.ค. '!J232+พ.ย.!J232+ธ.ค.!J232</f>
        <v>0</v>
      </c>
      <c r="K231" s="267">
        <f>+'ต.ค. '!K232+พ.ย.!K232+ธ.ค.!K232</f>
        <v>0</v>
      </c>
      <c r="L231" s="267">
        <f>+'ต.ค. '!L232+พ.ย.!L232+ธ.ค.!L232</f>
        <v>0</v>
      </c>
      <c r="M231" s="267">
        <f>+'ต.ค. '!M232+พ.ย.!M232+ธ.ค.!M232</f>
        <v>0</v>
      </c>
      <c r="N231" s="267">
        <f>+'ต.ค. '!N232+พ.ย.!N232+ธ.ค.!N232</f>
        <v>0</v>
      </c>
      <c r="O231" s="267">
        <f>+'ต.ค. '!O232+พ.ย.!O232+ธ.ค.!O232</f>
        <v>0</v>
      </c>
      <c r="P231" s="267">
        <f>+'ต.ค. '!P232+พ.ย.!P232+ธ.ค.!P232</f>
        <v>0</v>
      </c>
      <c r="Q231" s="267">
        <f>+'ต.ค. '!Q232+พ.ย.!Q232+ธ.ค.!Q232</f>
        <v>0</v>
      </c>
      <c r="R231" s="267">
        <f>+'ต.ค. '!R232+พ.ย.!R232+ธ.ค.!R232</f>
        <v>0</v>
      </c>
      <c r="S231" s="267">
        <f>+'ต.ค. '!S232+พ.ย.!S232+ธ.ค.!S232</f>
        <v>0</v>
      </c>
      <c r="T231" s="267"/>
      <c r="U231" s="267">
        <f>+'ต.ค. '!U232+พ.ย.!U232+ธ.ค.!U232</f>
        <v>0</v>
      </c>
      <c r="V231" s="267">
        <f>+'ต.ค. '!V232+พ.ย.!V232+ธ.ค.!V232</f>
        <v>0</v>
      </c>
      <c r="X231"/>
    </row>
    <row r="232" spans="1:24" s="310" customFormat="1" ht="25.5" customHeight="1">
      <c r="A232" s="20"/>
      <c r="B232" s="186" t="s">
        <v>334</v>
      </c>
      <c r="C232" s="295">
        <v>4500</v>
      </c>
      <c r="D232" s="131"/>
      <c r="E232" s="267">
        <f>+'ต.ค. '!E233+พ.ย.!E233+ธ.ค.!E233</f>
        <v>0</v>
      </c>
      <c r="F232" s="267">
        <f>+'ต.ค. '!F233+พ.ย.!F233+ธ.ค.!F233</f>
        <v>0</v>
      </c>
      <c r="G232" s="267">
        <f>+'ต.ค. '!G233+พ.ย.!G233+ธ.ค.!G233</f>
        <v>0</v>
      </c>
      <c r="H232" s="267">
        <f>+'ต.ค. '!H233+พ.ย.!H233+ธ.ค.!H233</f>
        <v>0</v>
      </c>
      <c r="I232" s="267">
        <f>+'ต.ค. '!I233+พ.ย.!I233+ธ.ค.!I233</f>
        <v>0</v>
      </c>
      <c r="J232" s="267">
        <f>+'ต.ค. '!J233+พ.ย.!J233+ธ.ค.!J233</f>
        <v>0</v>
      </c>
      <c r="K232" s="267">
        <f>+'ต.ค. '!K233+พ.ย.!K233+ธ.ค.!K233</f>
        <v>0</v>
      </c>
      <c r="L232" s="267">
        <f>+'ต.ค. '!L233+พ.ย.!L233+ธ.ค.!L233</f>
        <v>0</v>
      </c>
      <c r="M232" s="267">
        <f>+'ต.ค. '!M233+พ.ย.!M233+ธ.ค.!M233</f>
        <v>0</v>
      </c>
      <c r="N232" s="267">
        <f>+'ต.ค. '!N233+พ.ย.!N233+ธ.ค.!N233</f>
        <v>0</v>
      </c>
      <c r="O232" s="267">
        <f>+'ต.ค. '!O233+พ.ย.!O233+ธ.ค.!O233</f>
        <v>0</v>
      </c>
      <c r="P232" s="267">
        <f>+'ต.ค. '!P233+พ.ย.!P233+ธ.ค.!P233</f>
        <v>0</v>
      </c>
      <c r="Q232" s="267">
        <f>+'ต.ค. '!Q233+พ.ย.!Q233+ธ.ค.!Q233</f>
        <v>0</v>
      </c>
      <c r="R232" s="267">
        <f>+'ต.ค. '!R233+พ.ย.!R233+ธ.ค.!R233</f>
        <v>0</v>
      </c>
      <c r="S232" s="267">
        <f>+'ต.ค. '!S233+พ.ย.!S233+ธ.ค.!S233</f>
        <v>0</v>
      </c>
      <c r="T232" s="267"/>
      <c r="U232" s="267">
        <f>+'ต.ค. '!U233+พ.ย.!U233+ธ.ค.!U233</f>
        <v>0</v>
      </c>
      <c r="V232" s="267">
        <f>+'ต.ค. '!V233+พ.ย.!V233+ธ.ค.!V233</f>
        <v>0</v>
      </c>
      <c r="X232"/>
    </row>
    <row r="233" spans="1:24" s="310" customFormat="1" ht="25.5" customHeight="1">
      <c r="A233" s="20"/>
      <c r="B233" s="186" t="s">
        <v>335</v>
      </c>
      <c r="C233" s="295">
        <v>4500</v>
      </c>
      <c r="D233" s="131"/>
      <c r="E233" s="267">
        <f>+'ต.ค. '!E234+พ.ย.!E234+ธ.ค.!E234</f>
        <v>0</v>
      </c>
      <c r="F233" s="267">
        <f>+'ต.ค. '!F234+พ.ย.!F234+ธ.ค.!F234</f>
        <v>0</v>
      </c>
      <c r="G233" s="267">
        <f>+'ต.ค. '!G234+พ.ย.!G234+ธ.ค.!G234</f>
        <v>0</v>
      </c>
      <c r="H233" s="267">
        <f>+'ต.ค. '!H234+พ.ย.!H234+ธ.ค.!H234</f>
        <v>0</v>
      </c>
      <c r="I233" s="267">
        <f>+'ต.ค. '!I234+พ.ย.!I234+ธ.ค.!I234</f>
        <v>0</v>
      </c>
      <c r="J233" s="267">
        <f>+'ต.ค. '!J234+พ.ย.!J234+ธ.ค.!J234</f>
        <v>0</v>
      </c>
      <c r="K233" s="267">
        <f>+'ต.ค. '!K234+พ.ย.!K234+ธ.ค.!K234</f>
        <v>0</v>
      </c>
      <c r="L233" s="267">
        <f>+'ต.ค. '!L234+พ.ย.!L234+ธ.ค.!L234</f>
        <v>0</v>
      </c>
      <c r="M233" s="267">
        <f>+'ต.ค. '!M234+พ.ย.!M234+ธ.ค.!M234</f>
        <v>0</v>
      </c>
      <c r="N233" s="267">
        <f>+'ต.ค. '!N234+พ.ย.!N234+ธ.ค.!N234</f>
        <v>0</v>
      </c>
      <c r="O233" s="267">
        <f>+'ต.ค. '!O234+พ.ย.!O234+ธ.ค.!O234</f>
        <v>0</v>
      </c>
      <c r="P233" s="267">
        <f>+'ต.ค. '!P234+พ.ย.!P234+ธ.ค.!P234</f>
        <v>0</v>
      </c>
      <c r="Q233" s="267">
        <f>+'ต.ค. '!Q234+พ.ย.!Q234+ธ.ค.!Q234</f>
        <v>0</v>
      </c>
      <c r="R233" s="267">
        <f>+'ต.ค. '!R234+พ.ย.!R234+ธ.ค.!R234</f>
        <v>0</v>
      </c>
      <c r="S233" s="267">
        <f>+'ต.ค. '!S234+พ.ย.!S234+ธ.ค.!S234</f>
        <v>0</v>
      </c>
      <c r="T233" s="267"/>
      <c r="U233" s="267">
        <f>+'ต.ค. '!U234+พ.ย.!U234+ธ.ค.!U234</f>
        <v>0</v>
      </c>
      <c r="V233" s="267">
        <f>+'ต.ค. '!V234+พ.ย.!V234+ธ.ค.!V234</f>
        <v>0</v>
      </c>
      <c r="X233"/>
    </row>
    <row r="234" spans="1:24" s="310" customFormat="1" ht="25.5" customHeight="1">
      <c r="A234" s="20"/>
      <c r="B234" s="252" t="s">
        <v>292</v>
      </c>
      <c r="C234" s="295"/>
      <c r="D234" s="131"/>
      <c r="E234" s="267"/>
      <c r="F234" s="135"/>
      <c r="G234" s="135"/>
      <c r="H234" s="135"/>
      <c r="I234" s="131"/>
      <c r="J234" s="131"/>
      <c r="K234" s="131"/>
      <c r="L234" s="131"/>
      <c r="M234" s="135"/>
      <c r="N234" s="131"/>
      <c r="O234" s="131"/>
      <c r="P234" s="131"/>
      <c r="Q234" s="131"/>
      <c r="R234" s="217"/>
      <c r="S234" s="219"/>
      <c r="T234" s="219"/>
      <c r="U234" s="217"/>
      <c r="V234" s="217"/>
      <c r="X234"/>
    </row>
    <row r="235" spans="1:24" s="310" customFormat="1" ht="25.5" customHeight="1">
      <c r="A235" s="20"/>
      <c r="B235" s="186" t="s">
        <v>293</v>
      </c>
      <c r="C235" s="295">
        <v>32000</v>
      </c>
      <c r="D235" s="131"/>
      <c r="E235" s="267">
        <f>+'ต.ค. '!E237+พ.ย.!E236+ธ.ค.!E236</f>
        <v>0</v>
      </c>
      <c r="F235" s="267">
        <f>+'ต.ค. '!F237+พ.ย.!F236+ธ.ค.!F236</f>
        <v>0</v>
      </c>
      <c r="G235" s="267">
        <f>+'ต.ค. '!G237+พ.ย.!G236+ธ.ค.!G236</f>
        <v>0</v>
      </c>
      <c r="H235" s="267">
        <f>+'ต.ค. '!H237+พ.ย.!H236+ธ.ค.!H236</f>
        <v>0</v>
      </c>
      <c r="I235" s="267">
        <f>+'ต.ค. '!I237+พ.ย.!I236+ธ.ค.!I236</f>
        <v>0</v>
      </c>
      <c r="J235" s="267">
        <f>+'ต.ค. '!J237+พ.ย.!J236+ธ.ค.!J236</f>
        <v>0</v>
      </c>
      <c r="K235" s="267">
        <f>+'ต.ค. '!K237+พ.ย.!K236+ธ.ค.!K236</f>
        <v>0</v>
      </c>
      <c r="L235" s="267">
        <f>+'ต.ค. '!L237+พ.ย.!L236+ธ.ค.!L236</f>
        <v>0</v>
      </c>
      <c r="M235" s="267">
        <f>+'ต.ค. '!M237+พ.ย.!M236+ธ.ค.!M236</f>
        <v>0</v>
      </c>
      <c r="N235" s="267">
        <f>+'ต.ค. '!N237+พ.ย.!N236+ธ.ค.!N236</f>
        <v>0</v>
      </c>
      <c r="O235" s="267">
        <f>+'ต.ค. '!O237+พ.ย.!O236+ธ.ค.!O236</f>
        <v>0</v>
      </c>
      <c r="P235" s="267">
        <f>+'ต.ค. '!P237+พ.ย.!P236+ธ.ค.!P236</f>
        <v>0</v>
      </c>
      <c r="Q235" s="267">
        <f>+'ต.ค. '!Q237+พ.ย.!Q236+ธ.ค.!Q236</f>
        <v>0</v>
      </c>
      <c r="R235" s="267">
        <f>+'ต.ค. '!R237+พ.ย.!R236+ธ.ค.!R236</f>
        <v>0</v>
      </c>
      <c r="S235" s="267">
        <f>+'ต.ค. '!S237+พ.ย.!S236+ธ.ค.!S236</f>
        <v>0</v>
      </c>
      <c r="T235" s="267"/>
      <c r="U235" s="267">
        <f>+'ต.ค. '!U237+พ.ย.!U236+ธ.ค.!U236</f>
        <v>0</v>
      </c>
      <c r="V235" s="267">
        <f>+'ต.ค. '!V237+พ.ย.!V236+ธ.ค.!V236</f>
        <v>0</v>
      </c>
      <c r="X235"/>
    </row>
    <row r="236" spans="1:24" s="310" customFormat="1" ht="25.5" customHeight="1">
      <c r="A236" s="20"/>
      <c r="B236" s="186" t="s">
        <v>125</v>
      </c>
      <c r="C236" s="295">
        <f>2800+2800+2300</f>
        <v>7900</v>
      </c>
      <c r="D236" s="131"/>
      <c r="E236" s="267">
        <f>+'ต.ค. '!E238+พ.ย.!E237+ธ.ค.!E237</f>
        <v>0</v>
      </c>
      <c r="F236" s="267">
        <f>+'ต.ค. '!F238+พ.ย.!F237+ธ.ค.!F237</f>
        <v>0</v>
      </c>
      <c r="G236" s="267">
        <f>+'ต.ค. '!G238+พ.ย.!G237+ธ.ค.!G237</f>
        <v>0</v>
      </c>
      <c r="H236" s="267">
        <v>2300</v>
      </c>
      <c r="I236" s="267">
        <f>+'ต.ค. '!I238+พ.ย.!I237+ธ.ค.!I237</f>
        <v>0</v>
      </c>
      <c r="J236" s="267">
        <f>+'ต.ค. '!J238+พ.ย.!J237+ธ.ค.!J237</f>
        <v>0</v>
      </c>
      <c r="K236" s="267">
        <f>+'ต.ค. '!K238+พ.ย.!K237+ธ.ค.!K237</f>
        <v>0</v>
      </c>
      <c r="L236" s="267">
        <f>+'ต.ค. '!L238+พ.ย.!L237+ธ.ค.!L237</f>
        <v>0</v>
      </c>
      <c r="M236" s="267">
        <f>+'ต.ค. '!M238+พ.ย.!M237+ธ.ค.!M237</f>
        <v>0</v>
      </c>
      <c r="N236" s="267">
        <f>+'ต.ค. '!N238+พ.ย.!N237+ธ.ค.!N237</f>
        <v>0</v>
      </c>
      <c r="O236" s="267">
        <f>+'ต.ค. '!O238+พ.ย.!O237+ธ.ค.!O237</f>
        <v>0</v>
      </c>
      <c r="P236" s="267">
        <f>+'ต.ค. '!P238+พ.ย.!P237+ธ.ค.!P237</f>
        <v>0</v>
      </c>
      <c r="Q236" s="267">
        <f>+'ต.ค. '!Q238+พ.ย.!Q237+ธ.ค.!Q237</f>
        <v>0</v>
      </c>
      <c r="R236" s="267">
        <f>+'ต.ค. '!R238+พ.ย.!R237+ธ.ค.!R237</f>
        <v>0</v>
      </c>
      <c r="S236" s="267">
        <f>+'ต.ค. '!S238+พ.ย.!S237+ธ.ค.!S237</f>
        <v>0</v>
      </c>
      <c r="T236" s="267"/>
      <c r="U236" s="267">
        <f>+'ต.ค. '!U238+พ.ย.!U237+ธ.ค.!U237</f>
        <v>0</v>
      </c>
      <c r="V236" s="267">
        <f>+'ต.ค. '!V238+พ.ย.!V237+ธ.ค.!V237</f>
        <v>0</v>
      </c>
      <c r="X236"/>
    </row>
    <row r="237" spans="1:24" s="310" customFormat="1" ht="25.5" customHeight="1">
      <c r="A237" s="20"/>
      <c r="B237" s="186" t="s">
        <v>294</v>
      </c>
      <c r="C237" s="295">
        <v>21000</v>
      </c>
      <c r="D237" s="131"/>
      <c r="E237" s="267">
        <f>+'ต.ค. '!E239+พ.ย.!E238+ธ.ค.!E238</f>
        <v>0</v>
      </c>
      <c r="F237" s="267">
        <f>+'ต.ค. '!F239+พ.ย.!F238+ธ.ค.!F238</f>
        <v>0</v>
      </c>
      <c r="G237" s="267">
        <f>+'ต.ค. '!G239+พ.ย.!G238+ธ.ค.!G238</f>
        <v>0</v>
      </c>
      <c r="H237" s="267">
        <f>+'ต.ค. '!H239+พ.ย.!H238+ธ.ค.!H238</f>
        <v>0</v>
      </c>
      <c r="I237" s="267">
        <f>+'ต.ค. '!I239+พ.ย.!I238+ธ.ค.!I238</f>
        <v>0</v>
      </c>
      <c r="J237" s="267">
        <f>+'ต.ค. '!J239+พ.ย.!J238+ธ.ค.!J238</f>
        <v>0</v>
      </c>
      <c r="K237" s="267">
        <f>+'ต.ค. '!K239+พ.ย.!K238+ธ.ค.!K238</f>
        <v>0</v>
      </c>
      <c r="L237" s="267">
        <f>+'ต.ค. '!L239+พ.ย.!L238+ธ.ค.!L238</f>
        <v>0</v>
      </c>
      <c r="M237" s="267">
        <f>+'ต.ค. '!M239+พ.ย.!M238+ธ.ค.!M238</f>
        <v>0</v>
      </c>
      <c r="N237" s="267">
        <f>+'ต.ค. '!N239+พ.ย.!N238+ธ.ค.!N238</f>
        <v>0</v>
      </c>
      <c r="O237" s="267">
        <f>+'ต.ค. '!O239+พ.ย.!O238+ธ.ค.!O238</f>
        <v>0</v>
      </c>
      <c r="P237" s="267">
        <f>+'ต.ค. '!P239+พ.ย.!P238+ธ.ค.!P238</f>
        <v>0</v>
      </c>
      <c r="Q237" s="267">
        <f>+'ต.ค. '!Q239+พ.ย.!Q238+ธ.ค.!Q238</f>
        <v>0</v>
      </c>
      <c r="R237" s="267">
        <f>+'ต.ค. '!R239+พ.ย.!R238+ธ.ค.!R238</f>
        <v>0</v>
      </c>
      <c r="S237" s="267">
        <f>+'ต.ค. '!S239+พ.ย.!S238+ธ.ค.!S238</f>
        <v>0</v>
      </c>
      <c r="T237" s="267"/>
      <c r="U237" s="267">
        <f>+'ต.ค. '!U239+พ.ย.!U238+ธ.ค.!U238</f>
        <v>0</v>
      </c>
      <c r="V237" s="267">
        <f>+'ต.ค. '!V239+พ.ย.!V238+ธ.ค.!V238</f>
        <v>0</v>
      </c>
      <c r="X237"/>
    </row>
    <row r="238" spans="1:24" s="310" customFormat="1" ht="25.5" customHeight="1">
      <c r="A238" s="20"/>
      <c r="B238" s="186" t="s">
        <v>293</v>
      </c>
      <c r="C238" s="295">
        <v>16000</v>
      </c>
      <c r="D238" s="131"/>
      <c r="E238" s="267">
        <f>+'ต.ค. '!E240+พ.ย.!E239+ธ.ค.!E239</f>
        <v>0</v>
      </c>
      <c r="F238" s="267">
        <f>+'ต.ค. '!F240+พ.ย.!F239+ธ.ค.!F239</f>
        <v>0</v>
      </c>
      <c r="G238" s="267">
        <f>+'ต.ค. '!G240+พ.ย.!G239+ธ.ค.!G239</f>
        <v>0</v>
      </c>
      <c r="H238" s="267">
        <v>16000</v>
      </c>
      <c r="I238" s="267">
        <f>+'ต.ค. '!I240+พ.ย.!I239+ธ.ค.!I239</f>
        <v>0</v>
      </c>
      <c r="J238" s="267">
        <f>+'ต.ค. '!J240+พ.ย.!J239+ธ.ค.!J239</f>
        <v>0</v>
      </c>
      <c r="K238" s="267">
        <f>+'ต.ค. '!K240+พ.ย.!K239+ธ.ค.!K239</f>
        <v>0</v>
      </c>
      <c r="L238" s="267">
        <f>+'ต.ค. '!L240+พ.ย.!L239+ธ.ค.!L239</f>
        <v>0</v>
      </c>
      <c r="M238" s="267">
        <f>+'ต.ค. '!M240+พ.ย.!M239+ธ.ค.!M239</f>
        <v>0</v>
      </c>
      <c r="N238" s="267">
        <f>+'ต.ค. '!N240+พ.ย.!N239+ธ.ค.!N239</f>
        <v>0</v>
      </c>
      <c r="O238" s="267">
        <f>+'ต.ค. '!O240+พ.ย.!O239+ธ.ค.!O239</f>
        <v>0</v>
      </c>
      <c r="P238" s="267">
        <f>+'ต.ค. '!P240+พ.ย.!P239+ธ.ค.!P239</f>
        <v>0</v>
      </c>
      <c r="Q238" s="267">
        <f>+'ต.ค. '!Q240+พ.ย.!Q239+ธ.ค.!Q239</f>
        <v>0</v>
      </c>
      <c r="R238" s="267">
        <f>+'ต.ค. '!R240+พ.ย.!R239+ธ.ค.!R239</f>
        <v>0</v>
      </c>
      <c r="S238" s="267">
        <f>+'ต.ค. '!S240+พ.ย.!S239+ธ.ค.!S239</f>
        <v>0</v>
      </c>
      <c r="T238" s="267"/>
      <c r="U238" s="267">
        <f>+'ต.ค. '!U240+พ.ย.!U239+ธ.ค.!U239</f>
        <v>0</v>
      </c>
      <c r="V238" s="267">
        <f>+'ต.ค. '!V240+พ.ย.!V239+ธ.ค.!V239</f>
        <v>0</v>
      </c>
      <c r="X238"/>
    </row>
    <row r="239" spans="1:24" s="310" customFormat="1" ht="25.5" customHeight="1">
      <c r="A239" s="20"/>
      <c r="B239" s="186" t="s">
        <v>306</v>
      </c>
      <c r="C239" s="295">
        <v>7700</v>
      </c>
      <c r="D239" s="131"/>
      <c r="E239" s="267">
        <f>+'ต.ค. '!E241+พ.ย.!E240+ธ.ค.!E240</f>
        <v>0</v>
      </c>
      <c r="F239" s="267">
        <f>+'ต.ค. '!F241+พ.ย.!F240+ธ.ค.!F240</f>
        <v>0</v>
      </c>
      <c r="G239" s="267">
        <f>+'ต.ค. '!G241+พ.ย.!G240+ธ.ค.!G240</f>
        <v>0</v>
      </c>
      <c r="H239" s="267">
        <v>7700</v>
      </c>
      <c r="I239" s="267">
        <f>+'ต.ค. '!I241+พ.ย.!I240+ธ.ค.!I240</f>
        <v>0</v>
      </c>
      <c r="J239" s="267">
        <f>+'ต.ค. '!J241+พ.ย.!J240+ธ.ค.!J240</f>
        <v>0</v>
      </c>
      <c r="K239" s="267">
        <f>+'ต.ค. '!K241+พ.ย.!K240+ธ.ค.!K240</f>
        <v>0</v>
      </c>
      <c r="L239" s="267">
        <f>+'ต.ค. '!L241+พ.ย.!L240+ธ.ค.!L240</f>
        <v>0</v>
      </c>
      <c r="M239" s="267">
        <f>+'ต.ค. '!M241+พ.ย.!M240+ธ.ค.!M240</f>
        <v>0</v>
      </c>
      <c r="N239" s="267">
        <f>+'ต.ค. '!N241+พ.ย.!N240+ธ.ค.!N240</f>
        <v>0</v>
      </c>
      <c r="O239" s="267">
        <f>+'ต.ค. '!O241+พ.ย.!O240+ธ.ค.!O240</f>
        <v>0</v>
      </c>
      <c r="P239" s="267">
        <f>+'ต.ค. '!P241+พ.ย.!P240+ธ.ค.!P240</f>
        <v>0</v>
      </c>
      <c r="Q239" s="267">
        <f>+'ต.ค. '!Q241+พ.ย.!Q240+ธ.ค.!Q240</f>
        <v>0</v>
      </c>
      <c r="R239" s="267">
        <f>+'ต.ค. '!R241+พ.ย.!R240+ธ.ค.!R240</f>
        <v>0</v>
      </c>
      <c r="S239" s="267">
        <f>+'ต.ค. '!S241+พ.ย.!S240+ธ.ค.!S240</f>
        <v>0</v>
      </c>
      <c r="T239" s="267"/>
      <c r="U239" s="267">
        <f>+'ต.ค. '!U241+พ.ย.!U240+ธ.ค.!U240</f>
        <v>0</v>
      </c>
      <c r="V239" s="267">
        <f>+'ต.ค. '!V241+พ.ย.!V240+ธ.ค.!V240</f>
        <v>0</v>
      </c>
      <c r="X239"/>
    </row>
    <row r="240" spans="1:24" s="310" customFormat="1" ht="25.5" customHeight="1">
      <c r="A240" s="20"/>
      <c r="B240" s="252" t="s">
        <v>336</v>
      </c>
      <c r="C240" s="295"/>
      <c r="D240" s="131"/>
      <c r="E240" s="267"/>
      <c r="F240" s="135"/>
      <c r="G240" s="135"/>
      <c r="H240" s="135"/>
      <c r="I240" s="131"/>
      <c r="J240" s="131"/>
      <c r="K240" s="131"/>
      <c r="L240" s="131"/>
      <c r="M240" s="135"/>
      <c r="N240" s="131"/>
      <c r="O240" s="131"/>
      <c r="P240" s="131"/>
      <c r="Q240" s="131"/>
      <c r="R240" s="217"/>
      <c r="S240" s="219"/>
      <c r="T240" s="219"/>
      <c r="U240" s="217"/>
      <c r="V240" s="217"/>
      <c r="X240"/>
    </row>
    <row r="241" spans="1:24" s="310" customFormat="1" ht="25.5" customHeight="1">
      <c r="A241" s="20"/>
      <c r="B241" s="186" t="s">
        <v>337</v>
      </c>
      <c r="C241" s="295">
        <v>9000</v>
      </c>
      <c r="D241" s="131"/>
      <c r="E241" s="267">
        <f>+'ต.ค. '!E244+พ.ย.!E242+ธ.ค.!E242</f>
        <v>0</v>
      </c>
      <c r="F241" s="267">
        <f>+'ต.ค. '!F244+พ.ย.!F242+ธ.ค.!F242</f>
        <v>0</v>
      </c>
      <c r="G241" s="267">
        <f>+'ต.ค. '!G244+พ.ย.!G242+ธ.ค.!G242</f>
        <v>0</v>
      </c>
      <c r="H241" s="267">
        <f>+'ต.ค. '!H244+พ.ย.!H242+ธ.ค.!H242</f>
        <v>0</v>
      </c>
      <c r="I241" s="267">
        <f>+'ต.ค. '!I244+พ.ย.!I242+ธ.ค.!I242</f>
        <v>0</v>
      </c>
      <c r="J241" s="267">
        <f>+'ต.ค. '!J244+พ.ย.!J242+ธ.ค.!J242</f>
        <v>0</v>
      </c>
      <c r="K241" s="267">
        <f>+'ต.ค. '!K244+พ.ย.!K242+ธ.ค.!K242</f>
        <v>0</v>
      </c>
      <c r="L241" s="267">
        <f>+'ต.ค. '!L244+พ.ย.!L242+ธ.ค.!L242</f>
        <v>0</v>
      </c>
      <c r="M241" s="267">
        <f>+'ต.ค. '!M244+พ.ย.!M242+ธ.ค.!M242</f>
        <v>0</v>
      </c>
      <c r="N241" s="267">
        <f>+'ต.ค. '!N244+พ.ย.!N242+ธ.ค.!N242</f>
        <v>0</v>
      </c>
      <c r="O241" s="267">
        <f>+'ต.ค. '!O244+พ.ย.!O242+ธ.ค.!O242</f>
        <v>0</v>
      </c>
      <c r="P241" s="267">
        <f>+'ต.ค. '!P244+พ.ย.!P242+ธ.ค.!P242</f>
        <v>0</v>
      </c>
      <c r="Q241" s="267">
        <f>+'ต.ค. '!Q244+พ.ย.!Q242+ธ.ค.!Q242</f>
        <v>0</v>
      </c>
      <c r="R241" s="267">
        <f>+'ต.ค. '!R244+พ.ย.!R242+ธ.ค.!R242</f>
        <v>0</v>
      </c>
      <c r="S241" s="267">
        <f>+'ต.ค. '!S244+พ.ย.!S242+ธ.ค.!S242</f>
        <v>0</v>
      </c>
      <c r="T241" s="267"/>
      <c r="U241" s="267">
        <f>+'ต.ค. '!U244+พ.ย.!U242+ธ.ค.!U242</f>
        <v>0</v>
      </c>
      <c r="V241" s="267">
        <f>+'ต.ค. '!V244+พ.ย.!V242+ธ.ค.!V242</f>
        <v>0</v>
      </c>
      <c r="X241"/>
    </row>
    <row r="242" spans="1:24" ht="25.5" customHeight="1">
      <c r="A242" s="20"/>
      <c r="B242" s="252" t="s">
        <v>338</v>
      </c>
      <c r="C242" s="295"/>
      <c r="D242" s="131"/>
      <c r="E242" s="267"/>
      <c r="F242" s="135"/>
      <c r="G242" s="135"/>
      <c r="H242" s="135"/>
      <c r="I242" s="131"/>
      <c r="J242" s="131"/>
      <c r="K242" s="131"/>
      <c r="L242" s="131"/>
      <c r="M242" s="135"/>
      <c r="N242" s="131"/>
      <c r="O242" s="131"/>
      <c r="P242" s="131"/>
      <c r="Q242" s="131"/>
      <c r="R242" s="217"/>
      <c r="S242" s="219"/>
      <c r="T242" s="219"/>
      <c r="U242" s="217"/>
      <c r="V242" s="217"/>
    </row>
    <row r="243" spans="1:24" ht="25.5" customHeight="1">
      <c r="A243" s="20"/>
      <c r="B243" s="186" t="s">
        <v>339</v>
      </c>
      <c r="C243" s="295">
        <v>8000</v>
      </c>
      <c r="D243" s="131"/>
      <c r="E243" s="267">
        <f>+'ต.ค. '!E247+พ.ย.!E244+ธ.ค.!E244</f>
        <v>0</v>
      </c>
      <c r="F243" s="267">
        <f>+'ต.ค. '!F247+พ.ย.!F244+ธ.ค.!F244</f>
        <v>0</v>
      </c>
      <c r="G243" s="267">
        <f>+'ต.ค. '!G247+พ.ย.!G244+ธ.ค.!G244</f>
        <v>0</v>
      </c>
      <c r="H243" s="267">
        <f>+'ต.ค. '!H247+พ.ย.!H244+ธ.ค.!H244</f>
        <v>0</v>
      </c>
      <c r="I243" s="267">
        <f>+'ต.ค. '!I247+พ.ย.!I244+ธ.ค.!I244</f>
        <v>0</v>
      </c>
      <c r="J243" s="267">
        <f>+'ต.ค. '!J247+พ.ย.!J244+ธ.ค.!J244</f>
        <v>0</v>
      </c>
      <c r="K243" s="267">
        <f>+'ต.ค. '!K247+พ.ย.!K244+ธ.ค.!K244</f>
        <v>0</v>
      </c>
      <c r="L243" s="267">
        <f>+'ต.ค. '!L247+พ.ย.!L244+ธ.ค.!L244</f>
        <v>0</v>
      </c>
      <c r="M243" s="267">
        <f>+'ต.ค. '!M247+พ.ย.!M244+ธ.ค.!M244</f>
        <v>0</v>
      </c>
      <c r="N243" s="267">
        <f>+'ต.ค. '!N247+พ.ย.!N244+ธ.ค.!N244</f>
        <v>0</v>
      </c>
      <c r="O243" s="267">
        <f>+'ต.ค. '!O247+พ.ย.!O244+ธ.ค.!O244</f>
        <v>0</v>
      </c>
      <c r="P243" s="267">
        <f>+'ต.ค. '!P247+พ.ย.!P244+ธ.ค.!P244</f>
        <v>0</v>
      </c>
      <c r="Q243" s="267">
        <f>+'ต.ค. '!Q247+พ.ย.!Q244+ธ.ค.!Q244</f>
        <v>0</v>
      </c>
      <c r="R243" s="267">
        <f>+'ต.ค. '!R247+พ.ย.!R244+ธ.ค.!R244</f>
        <v>0</v>
      </c>
      <c r="S243" s="267">
        <f>+'ต.ค. '!S247+พ.ย.!S244+ธ.ค.!S244</f>
        <v>0</v>
      </c>
      <c r="T243" s="267"/>
      <c r="U243" s="267">
        <f>+'ต.ค. '!U247+พ.ย.!U244+ธ.ค.!U244</f>
        <v>0</v>
      </c>
      <c r="V243" s="267">
        <f>+'ต.ค. '!V247+พ.ย.!V244+ธ.ค.!V244</f>
        <v>0</v>
      </c>
    </row>
    <row r="244" spans="1:24" ht="25.5" customHeight="1">
      <c r="A244" s="20"/>
      <c r="B244" s="186" t="s">
        <v>340</v>
      </c>
      <c r="C244" s="295">
        <v>6000</v>
      </c>
      <c r="D244" s="131"/>
      <c r="E244" s="267">
        <f>+'ต.ค. '!E248+พ.ย.!E245+ธ.ค.!E245</f>
        <v>0</v>
      </c>
      <c r="F244" s="267">
        <f>+'ต.ค. '!F248+พ.ย.!F245+ธ.ค.!F245</f>
        <v>0</v>
      </c>
      <c r="G244" s="267">
        <f>+'ต.ค. '!G248+พ.ย.!G245+ธ.ค.!G245</f>
        <v>0</v>
      </c>
      <c r="H244" s="267">
        <f>+'ต.ค. '!H248+พ.ย.!H245+ธ.ค.!H245</f>
        <v>0</v>
      </c>
      <c r="I244" s="267">
        <f>+'ต.ค. '!I248+พ.ย.!I245+ธ.ค.!I245</f>
        <v>0</v>
      </c>
      <c r="J244" s="267">
        <f>+'ต.ค. '!J248+พ.ย.!J245+ธ.ค.!J245</f>
        <v>0</v>
      </c>
      <c r="K244" s="267">
        <f>+'ต.ค. '!K248+พ.ย.!K245+ธ.ค.!K245</f>
        <v>0</v>
      </c>
      <c r="L244" s="267">
        <f>+'ต.ค. '!L248+พ.ย.!L245+ธ.ค.!L245</f>
        <v>0</v>
      </c>
      <c r="M244" s="267">
        <f>+'ต.ค. '!M248+พ.ย.!M245+ธ.ค.!M245</f>
        <v>0</v>
      </c>
      <c r="N244" s="267">
        <f>+'ต.ค. '!N248+พ.ย.!N245+ธ.ค.!N245</f>
        <v>0</v>
      </c>
      <c r="O244" s="267">
        <f>+'ต.ค. '!O248+พ.ย.!O245+ธ.ค.!O245</f>
        <v>0</v>
      </c>
      <c r="P244" s="267">
        <f>+'ต.ค. '!P248+พ.ย.!P245+ธ.ค.!P245</f>
        <v>0</v>
      </c>
      <c r="Q244" s="267">
        <f>+'ต.ค. '!Q248+พ.ย.!Q245+ธ.ค.!Q245</f>
        <v>0</v>
      </c>
      <c r="R244" s="267">
        <f>+'ต.ค. '!R248+พ.ย.!R245+ธ.ค.!R245</f>
        <v>0</v>
      </c>
      <c r="S244" s="267">
        <f>+'ต.ค. '!S248+พ.ย.!S245+ธ.ค.!S245</f>
        <v>0</v>
      </c>
      <c r="T244" s="267"/>
      <c r="U244" s="267">
        <f>+'ต.ค. '!U248+พ.ย.!U245+ธ.ค.!U245</f>
        <v>0</v>
      </c>
      <c r="V244" s="267">
        <f>+'ต.ค. '!V248+พ.ย.!V245+ธ.ค.!V245</f>
        <v>0</v>
      </c>
    </row>
    <row r="245" spans="1:24" ht="25.5" customHeight="1">
      <c r="A245" s="20"/>
      <c r="B245" s="252" t="s">
        <v>341</v>
      </c>
      <c r="C245" s="295"/>
      <c r="D245" s="131"/>
      <c r="E245" s="267"/>
      <c r="F245" s="135"/>
      <c r="G245" s="135"/>
      <c r="H245" s="135"/>
      <c r="I245" s="131"/>
      <c r="J245" s="131"/>
      <c r="K245" s="131"/>
      <c r="L245" s="131"/>
      <c r="M245" s="135"/>
      <c r="N245" s="131"/>
      <c r="O245" s="131"/>
      <c r="P245" s="131"/>
      <c r="Q245" s="131"/>
      <c r="R245" s="217"/>
      <c r="S245" s="219"/>
      <c r="T245" s="219"/>
      <c r="U245" s="217"/>
      <c r="V245" s="217"/>
    </row>
    <row r="246" spans="1:24" ht="25.5" customHeight="1">
      <c r="A246" s="20"/>
      <c r="B246" s="186" t="s">
        <v>342</v>
      </c>
      <c r="C246" s="295">
        <v>45300</v>
      </c>
      <c r="D246" s="131"/>
      <c r="E246" s="267">
        <f>+'ต.ค. '!E251+พ.ย.!E247+ธ.ค.!E247</f>
        <v>0</v>
      </c>
      <c r="F246" s="267">
        <f>+'ต.ค. '!F251+พ.ย.!F247+ธ.ค.!F247</f>
        <v>0</v>
      </c>
      <c r="G246" s="267">
        <f>+'ต.ค. '!G251+พ.ย.!G247+ธ.ค.!G247</f>
        <v>0</v>
      </c>
      <c r="H246" s="267">
        <f>+'ต.ค. '!H251+พ.ย.!H247+ธ.ค.!H247</f>
        <v>0</v>
      </c>
      <c r="I246" s="267">
        <f>+'ต.ค. '!I251+พ.ย.!I247+ธ.ค.!I247</f>
        <v>0</v>
      </c>
      <c r="J246" s="267">
        <f>+'ต.ค. '!J251+พ.ย.!J247+ธ.ค.!J247</f>
        <v>0</v>
      </c>
      <c r="K246" s="267">
        <f>+'ต.ค. '!K251+พ.ย.!K247+ธ.ค.!K247</f>
        <v>0</v>
      </c>
      <c r="L246" s="267">
        <f>+'ต.ค. '!L251+พ.ย.!L247+ธ.ค.!L247</f>
        <v>0</v>
      </c>
      <c r="M246" s="267">
        <f>+'ต.ค. '!M251+พ.ย.!M247+ธ.ค.!M247</f>
        <v>0</v>
      </c>
      <c r="N246" s="267">
        <f>+'ต.ค. '!N251+พ.ย.!N247+ธ.ค.!N247</f>
        <v>0</v>
      </c>
      <c r="O246" s="267">
        <f>+'ต.ค. '!O251+พ.ย.!O247+ธ.ค.!O247</f>
        <v>0</v>
      </c>
      <c r="P246" s="267">
        <f>+'ต.ค. '!P251+พ.ย.!P247+ธ.ค.!P247</f>
        <v>0</v>
      </c>
      <c r="Q246" s="267">
        <f>+'ต.ค. '!Q251+พ.ย.!Q247+ธ.ค.!Q247</f>
        <v>0</v>
      </c>
      <c r="R246" s="267">
        <f>+'ต.ค. '!R251+พ.ย.!R247+ธ.ค.!R247</f>
        <v>0</v>
      </c>
      <c r="S246" s="267">
        <f>+'ต.ค. '!S251+พ.ย.!S247+ธ.ค.!S247</f>
        <v>0</v>
      </c>
      <c r="T246" s="267"/>
      <c r="U246" s="267">
        <f>+'ต.ค. '!U251+พ.ย.!U247+ธ.ค.!U247</f>
        <v>0</v>
      </c>
      <c r="V246" s="267">
        <f>+'ต.ค. '!V251+พ.ย.!V247+ธ.ค.!V247</f>
        <v>0</v>
      </c>
    </row>
    <row r="247" spans="1:24" ht="25.5" customHeight="1">
      <c r="A247" s="20"/>
      <c r="B247" s="186" t="s">
        <v>343</v>
      </c>
      <c r="C247" s="295">
        <v>128000</v>
      </c>
      <c r="D247" s="131"/>
      <c r="E247" s="267">
        <f>+'ต.ค. '!E252+พ.ย.!E248+ธ.ค.!E248</f>
        <v>0</v>
      </c>
      <c r="F247" s="267">
        <f>+'ต.ค. '!F252+พ.ย.!F248+ธ.ค.!F248</f>
        <v>0</v>
      </c>
      <c r="G247" s="267">
        <f>+'ต.ค. '!G252+พ.ย.!G248+ธ.ค.!G248</f>
        <v>0</v>
      </c>
      <c r="H247" s="267">
        <f>+'ต.ค. '!H252+พ.ย.!H248+ธ.ค.!H248</f>
        <v>0</v>
      </c>
      <c r="I247" s="267">
        <f>+'ต.ค. '!I252+พ.ย.!I248+ธ.ค.!I248</f>
        <v>0</v>
      </c>
      <c r="J247" s="267">
        <f>+'ต.ค. '!J252+พ.ย.!J248+ธ.ค.!J248</f>
        <v>0</v>
      </c>
      <c r="K247" s="267">
        <f>+'ต.ค. '!K252+พ.ย.!K248+ธ.ค.!K248</f>
        <v>0</v>
      </c>
      <c r="L247" s="267">
        <f>+'ต.ค. '!L252+พ.ย.!L248+ธ.ค.!L248</f>
        <v>0</v>
      </c>
      <c r="M247" s="267">
        <f>+'ต.ค. '!M252+พ.ย.!M248+ธ.ค.!M248</f>
        <v>0</v>
      </c>
      <c r="N247" s="267">
        <f>+'ต.ค. '!N252+พ.ย.!N248+ธ.ค.!N248</f>
        <v>0</v>
      </c>
      <c r="O247" s="267">
        <f>+'ต.ค. '!O252+พ.ย.!O248+ธ.ค.!O248</f>
        <v>0</v>
      </c>
      <c r="P247" s="267">
        <f>+'ต.ค. '!P252+พ.ย.!P248+ธ.ค.!P248</f>
        <v>0</v>
      </c>
      <c r="Q247" s="267">
        <f>+'ต.ค. '!Q252+พ.ย.!Q248+ธ.ค.!Q248</f>
        <v>0</v>
      </c>
      <c r="R247" s="267">
        <f>+'ต.ค. '!R252+พ.ย.!R248+ธ.ค.!R248</f>
        <v>0</v>
      </c>
      <c r="S247" s="267">
        <f>+'ต.ค. '!S252+พ.ย.!S248+ธ.ค.!S248</f>
        <v>0</v>
      </c>
      <c r="T247" s="267"/>
      <c r="U247" s="267">
        <f>+'ต.ค. '!U252+พ.ย.!U248+ธ.ค.!U248</f>
        <v>0</v>
      </c>
      <c r="V247" s="267">
        <f>+'ต.ค. '!V252+พ.ย.!V248+ธ.ค.!V248</f>
        <v>0</v>
      </c>
    </row>
    <row r="248" spans="1:24" ht="25.5" customHeight="1">
      <c r="A248" s="20"/>
      <c r="B248" s="186" t="s">
        <v>264</v>
      </c>
      <c r="C248" s="295">
        <v>204000</v>
      </c>
      <c r="D248" s="131"/>
      <c r="E248" s="267">
        <f>+'ต.ค. '!E253+พ.ย.!E249+ธ.ค.!E249</f>
        <v>0</v>
      </c>
      <c r="F248" s="267">
        <f>+'ต.ค. '!F253+พ.ย.!F249+ธ.ค.!F249</f>
        <v>0</v>
      </c>
      <c r="G248" s="267">
        <f>+'ต.ค. '!G253+พ.ย.!G249+ธ.ค.!G249</f>
        <v>0</v>
      </c>
      <c r="H248" s="267">
        <f>+'ต.ค. '!H253+พ.ย.!H249+ธ.ค.!H249</f>
        <v>0</v>
      </c>
      <c r="I248" s="267">
        <f>+'ต.ค. '!I253+พ.ย.!I249+ธ.ค.!I249</f>
        <v>0</v>
      </c>
      <c r="J248" s="267">
        <f>+'ต.ค. '!J253+พ.ย.!J249+ธ.ค.!J249</f>
        <v>0</v>
      </c>
      <c r="K248" s="267">
        <f>+'ต.ค. '!K253+พ.ย.!K249+ธ.ค.!K249</f>
        <v>0</v>
      </c>
      <c r="L248" s="267">
        <f>+'ต.ค. '!L253+พ.ย.!L249+ธ.ค.!L249</f>
        <v>0</v>
      </c>
      <c r="M248" s="267">
        <f>+'ต.ค. '!M253+พ.ย.!M249+ธ.ค.!M249</f>
        <v>0</v>
      </c>
      <c r="N248" s="267"/>
      <c r="O248" s="267">
        <f>+'ต.ค. '!O253+พ.ย.!O249+ธ.ค.!O249</f>
        <v>0</v>
      </c>
      <c r="P248" s="267">
        <f>+'ต.ค. '!P253+พ.ย.!P249+ธ.ค.!P249</f>
        <v>0</v>
      </c>
      <c r="Q248" s="267">
        <f>+'ต.ค. '!Q253+พ.ย.!Q249+ธ.ค.!Q249</f>
        <v>0</v>
      </c>
      <c r="R248" s="267">
        <f>+'ต.ค. '!R253+พ.ย.!R249+ธ.ค.!R249</f>
        <v>0</v>
      </c>
      <c r="S248" s="267">
        <f>+'ต.ค. '!S253+พ.ย.!S249+ธ.ค.!S249</f>
        <v>0</v>
      </c>
      <c r="T248" s="267"/>
      <c r="U248" s="267">
        <f>+'ต.ค. '!U253+พ.ย.!U249+ธ.ค.!U249</f>
        <v>0</v>
      </c>
      <c r="V248" s="267">
        <f>+'ต.ค. '!V253+พ.ย.!V249+ธ.ค.!V249</f>
        <v>0</v>
      </c>
    </row>
    <row r="249" spans="1:24" ht="25.5" customHeight="1">
      <c r="A249" s="20"/>
      <c r="B249" s="186" t="s">
        <v>381</v>
      </c>
      <c r="C249" s="295">
        <v>204000</v>
      </c>
      <c r="D249" s="131"/>
      <c r="E249" s="267">
        <f>+'ต.ค. '!E254+พ.ย.!E250+ธ.ค.!E250</f>
        <v>0</v>
      </c>
      <c r="F249" s="267">
        <f>+'ต.ค. '!F254+พ.ย.!F250+ธ.ค.!F250</f>
        <v>0</v>
      </c>
      <c r="G249" s="267">
        <f>+'ต.ค. '!G254+พ.ย.!G250+ธ.ค.!G250</f>
        <v>0</v>
      </c>
      <c r="H249" s="267">
        <f>+'ต.ค. '!H254+พ.ย.!H250+ธ.ค.!H250</f>
        <v>0</v>
      </c>
      <c r="I249" s="267">
        <f>+'ต.ค. '!I254+พ.ย.!I250+ธ.ค.!I250</f>
        <v>0</v>
      </c>
      <c r="J249" s="267">
        <f>+'ต.ค. '!J254+พ.ย.!J250+ธ.ค.!J250</f>
        <v>0</v>
      </c>
      <c r="K249" s="267">
        <f>+'ต.ค. '!K254+พ.ย.!K250+ธ.ค.!K250</f>
        <v>0</v>
      </c>
      <c r="L249" s="267">
        <f>+'ต.ค. '!L254+พ.ย.!L250+ธ.ค.!L250</f>
        <v>0</v>
      </c>
      <c r="M249" s="267">
        <f>+'ต.ค. '!M254+พ.ย.!M250+ธ.ค.!M250</f>
        <v>0</v>
      </c>
      <c r="N249" s="267"/>
      <c r="O249" s="267">
        <f>+'ต.ค. '!O254+พ.ย.!O250+ธ.ค.!O250</f>
        <v>0</v>
      </c>
      <c r="P249" s="267">
        <f>+'ต.ค. '!P254+พ.ย.!P250+ธ.ค.!P250</f>
        <v>0</v>
      </c>
      <c r="Q249" s="267">
        <f>+'ต.ค. '!Q254+พ.ย.!Q250+ธ.ค.!Q250</f>
        <v>0</v>
      </c>
      <c r="R249" s="267">
        <f>+'ต.ค. '!R254+พ.ย.!R250+ธ.ค.!R250</f>
        <v>0</v>
      </c>
      <c r="S249" s="267">
        <f>+'ต.ค. '!S254+พ.ย.!S250+ธ.ค.!S250</f>
        <v>0</v>
      </c>
      <c r="T249" s="267"/>
      <c r="U249" s="267">
        <f>+'ต.ค. '!U254+พ.ย.!U250+ธ.ค.!U250</f>
        <v>0</v>
      </c>
      <c r="V249" s="267">
        <f>+'ต.ค. '!V254+พ.ย.!V250+ธ.ค.!V250</f>
        <v>0</v>
      </c>
    </row>
    <row r="250" spans="1:24" ht="25.5" customHeight="1">
      <c r="A250" s="20"/>
      <c r="B250" s="186" t="s">
        <v>344</v>
      </c>
      <c r="C250" s="295">
        <v>204000</v>
      </c>
      <c r="D250" s="131"/>
      <c r="E250" s="267">
        <f>+'ต.ค. '!E255+พ.ย.!E251+ธ.ค.!E251</f>
        <v>0</v>
      </c>
      <c r="F250" s="267">
        <f>+'ต.ค. '!F255+พ.ย.!F251+ธ.ค.!F251</f>
        <v>0</v>
      </c>
      <c r="G250" s="267">
        <f>+'ต.ค. '!G255+พ.ย.!G251+ธ.ค.!G251</f>
        <v>0</v>
      </c>
      <c r="H250" s="267">
        <f>+'ต.ค. '!H255+พ.ย.!H251+ธ.ค.!H251</f>
        <v>0</v>
      </c>
      <c r="I250" s="267">
        <f>+'ต.ค. '!I255+พ.ย.!I251+ธ.ค.!I251</f>
        <v>0</v>
      </c>
      <c r="J250" s="267">
        <f>+'ต.ค. '!J255+พ.ย.!J251+ธ.ค.!J251</f>
        <v>0</v>
      </c>
      <c r="K250" s="267">
        <f>+'ต.ค. '!K255+พ.ย.!K251+ธ.ค.!K251</f>
        <v>0</v>
      </c>
      <c r="L250" s="267">
        <f>+'ต.ค. '!L255+พ.ย.!L251+ธ.ค.!L251</f>
        <v>0</v>
      </c>
      <c r="M250" s="267">
        <f>+'ต.ค. '!M255+พ.ย.!M251+ธ.ค.!M251</f>
        <v>0</v>
      </c>
      <c r="N250" s="267"/>
      <c r="O250" s="267">
        <f>+'ต.ค. '!O255+พ.ย.!O251+ธ.ค.!O251</f>
        <v>0</v>
      </c>
      <c r="P250" s="267">
        <f>+'ต.ค. '!P255+พ.ย.!P251+ธ.ค.!P251</f>
        <v>0</v>
      </c>
      <c r="Q250" s="267">
        <f>+'ต.ค. '!Q255+พ.ย.!Q251+ธ.ค.!Q251</f>
        <v>0</v>
      </c>
      <c r="R250" s="267">
        <f>+'ต.ค. '!R255+พ.ย.!R251+ธ.ค.!R251</f>
        <v>0</v>
      </c>
      <c r="S250" s="267">
        <f>+'ต.ค. '!S255+พ.ย.!S251+ธ.ค.!S251</f>
        <v>0</v>
      </c>
      <c r="T250" s="267"/>
      <c r="U250" s="267">
        <f>+'ต.ค. '!U255+พ.ย.!U251+ธ.ค.!U251</f>
        <v>0</v>
      </c>
      <c r="V250" s="267">
        <f>+'ต.ค. '!V255+พ.ย.!V251+ธ.ค.!V251</f>
        <v>0</v>
      </c>
    </row>
    <row r="251" spans="1:24" ht="25.5" customHeight="1">
      <c r="A251" s="20"/>
      <c r="B251" s="186" t="s">
        <v>345</v>
      </c>
      <c r="C251" s="295">
        <v>217000</v>
      </c>
      <c r="D251" s="131"/>
      <c r="E251" s="267">
        <f>+'ต.ค. '!E256+พ.ย.!E252+ธ.ค.!E252</f>
        <v>0</v>
      </c>
      <c r="F251" s="267">
        <f>+'ต.ค. '!F256+พ.ย.!F252+ธ.ค.!F252</f>
        <v>0</v>
      </c>
      <c r="G251" s="267">
        <f>+'ต.ค. '!G256+พ.ย.!G252+ธ.ค.!G252</f>
        <v>0</v>
      </c>
      <c r="H251" s="267">
        <f>+'ต.ค. '!H256+พ.ย.!H252+ธ.ค.!H252</f>
        <v>0</v>
      </c>
      <c r="I251" s="267">
        <f>+'ต.ค. '!I256+พ.ย.!I252+ธ.ค.!I252</f>
        <v>0</v>
      </c>
      <c r="J251" s="267">
        <f>+'ต.ค. '!J256+พ.ย.!J252+ธ.ค.!J252</f>
        <v>0</v>
      </c>
      <c r="K251" s="267">
        <f>+'ต.ค. '!K256+พ.ย.!K252+ธ.ค.!K252</f>
        <v>0</v>
      </c>
      <c r="L251" s="267">
        <f>+'ต.ค. '!L256+พ.ย.!L252+ธ.ค.!L252</f>
        <v>0</v>
      </c>
      <c r="M251" s="267">
        <f>+'ต.ค. '!M256+พ.ย.!M252+ธ.ค.!M252</f>
        <v>0</v>
      </c>
      <c r="N251" s="267"/>
      <c r="O251" s="267">
        <f>+'ต.ค. '!O256+พ.ย.!O252+ธ.ค.!O252</f>
        <v>0</v>
      </c>
      <c r="P251" s="267">
        <f>+'ต.ค. '!P256+พ.ย.!P252+ธ.ค.!P252</f>
        <v>0</v>
      </c>
      <c r="Q251" s="267">
        <f>+'ต.ค. '!Q256+พ.ย.!Q252+ธ.ค.!Q252</f>
        <v>0</v>
      </c>
      <c r="R251" s="267">
        <f>+'ต.ค. '!R256+พ.ย.!R252+ธ.ค.!R252</f>
        <v>0</v>
      </c>
      <c r="S251" s="267">
        <f>+'ต.ค. '!S256+พ.ย.!S252+ธ.ค.!S252</f>
        <v>0</v>
      </c>
      <c r="T251" s="267"/>
      <c r="U251" s="267">
        <f>+'ต.ค. '!U256+พ.ย.!U252+ธ.ค.!U252</f>
        <v>0</v>
      </c>
      <c r="V251" s="267">
        <f>+'ต.ค. '!V256+พ.ย.!V252+ธ.ค.!V252</f>
        <v>0</v>
      </c>
    </row>
    <row r="252" spans="1:24" ht="25.5" customHeight="1">
      <c r="A252" s="20"/>
      <c r="B252" s="186" t="s">
        <v>346</v>
      </c>
      <c r="C252" s="295">
        <v>27000</v>
      </c>
      <c r="D252" s="131"/>
      <c r="E252" s="267">
        <f>+'ต.ค. '!E257+พ.ย.!E253+ธ.ค.!E253</f>
        <v>0</v>
      </c>
      <c r="F252" s="267">
        <f>+'ต.ค. '!F257+พ.ย.!F253+ธ.ค.!F253</f>
        <v>0</v>
      </c>
      <c r="G252" s="267">
        <f>+'ต.ค. '!G257+พ.ย.!G253+ธ.ค.!G253</f>
        <v>0</v>
      </c>
      <c r="H252" s="267">
        <f>+'ต.ค. '!H257+พ.ย.!H253+ธ.ค.!H253</f>
        <v>0</v>
      </c>
      <c r="I252" s="267">
        <f>+'ต.ค. '!I257+พ.ย.!I253+ธ.ค.!I253</f>
        <v>0</v>
      </c>
      <c r="J252" s="267">
        <f>+'ต.ค. '!J257+พ.ย.!J253+ธ.ค.!J253</f>
        <v>0</v>
      </c>
      <c r="K252" s="267">
        <f>+'ต.ค. '!K257+พ.ย.!K253+ธ.ค.!K253</f>
        <v>0</v>
      </c>
      <c r="L252" s="267">
        <f>+'ต.ค. '!L257+พ.ย.!L253+ธ.ค.!L253</f>
        <v>0</v>
      </c>
      <c r="M252" s="267">
        <f>+'ต.ค. '!M257+พ.ย.!M253+ธ.ค.!M253</f>
        <v>0</v>
      </c>
      <c r="N252" s="267"/>
      <c r="O252" s="267">
        <f>+'ต.ค. '!O257+พ.ย.!O253+ธ.ค.!O253</f>
        <v>0</v>
      </c>
      <c r="P252" s="267">
        <f>+'ต.ค. '!P257+พ.ย.!P253+ธ.ค.!P253</f>
        <v>0</v>
      </c>
      <c r="Q252" s="267">
        <f>+'ต.ค. '!Q257+พ.ย.!Q253+ธ.ค.!Q253</f>
        <v>0</v>
      </c>
      <c r="R252" s="267">
        <f>+'ต.ค. '!R257+พ.ย.!R253+ธ.ค.!R253</f>
        <v>0</v>
      </c>
      <c r="S252" s="267">
        <f>+'ต.ค. '!S257+พ.ย.!S253+ธ.ค.!S253</f>
        <v>0</v>
      </c>
      <c r="T252" s="267"/>
      <c r="U252" s="267">
        <f>+'ต.ค. '!U257+พ.ย.!U253+ธ.ค.!U253</f>
        <v>0</v>
      </c>
      <c r="V252" s="267">
        <f>+'ต.ค. '!V257+พ.ย.!V253+ธ.ค.!V253</f>
        <v>0</v>
      </c>
    </row>
    <row r="253" spans="1:24" ht="25.5" customHeight="1">
      <c r="A253" s="20"/>
      <c r="B253" s="186" t="s">
        <v>347</v>
      </c>
      <c r="C253" s="295">
        <v>211000</v>
      </c>
      <c r="D253" s="131"/>
      <c r="E253" s="267">
        <f>+'ต.ค. '!E258+พ.ย.!E254+ธ.ค.!E254</f>
        <v>0</v>
      </c>
      <c r="F253" s="267">
        <f>+'ต.ค. '!F258+พ.ย.!F254+ธ.ค.!F254</f>
        <v>0</v>
      </c>
      <c r="G253" s="267">
        <f>+'ต.ค. '!G258+พ.ย.!G254+ธ.ค.!G254</f>
        <v>0</v>
      </c>
      <c r="H253" s="267">
        <f>+'ต.ค. '!H258+พ.ย.!H254+ธ.ค.!H254</f>
        <v>0</v>
      </c>
      <c r="I253" s="267">
        <f>+'ต.ค. '!I258+พ.ย.!I254+ธ.ค.!I254</f>
        <v>0</v>
      </c>
      <c r="J253" s="267">
        <f>+'ต.ค. '!J258+พ.ย.!J254+ธ.ค.!J254</f>
        <v>0</v>
      </c>
      <c r="K253" s="267">
        <f>+'ต.ค. '!K258+พ.ย.!K254+ธ.ค.!K254</f>
        <v>0</v>
      </c>
      <c r="L253" s="267">
        <f>+'ต.ค. '!L258+พ.ย.!L254+ธ.ค.!L254</f>
        <v>0</v>
      </c>
      <c r="M253" s="267">
        <f>+'ต.ค. '!M258+พ.ย.!M254+ธ.ค.!M254</f>
        <v>0</v>
      </c>
      <c r="N253" s="267"/>
      <c r="O253" s="267">
        <f>+'ต.ค. '!O258+พ.ย.!O254+ธ.ค.!O254</f>
        <v>0</v>
      </c>
      <c r="P253" s="267">
        <f>+'ต.ค. '!P258+พ.ย.!P254+ธ.ค.!P254</f>
        <v>0</v>
      </c>
      <c r="Q253" s="267">
        <f>+'ต.ค. '!Q258+พ.ย.!Q254+ธ.ค.!Q254</f>
        <v>0</v>
      </c>
      <c r="R253" s="267">
        <f>+'ต.ค. '!R258+พ.ย.!R254+ธ.ค.!R254</f>
        <v>0</v>
      </c>
      <c r="S253" s="267">
        <f>+'ต.ค. '!S258+พ.ย.!S254+ธ.ค.!S254</f>
        <v>0</v>
      </c>
      <c r="T253" s="267"/>
      <c r="U253" s="267">
        <f>+'ต.ค. '!U258+พ.ย.!U254+ธ.ค.!U254</f>
        <v>0</v>
      </c>
      <c r="V253" s="267">
        <f>+'ต.ค. '!V258+พ.ย.!V254+ธ.ค.!V254</f>
        <v>0</v>
      </c>
    </row>
    <row r="254" spans="1:24" ht="25.5" customHeight="1">
      <c r="A254" s="20"/>
      <c r="B254" s="186" t="s">
        <v>348</v>
      </c>
      <c r="C254" s="295">
        <v>211000</v>
      </c>
      <c r="D254" s="131"/>
      <c r="E254" s="267">
        <f>+'ต.ค. '!E259+พ.ย.!E255+ธ.ค.!E255</f>
        <v>0</v>
      </c>
      <c r="F254" s="267">
        <f>+'ต.ค. '!F259+พ.ย.!F255+ธ.ค.!F255</f>
        <v>0</v>
      </c>
      <c r="G254" s="267">
        <f>+'ต.ค. '!G259+พ.ย.!G255+ธ.ค.!G255</f>
        <v>0</v>
      </c>
      <c r="H254" s="267">
        <f>+'ต.ค. '!H259+พ.ย.!H255+ธ.ค.!H255</f>
        <v>0</v>
      </c>
      <c r="I254" s="267">
        <f>+'ต.ค. '!I259+พ.ย.!I255+ธ.ค.!I255</f>
        <v>0</v>
      </c>
      <c r="J254" s="267">
        <f>+'ต.ค. '!J259+พ.ย.!J255+ธ.ค.!J255</f>
        <v>0</v>
      </c>
      <c r="K254" s="267">
        <f>+'ต.ค. '!K259+พ.ย.!K255+ธ.ค.!K255</f>
        <v>0</v>
      </c>
      <c r="L254" s="267">
        <f>+'ต.ค. '!L259+พ.ย.!L255+ธ.ค.!L255</f>
        <v>0</v>
      </c>
      <c r="M254" s="267">
        <f>+'ต.ค. '!M259+พ.ย.!M255+ธ.ค.!M255</f>
        <v>0</v>
      </c>
      <c r="N254" s="267"/>
      <c r="O254" s="267">
        <f>+'ต.ค. '!O259+พ.ย.!O255+ธ.ค.!O255</f>
        <v>0</v>
      </c>
      <c r="P254" s="267">
        <f>+'ต.ค. '!P259+พ.ย.!P255+ธ.ค.!P255</f>
        <v>0</v>
      </c>
      <c r="Q254" s="267">
        <f>+'ต.ค. '!Q259+พ.ย.!Q255+ธ.ค.!Q255</f>
        <v>0</v>
      </c>
      <c r="R254" s="267">
        <f>+'ต.ค. '!R259+พ.ย.!R255+ธ.ค.!R255</f>
        <v>0</v>
      </c>
      <c r="S254" s="267">
        <f>+'ต.ค. '!S259+พ.ย.!S255+ธ.ค.!S255</f>
        <v>0</v>
      </c>
      <c r="T254" s="267"/>
      <c r="U254" s="267">
        <f>+'ต.ค. '!U259+พ.ย.!U255+ธ.ค.!U255</f>
        <v>0</v>
      </c>
      <c r="V254" s="267">
        <f>+'ต.ค. '!V259+พ.ย.!V255+ธ.ค.!V255</f>
        <v>0</v>
      </c>
    </row>
    <row r="255" spans="1:24" ht="25.5" customHeight="1">
      <c r="A255" s="20"/>
      <c r="B255" s="186" t="s">
        <v>349</v>
      </c>
      <c r="C255" s="296">
        <v>688700</v>
      </c>
      <c r="D255" s="131"/>
      <c r="E255" s="267">
        <f>+'ต.ค. '!E260+พ.ย.!E256+ธ.ค.!E256</f>
        <v>0</v>
      </c>
      <c r="F255" s="267">
        <f>+'ต.ค. '!F260+พ.ย.!F256+ธ.ค.!F256</f>
        <v>0</v>
      </c>
      <c r="G255" s="267">
        <f>+'ต.ค. '!G260+พ.ย.!G256+ธ.ค.!G256</f>
        <v>0</v>
      </c>
      <c r="H255" s="267">
        <f>+'ต.ค. '!H260+พ.ย.!H256+ธ.ค.!H256</f>
        <v>0</v>
      </c>
      <c r="I255" s="267">
        <f>+'ต.ค. '!I260+พ.ย.!I256+ธ.ค.!I256</f>
        <v>0</v>
      </c>
      <c r="J255" s="267">
        <f>+'ต.ค. '!J260+พ.ย.!J256+ธ.ค.!J256</f>
        <v>0</v>
      </c>
      <c r="K255" s="267">
        <f>+'ต.ค. '!K260+พ.ย.!K256+ธ.ค.!K256</f>
        <v>0</v>
      </c>
      <c r="L255" s="267">
        <f>+'ต.ค. '!L260+พ.ย.!L256+ธ.ค.!L256</f>
        <v>0</v>
      </c>
      <c r="M255" s="267">
        <f>+'ต.ค. '!M260+พ.ย.!M256+ธ.ค.!M256</f>
        <v>0</v>
      </c>
      <c r="N255" s="267"/>
      <c r="O255" s="267">
        <f>+'ต.ค. '!O260+พ.ย.!O256+ธ.ค.!O256</f>
        <v>0</v>
      </c>
      <c r="P255" s="267">
        <f>+'ต.ค. '!P260+พ.ย.!P256+ธ.ค.!P256</f>
        <v>0</v>
      </c>
      <c r="Q255" s="267">
        <f>+'ต.ค. '!Q260+พ.ย.!Q256+ธ.ค.!Q256</f>
        <v>0</v>
      </c>
      <c r="R255" s="267">
        <f>+'ต.ค. '!R260+พ.ย.!R256+ธ.ค.!R256</f>
        <v>0</v>
      </c>
      <c r="S255" s="267">
        <f>+'ต.ค. '!S260+พ.ย.!S256+ธ.ค.!S256</f>
        <v>0</v>
      </c>
      <c r="T255" s="267"/>
      <c r="U255" s="267">
        <f>+'ต.ค. '!U260+พ.ย.!U256+ธ.ค.!U256</f>
        <v>0</v>
      </c>
      <c r="V255" s="267">
        <f>+'ต.ค. '!V260+พ.ย.!V256+ธ.ค.!V256</f>
        <v>0</v>
      </c>
    </row>
    <row r="256" spans="1:24" ht="25.5" customHeight="1">
      <c r="A256" s="20"/>
      <c r="B256" s="186" t="s">
        <v>350</v>
      </c>
      <c r="C256" s="297">
        <v>62000</v>
      </c>
      <c r="D256" s="131"/>
      <c r="E256" s="267">
        <f>+'ต.ค. '!E261+พ.ย.!E257+ธ.ค.!E257</f>
        <v>0</v>
      </c>
      <c r="F256" s="267">
        <f>+'ต.ค. '!F261+พ.ย.!F257+ธ.ค.!F257</f>
        <v>0</v>
      </c>
      <c r="G256" s="267">
        <f>+'ต.ค. '!G261+พ.ย.!G257+ธ.ค.!G257</f>
        <v>0</v>
      </c>
      <c r="H256" s="267">
        <f>+'ต.ค. '!H261+พ.ย.!H257+ธ.ค.!H257</f>
        <v>0</v>
      </c>
      <c r="I256" s="267">
        <f>+'ต.ค. '!I261+พ.ย.!I257+ธ.ค.!I257</f>
        <v>0</v>
      </c>
      <c r="J256" s="267">
        <f>+'ต.ค. '!J261+พ.ย.!J257+ธ.ค.!J257</f>
        <v>0</v>
      </c>
      <c r="K256" s="267">
        <f>+'ต.ค. '!K261+พ.ย.!K257+ธ.ค.!K257</f>
        <v>0</v>
      </c>
      <c r="L256" s="267">
        <f>+'ต.ค. '!L261+พ.ย.!L257+ธ.ค.!L257</f>
        <v>0</v>
      </c>
      <c r="M256" s="267">
        <f>+'ต.ค. '!M261+พ.ย.!M257+ธ.ค.!M257</f>
        <v>0</v>
      </c>
      <c r="N256" s="267">
        <f>+'ต.ค. '!N261+พ.ย.!N257+ธ.ค.!N257</f>
        <v>0</v>
      </c>
      <c r="O256" s="267">
        <f>+'ต.ค. '!O261+พ.ย.!O257+ธ.ค.!O257</f>
        <v>0</v>
      </c>
      <c r="P256" s="267">
        <f>+'ต.ค. '!P261+พ.ย.!P257+ธ.ค.!P257</f>
        <v>0</v>
      </c>
      <c r="Q256" s="267">
        <f>+'ต.ค. '!Q261+พ.ย.!Q257+ธ.ค.!Q257</f>
        <v>0</v>
      </c>
      <c r="R256" s="267">
        <f>+'ต.ค. '!R261+พ.ย.!R257+ธ.ค.!R257</f>
        <v>0</v>
      </c>
      <c r="S256" s="267">
        <f>+'ต.ค. '!S261+พ.ย.!S257+ธ.ค.!S257</f>
        <v>0</v>
      </c>
      <c r="T256" s="267"/>
      <c r="U256" s="267">
        <f>+'ต.ค. '!U261+พ.ย.!U257+ธ.ค.!U257</f>
        <v>0</v>
      </c>
      <c r="V256" s="267">
        <f>+'ต.ค. '!V261+พ.ย.!V257+ธ.ค.!V257</f>
        <v>0</v>
      </c>
    </row>
    <row r="257" spans="1:23" ht="25.5" customHeight="1" thickBot="1">
      <c r="A257" s="24"/>
      <c r="B257" s="45" t="s">
        <v>5</v>
      </c>
      <c r="C257" s="170">
        <f>SUM(C226:C256)</f>
        <v>2383100</v>
      </c>
      <c r="D257" s="255">
        <f>SUM(D226:D256)</f>
        <v>0</v>
      </c>
      <c r="E257" s="254">
        <f t="shared" ref="E257:V257" si="7">SUM(E226:E256)</f>
        <v>0</v>
      </c>
      <c r="F257" s="254">
        <f t="shared" si="7"/>
        <v>0</v>
      </c>
      <c r="G257" s="254">
        <f t="shared" si="7"/>
        <v>0</v>
      </c>
      <c r="H257" s="254">
        <f t="shared" si="7"/>
        <v>26000</v>
      </c>
      <c r="I257" s="255">
        <f t="shared" si="7"/>
        <v>0</v>
      </c>
      <c r="J257" s="255">
        <f t="shared" si="7"/>
        <v>0</v>
      </c>
      <c r="K257" s="255">
        <f t="shared" si="7"/>
        <v>0</v>
      </c>
      <c r="L257" s="255">
        <f t="shared" si="7"/>
        <v>0</v>
      </c>
      <c r="M257" s="254">
        <f t="shared" si="7"/>
        <v>0</v>
      </c>
      <c r="N257" s="255">
        <f t="shared" si="7"/>
        <v>0</v>
      </c>
      <c r="O257" s="255">
        <f t="shared" si="7"/>
        <v>0</v>
      </c>
      <c r="P257" s="255">
        <f t="shared" si="7"/>
        <v>0</v>
      </c>
      <c r="Q257" s="255">
        <f t="shared" si="7"/>
        <v>0</v>
      </c>
      <c r="R257" s="255">
        <f t="shared" si="7"/>
        <v>0</v>
      </c>
      <c r="S257" s="255">
        <f t="shared" si="7"/>
        <v>0</v>
      </c>
      <c r="T257" s="255"/>
      <c r="U257" s="255">
        <f t="shared" si="7"/>
        <v>0</v>
      </c>
      <c r="V257" s="255">
        <f t="shared" si="7"/>
        <v>0</v>
      </c>
      <c r="W257" s="314">
        <f>SUM(D257:V257)</f>
        <v>26000</v>
      </c>
    </row>
    <row r="258" spans="1:23" ht="25.5" customHeight="1" thickTop="1">
      <c r="A258" s="50" t="s">
        <v>149</v>
      </c>
      <c r="B258" s="4"/>
      <c r="C258" s="193"/>
      <c r="D258" s="133"/>
      <c r="E258" s="269"/>
      <c r="F258" s="136"/>
      <c r="G258" s="136"/>
      <c r="H258" s="136"/>
      <c r="I258" s="133"/>
      <c r="J258" s="133"/>
      <c r="K258" s="133"/>
      <c r="L258" s="133"/>
      <c r="M258" s="136"/>
      <c r="N258" s="133"/>
      <c r="O258" s="133"/>
      <c r="P258" s="133"/>
      <c r="Q258" s="133"/>
      <c r="R258" s="258"/>
      <c r="S258" s="259"/>
      <c r="T258" s="259"/>
      <c r="U258" s="258"/>
      <c r="V258" s="258"/>
    </row>
    <row r="259" spans="1:23" ht="25.5" customHeight="1">
      <c r="A259" s="9"/>
      <c r="B259" s="186"/>
      <c r="C259" s="296"/>
      <c r="D259" s="133"/>
      <c r="E259" s="269"/>
      <c r="F259" s="136"/>
      <c r="G259" s="136"/>
      <c r="H259" s="136"/>
      <c r="I259" s="133"/>
      <c r="J259" s="133"/>
      <c r="K259" s="133"/>
      <c r="L259" s="133"/>
      <c r="M259" s="136"/>
      <c r="N259" s="133"/>
      <c r="O259" s="133"/>
      <c r="P259" s="133"/>
      <c r="Q259" s="133"/>
      <c r="R259" s="258"/>
      <c r="S259" s="259"/>
      <c r="T259" s="259"/>
      <c r="U259" s="258"/>
      <c r="V259" s="258"/>
    </row>
    <row r="260" spans="1:23" ht="25.5" customHeight="1">
      <c r="A260" s="9"/>
      <c r="B260" s="186"/>
      <c r="C260" s="296"/>
      <c r="D260" s="133"/>
      <c r="E260" s="269"/>
      <c r="F260" s="136"/>
      <c r="G260" s="136"/>
      <c r="H260" s="136"/>
      <c r="I260" s="133"/>
      <c r="J260" s="133"/>
      <c r="K260" s="133"/>
      <c r="L260" s="133"/>
      <c r="M260" s="136"/>
      <c r="N260" s="133"/>
      <c r="O260" s="133"/>
      <c r="P260" s="133"/>
      <c r="Q260" s="133"/>
      <c r="R260" s="258"/>
      <c r="S260" s="259"/>
      <c r="T260" s="259"/>
      <c r="U260" s="258"/>
      <c r="V260" s="258"/>
    </row>
    <row r="261" spans="1:23" ht="25.5" customHeight="1">
      <c r="A261" s="9"/>
      <c r="B261" s="186"/>
      <c r="C261" s="296"/>
      <c r="D261" s="133"/>
      <c r="E261" s="269"/>
      <c r="F261" s="136"/>
      <c r="G261" s="136"/>
      <c r="H261" s="136"/>
      <c r="I261" s="133"/>
      <c r="J261" s="133"/>
      <c r="K261" s="133"/>
      <c r="L261" s="133"/>
      <c r="M261" s="136"/>
      <c r="N261" s="133"/>
      <c r="O261" s="133"/>
      <c r="P261" s="133"/>
      <c r="Q261" s="133"/>
      <c r="R261" s="258"/>
      <c r="S261" s="259"/>
      <c r="T261" s="259"/>
      <c r="U261" s="258"/>
      <c r="V261" s="258"/>
    </row>
    <row r="262" spans="1:23" ht="25.5" customHeight="1">
      <c r="A262" s="9"/>
      <c r="B262" s="186"/>
      <c r="C262" s="296"/>
      <c r="D262" s="131"/>
      <c r="E262" s="267"/>
      <c r="F262" s="135"/>
      <c r="G262" s="135"/>
      <c r="H262" s="135"/>
      <c r="I262" s="131"/>
      <c r="J262" s="131"/>
      <c r="K262" s="131"/>
      <c r="L262" s="131"/>
      <c r="M262" s="135"/>
      <c r="N262" s="131"/>
      <c r="O262" s="131"/>
      <c r="P262" s="131"/>
      <c r="Q262" s="131"/>
      <c r="R262" s="217"/>
      <c r="S262" s="219"/>
      <c r="T262" s="219"/>
      <c r="U262" s="217"/>
      <c r="V262" s="217"/>
    </row>
    <row r="263" spans="1:23" ht="25.5" customHeight="1">
      <c r="A263" s="9"/>
      <c r="B263" s="186"/>
      <c r="C263" s="296"/>
      <c r="D263" s="131"/>
      <c r="E263" s="267"/>
      <c r="F263" s="135"/>
      <c r="G263" s="135"/>
      <c r="H263" s="135"/>
      <c r="I263" s="131"/>
      <c r="J263" s="131"/>
      <c r="K263" s="131"/>
      <c r="L263" s="131"/>
      <c r="M263" s="135"/>
      <c r="N263" s="131"/>
      <c r="O263" s="131"/>
      <c r="P263" s="131"/>
      <c r="Q263" s="131"/>
      <c r="R263" s="217"/>
      <c r="S263" s="219"/>
      <c r="T263" s="219"/>
      <c r="U263" s="217"/>
      <c r="V263" s="217"/>
    </row>
    <row r="264" spans="1:23" ht="25.5" customHeight="1">
      <c r="A264" s="9"/>
      <c r="B264" s="186"/>
      <c r="C264" s="296"/>
      <c r="D264" s="131"/>
      <c r="E264" s="267"/>
      <c r="F264" s="135"/>
      <c r="G264" s="135"/>
      <c r="H264" s="135"/>
      <c r="I264" s="131"/>
      <c r="J264" s="131"/>
      <c r="K264" s="131"/>
      <c r="L264" s="131"/>
      <c r="M264" s="135"/>
      <c r="N264" s="131"/>
      <c r="O264" s="131"/>
      <c r="P264" s="131"/>
      <c r="Q264" s="131"/>
      <c r="R264" s="217"/>
      <c r="S264" s="219"/>
      <c r="T264" s="219"/>
      <c r="U264" s="217"/>
      <c r="V264" s="217"/>
    </row>
    <row r="265" spans="1:23" ht="25.5" customHeight="1">
      <c r="A265" s="9"/>
      <c r="B265" s="186"/>
      <c r="C265" s="296"/>
      <c r="D265" s="131"/>
      <c r="E265" s="267"/>
      <c r="F265" s="135"/>
      <c r="G265" s="135"/>
      <c r="H265" s="135"/>
      <c r="I265" s="131"/>
      <c r="J265" s="131"/>
      <c r="K265" s="131"/>
      <c r="L265" s="131"/>
      <c r="M265" s="135"/>
      <c r="N265" s="131"/>
      <c r="O265" s="131"/>
      <c r="P265" s="131"/>
      <c r="Q265" s="131"/>
      <c r="R265" s="217"/>
      <c r="S265" s="219"/>
      <c r="T265" s="219"/>
      <c r="U265" s="217"/>
      <c r="V265" s="217"/>
    </row>
    <row r="266" spans="1:23" ht="25.5" customHeight="1">
      <c r="A266" s="9"/>
      <c r="B266" s="186"/>
      <c r="C266" s="296"/>
      <c r="D266" s="131"/>
      <c r="E266" s="267"/>
      <c r="F266" s="135"/>
      <c r="G266" s="135"/>
      <c r="H266" s="135"/>
      <c r="I266" s="131"/>
      <c r="J266" s="131"/>
      <c r="K266" s="131"/>
      <c r="L266" s="131"/>
      <c r="M266" s="135"/>
      <c r="N266" s="131"/>
      <c r="O266" s="131"/>
      <c r="P266" s="131"/>
      <c r="Q266" s="131"/>
      <c r="R266" s="217"/>
      <c r="S266" s="219"/>
      <c r="T266" s="219"/>
      <c r="U266" s="217"/>
      <c r="V266" s="217"/>
    </row>
    <row r="267" spans="1:23" ht="25.5" customHeight="1" thickBot="1">
      <c r="A267" s="15"/>
      <c r="B267" s="14" t="s">
        <v>5</v>
      </c>
      <c r="C267" s="170">
        <f>SUM(C259:C266)</f>
        <v>0</v>
      </c>
      <c r="D267" s="255">
        <f>SUM(D259:D266)</f>
        <v>0</v>
      </c>
      <c r="E267" s="254">
        <f t="shared" ref="E267:V267" si="8">SUM(E259:E266)</f>
        <v>0</v>
      </c>
      <c r="F267" s="254">
        <f t="shared" si="8"/>
        <v>0</v>
      </c>
      <c r="G267" s="254">
        <f t="shared" si="8"/>
        <v>0</v>
      </c>
      <c r="H267" s="254">
        <f t="shared" si="8"/>
        <v>0</v>
      </c>
      <c r="I267" s="255">
        <f t="shared" si="8"/>
        <v>0</v>
      </c>
      <c r="J267" s="255">
        <f t="shared" si="8"/>
        <v>0</v>
      </c>
      <c r="K267" s="255">
        <f t="shared" si="8"/>
        <v>0</v>
      </c>
      <c r="L267" s="255">
        <f t="shared" si="8"/>
        <v>0</v>
      </c>
      <c r="M267" s="254">
        <f t="shared" si="8"/>
        <v>0</v>
      </c>
      <c r="N267" s="255">
        <f t="shared" si="8"/>
        <v>0</v>
      </c>
      <c r="O267" s="255">
        <f t="shared" si="8"/>
        <v>0</v>
      </c>
      <c r="P267" s="255">
        <f t="shared" si="8"/>
        <v>0</v>
      </c>
      <c r="Q267" s="255">
        <f t="shared" si="8"/>
        <v>0</v>
      </c>
      <c r="R267" s="255">
        <f t="shared" si="8"/>
        <v>0</v>
      </c>
      <c r="S267" s="255">
        <f t="shared" si="8"/>
        <v>0</v>
      </c>
      <c r="T267" s="255"/>
      <c r="U267" s="255">
        <f t="shared" si="8"/>
        <v>0</v>
      </c>
      <c r="V267" s="255">
        <f t="shared" si="8"/>
        <v>0</v>
      </c>
      <c r="W267" s="314">
        <f>SUM(D267:V267)</f>
        <v>0</v>
      </c>
    </row>
    <row r="268" spans="1:23" ht="25.5" customHeight="1" thickTop="1">
      <c r="A268" s="20" t="s">
        <v>24</v>
      </c>
      <c r="B268" s="23"/>
      <c r="C268" s="190"/>
      <c r="D268" s="133"/>
      <c r="E268" s="269"/>
      <c r="F268" s="136"/>
      <c r="G268" s="136"/>
      <c r="H268" s="136"/>
      <c r="I268" s="133"/>
      <c r="J268" s="133"/>
      <c r="K268" s="133"/>
      <c r="L268" s="133"/>
      <c r="M268" s="136"/>
      <c r="N268" s="133"/>
      <c r="O268" s="133"/>
      <c r="P268" s="133"/>
      <c r="Q268" s="133"/>
      <c r="R268" s="258"/>
      <c r="S268" s="259"/>
      <c r="T268" s="259"/>
      <c r="U268" s="258"/>
      <c r="V268" s="258"/>
    </row>
    <row r="269" spans="1:23" ht="25.5" customHeight="1">
      <c r="A269" s="20"/>
      <c r="B269" s="130" t="s">
        <v>406</v>
      </c>
      <c r="C269" s="192">
        <v>121500</v>
      </c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20"/>
      <c r="B270" s="130" t="s">
        <v>405</v>
      </c>
      <c r="C270" s="192">
        <v>105000</v>
      </c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 thickBot="1">
      <c r="A271" s="15"/>
      <c r="B271" s="14" t="s">
        <v>5</v>
      </c>
      <c r="C271" s="298">
        <f>SUM(C269:C270)</f>
        <v>226500</v>
      </c>
      <c r="D271" s="255">
        <f>SUM(D269:D270)</f>
        <v>0</v>
      </c>
      <c r="E271" s="254">
        <f t="shared" ref="E271:V271" si="9">SUM(E269:E270)</f>
        <v>0</v>
      </c>
      <c r="F271" s="254">
        <f t="shared" si="9"/>
        <v>0</v>
      </c>
      <c r="G271" s="254">
        <f t="shared" si="9"/>
        <v>0</v>
      </c>
      <c r="H271" s="254">
        <f t="shared" si="9"/>
        <v>0</v>
      </c>
      <c r="I271" s="255">
        <f t="shared" si="9"/>
        <v>0</v>
      </c>
      <c r="J271" s="255">
        <f t="shared" si="9"/>
        <v>0</v>
      </c>
      <c r="K271" s="255">
        <f t="shared" si="9"/>
        <v>0</v>
      </c>
      <c r="L271" s="255">
        <f t="shared" si="9"/>
        <v>0</v>
      </c>
      <c r="M271" s="254">
        <f t="shared" si="9"/>
        <v>0</v>
      </c>
      <c r="N271" s="255">
        <f t="shared" si="9"/>
        <v>0</v>
      </c>
      <c r="O271" s="255">
        <f t="shared" si="9"/>
        <v>0</v>
      </c>
      <c r="P271" s="255">
        <f t="shared" si="9"/>
        <v>0</v>
      </c>
      <c r="Q271" s="255">
        <f t="shared" si="9"/>
        <v>0</v>
      </c>
      <c r="R271" s="255">
        <f t="shared" si="9"/>
        <v>0</v>
      </c>
      <c r="S271" s="255">
        <f t="shared" si="9"/>
        <v>0</v>
      </c>
      <c r="T271" s="255"/>
      <c r="U271" s="255">
        <f t="shared" si="9"/>
        <v>0</v>
      </c>
      <c r="V271" s="255">
        <f t="shared" si="9"/>
        <v>0</v>
      </c>
      <c r="W271" s="314">
        <f>SUM(D271:V271)</f>
        <v>0</v>
      </c>
    </row>
    <row r="272" spans="1:23" ht="25.5" customHeight="1" thickTop="1">
      <c r="A272" s="20" t="s">
        <v>44</v>
      </c>
      <c r="B272" s="23"/>
      <c r="C272" s="193"/>
      <c r="D272" s="133"/>
      <c r="E272" s="269"/>
      <c r="F272" s="136"/>
      <c r="G272" s="136"/>
      <c r="H272" s="136"/>
      <c r="I272" s="133"/>
      <c r="J272" s="133"/>
      <c r="K272" s="133"/>
      <c r="L272" s="133"/>
      <c r="M272" s="136"/>
      <c r="N272" s="133"/>
      <c r="O272" s="133"/>
      <c r="P272" s="133"/>
      <c r="Q272" s="133"/>
      <c r="R272" s="258"/>
      <c r="S272" s="259"/>
      <c r="T272" s="259"/>
      <c r="U272" s="258"/>
      <c r="V272" s="258"/>
    </row>
    <row r="273" spans="1:24" ht="25.5" customHeight="1">
      <c r="A273" s="20"/>
      <c r="B273" s="185" t="s">
        <v>420</v>
      </c>
      <c r="C273" s="192">
        <v>20000</v>
      </c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4" ht="25.5" customHeight="1">
      <c r="A274" s="20"/>
      <c r="B274" s="185"/>
      <c r="C274" s="190"/>
      <c r="D274" s="133"/>
      <c r="E274" s="269"/>
      <c r="F274" s="136"/>
      <c r="G274" s="136"/>
      <c r="H274" s="136"/>
      <c r="I274" s="133"/>
      <c r="J274" s="133"/>
      <c r="K274" s="133"/>
      <c r="L274" s="133"/>
      <c r="M274" s="136"/>
      <c r="N274" s="133"/>
      <c r="O274" s="133"/>
      <c r="P274" s="133"/>
      <c r="Q274" s="133"/>
      <c r="R274" s="258"/>
      <c r="S274" s="259"/>
      <c r="T274" s="259"/>
      <c r="U274" s="258"/>
      <c r="V274" s="258"/>
    </row>
    <row r="275" spans="1:24" ht="25.5" customHeight="1" thickBot="1">
      <c r="A275" s="15"/>
      <c r="B275" s="53" t="s">
        <v>5</v>
      </c>
      <c r="C275" s="105">
        <f>SUM(C273:C274)</f>
        <v>20000</v>
      </c>
      <c r="D275" s="255">
        <f>SUM(D273:D274)</f>
        <v>0</v>
      </c>
      <c r="E275" s="254">
        <f t="shared" ref="E275:V275" si="10">SUM(E273:E274)</f>
        <v>0</v>
      </c>
      <c r="F275" s="254">
        <f t="shared" si="10"/>
        <v>0</v>
      </c>
      <c r="G275" s="254">
        <f t="shared" si="10"/>
        <v>0</v>
      </c>
      <c r="H275" s="254">
        <f t="shared" si="10"/>
        <v>0</v>
      </c>
      <c r="I275" s="255">
        <f t="shared" si="10"/>
        <v>0</v>
      </c>
      <c r="J275" s="255">
        <f t="shared" si="10"/>
        <v>0</v>
      </c>
      <c r="K275" s="255">
        <f t="shared" si="10"/>
        <v>0</v>
      </c>
      <c r="L275" s="255">
        <f t="shared" si="10"/>
        <v>0</v>
      </c>
      <c r="M275" s="254">
        <f t="shared" si="10"/>
        <v>0</v>
      </c>
      <c r="N275" s="255">
        <f t="shared" si="10"/>
        <v>0</v>
      </c>
      <c r="O275" s="255">
        <f t="shared" si="10"/>
        <v>0</v>
      </c>
      <c r="P275" s="255">
        <f t="shared" si="10"/>
        <v>0</v>
      </c>
      <c r="Q275" s="255">
        <f t="shared" si="10"/>
        <v>0</v>
      </c>
      <c r="R275" s="255">
        <f t="shared" si="10"/>
        <v>0</v>
      </c>
      <c r="S275" s="255">
        <f t="shared" si="10"/>
        <v>0</v>
      </c>
      <c r="T275" s="255"/>
      <c r="U275" s="255">
        <f t="shared" si="10"/>
        <v>0</v>
      </c>
      <c r="V275" s="255">
        <f t="shared" si="10"/>
        <v>0</v>
      </c>
      <c r="W275" s="314">
        <f>SUM(D275:V275)</f>
        <v>0</v>
      </c>
    </row>
    <row r="276" spans="1:24" ht="25.5" customHeight="1" thickTop="1">
      <c r="A276" s="20" t="s">
        <v>276</v>
      </c>
      <c r="B276" s="23"/>
      <c r="C276" s="193"/>
      <c r="D276" s="133"/>
      <c r="E276" s="269"/>
      <c r="F276" s="136"/>
      <c r="G276" s="136"/>
      <c r="H276" s="136"/>
      <c r="I276" s="133"/>
      <c r="J276" s="133"/>
      <c r="K276" s="133"/>
      <c r="L276" s="133"/>
      <c r="M276" s="136"/>
      <c r="N276" s="133"/>
      <c r="O276" s="133"/>
      <c r="P276" s="133"/>
      <c r="Q276" s="133"/>
      <c r="R276" s="258"/>
      <c r="S276" s="259"/>
      <c r="T276" s="259"/>
      <c r="U276" s="258"/>
      <c r="V276" s="258"/>
    </row>
    <row r="277" spans="1:24" ht="25.5" customHeight="1">
      <c r="A277" s="20"/>
      <c r="B277" s="185" t="s">
        <v>226</v>
      </c>
      <c r="C277" s="192">
        <f>+'ต.ค. '!E284+'ต.ค. '!F284+'ต.ค. '!H284+'ต.ค. '!M284</f>
        <v>37500</v>
      </c>
      <c r="D277" s="133"/>
      <c r="E277" s="136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133"/>
      <c r="S277" s="133"/>
      <c r="T277" s="133"/>
      <c r="U277" s="133"/>
      <c r="V277" s="133"/>
    </row>
    <row r="278" spans="1:24" ht="25.5" customHeight="1">
      <c r="A278" s="20"/>
      <c r="B278" s="185" t="s">
        <v>233</v>
      </c>
      <c r="C278" s="299">
        <v>7500</v>
      </c>
      <c r="D278" s="133"/>
      <c r="E278" s="136"/>
      <c r="F278" s="136"/>
      <c r="G278" s="136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133"/>
      <c r="S278" s="133"/>
      <c r="T278" s="133"/>
      <c r="U278" s="133"/>
      <c r="V278" s="133"/>
    </row>
    <row r="279" spans="1:24" ht="25.5" customHeight="1">
      <c r="A279" s="20"/>
      <c r="B279" s="274" t="s">
        <v>378</v>
      </c>
      <c r="C279" s="299">
        <v>37500</v>
      </c>
      <c r="D279" s="133"/>
      <c r="E279" s="136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133"/>
      <c r="S279" s="133"/>
      <c r="T279" s="133"/>
      <c r="U279" s="133"/>
      <c r="V279" s="133"/>
    </row>
    <row r="280" spans="1:24" ht="25.5" customHeight="1">
      <c r="A280" s="20"/>
      <c r="B280" s="185" t="s">
        <v>379</v>
      </c>
      <c r="C280" s="299">
        <v>10000</v>
      </c>
      <c r="D280" s="133"/>
      <c r="E280" s="136"/>
      <c r="F280" s="136"/>
      <c r="G280" s="136"/>
      <c r="H280" s="136"/>
      <c r="I280" s="133"/>
      <c r="J280" s="133"/>
      <c r="K280" s="133"/>
      <c r="L280" s="133"/>
      <c r="M280" s="136"/>
      <c r="N280" s="133"/>
      <c r="O280" s="133"/>
      <c r="P280" s="133"/>
      <c r="Q280" s="133"/>
      <c r="R280" s="133"/>
      <c r="S280" s="133"/>
      <c r="T280" s="133"/>
      <c r="U280" s="133"/>
      <c r="V280" s="133"/>
    </row>
    <row r="281" spans="1:24" ht="25.5" customHeight="1">
      <c r="A281" s="20"/>
      <c r="B281" s="185" t="s">
        <v>382</v>
      </c>
      <c r="C281" s="299">
        <v>1950</v>
      </c>
      <c r="D281" s="133"/>
      <c r="E281" s="136"/>
      <c r="F281" s="136"/>
      <c r="G281" s="136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133"/>
      <c r="S281" s="133"/>
      <c r="T281" s="133"/>
      <c r="U281" s="133"/>
      <c r="V281" s="133"/>
    </row>
    <row r="282" spans="1:24" ht="25.5" customHeight="1">
      <c r="A282" s="20"/>
      <c r="B282" s="185" t="s">
        <v>380</v>
      </c>
      <c r="C282" s="299">
        <v>4550</v>
      </c>
      <c r="D282" s="133"/>
      <c r="E282" s="136"/>
      <c r="F282" s="136"/>
      <c r="G282" s="136"/>
      <c r="H282" s="136"/>
      <c r="I282" s="133"/>
      <c r="J282" s="133"/>
      <c r="K282" s="133"/>
      <c r="L282" s="133"/>
      <c r="M282" s="136"/>
      <c r="N282" s="133"/>
      <c r="O282" s="133"/>
      <c r="P282" s="133"/>
      <c r="Q282" s="133"/>
      <c r="R282" s="133"/>
      <c r="S282" s="133"/>
      <c r="T282" s="133"/>
      <c r="U282" s="133"/>
      <c r="V282" s="133"/>
    </row>
    <row r="283" spans="1:24" ht="25.5" customHeight="1">
      <c r="A283" s="20"/>
      <c r="B283" s="185" t="s">
        <v>386</v>
      </c>
      <c r="C283" s="192">
        <v>409940.96</v>
      </c>
      <c r="D283" s="133"/>
      <c r="E283" s="136"/>
      <c r="F283" s="136"/>
      <c r="G283" s="136"/>
      <c r="H283" s="136"/>
      <c r="I283" s="133"/>
      <c r="J283" s="133"/>
      <c r="K283" s="133"/>
      <c r="L283" s="133"/>
      <c r="M283" s="136"/>
      <c r="N283" s="133"/>
      <c r="O283" s="133"/>
      <c r="P283" s="133"/>
      <c r="Q283" s="133"/>
      <c r="R283" s="133"/>
      <c r="S283" s="133"/>
      <c r="T283" s="133"/>
      <c r="U283" s="133"/>
      <c r="V283" s="133"/>
    </row>
    <row r="284" spans="1:24" ht="25.5" customHeight="1">
      <c r="A284" s="20"/>
      <c r="B284" s="185" t="s">
        <v>387</v>
      </c>
      <c r="C284" s="192">
        <v>40000</v>
      </c>
      <c r="D284" s="133"/>
      <c r="E284" s="136"/>
      <c r="F284" s="136"/>
      <c r="G284" s="136"/>
      <c r="H284" s="136"/>
      <c r="I284" s="133"/>
      <c r="J284" s="133"/>
      <c r="K284" s="133"/>
      <c r="L284" s="133"/>
      <c r="M284" s="136"/>
      <c r="N284" s="133"/>
      <c r="O284" s="133"/>
      <c r="P284" s="133"/>
      <c r="Q284" s="133"/>
      <c r="R284" s="133"/>
      <c r="S284" s="133"/>
      <c r="T284" s="133"/>
      <c r="U284" s="133"/>
      <c r="V284" s="133"/>
    </row>
    <row r="285" spans="1:24" ht="25.5" customHeight="1">
      <c r="A285" s="20"/>
      <c r="B285" s="347" t="s">
        <v>409</v>
      </c>
      <c r="C285" s="192">
        <v>175000</v>
      </c>
      <c r="D285" s="131"/>
      <c r="E285" s="135"/>
      <c r="F285" s="135"/>
      <c r="G285" s="135"/>
      <c r="H285" s="135"/>
      <c r="I285" s="131"/>
      <c r="J285" s="131"/>
      <c r="K285" s="131"/>
      <c r="L285" s="131"/>
      <c r="M285" s="135"/>
      <c r="N285" s="131"/>
      <c r="O285" s="131"/>
      <c r="P285" s="131"/>
      <c r="Q285" s="131"/>
      <c r="R285" s="131"/>
      <c r="S285" s="131"/>
      <c r="T285" s="131"/>
      <c r="U285" s="131"/>
      <c r="V285" s="131"/>
    </row>
    <row r="286" spans="1:24" ht="25.5" customHeight="1">
      <c r="A286" s="20"/>
      <c r="B286" s="348"/>
      <c r="C286" s="350"/>
      <c r="D286" s="345"/>
      <c r="E286" s="346"/>
      <c r="F286" s="346"/>
      <c r="G286" s="346"/>
      <c r="H286" s="346"/>
      <c r="I286" s="345"/>
      <c r="J286" s="345"/>
      <c r="K286" s="345"/>
      <c r="L286" s="345"/>
      <c r="M286" s="346"/>
      <c r="N286" s="345"/>
      <c r="O286" s="345"/>
      <c r="P286" s="345"/>
      <c r="Q286" s="345"/>
      <c r="R286" s="345"/>
      <c r="S286" s="345"/>
      <c r="T286" s="345"/>
      <c r="U286" s="345"/>
      <c r="V286" s="345"/>
    </row>
    <row r="287" spans="1:24" ht="25.5" customHeight="1" thickBot="1">
      <c r="A287" s="15"/>
      <c r="B287" s="53" t="s">
        <v>5</v>
      </c>
      <c r="C287" s="105">
        <f>SUM(C277:C286)</f>
        <v>723940.96</v>
      </c>
      <c r="D287" s="132">
        <f>SUM(D277:D284)</f>
        <v>0</v>
      </c>
      <c r="E287" s="137">
        <f>SUM(E277:E284)</f>
        <v>0</v>
      </c>
      <c r="F287" s="137">
        <f>SUM(F277:F284)</f>
        <v>0</v>
      </c>
      <c r="G287" s="137">
        <f t="shared" ref="G287:V287" si="11">SUM(G277:G284)</f>
        <v>0</v>
      </c>
      <c r="H287" s="137">
        <f>SUM(H277:H284)</f>
        <v>0</v>
      </c>
      <c r="I287" s="132">
        <f>SUM(I277:I284)</f>
        <v>0</v>
      </c>
      <c r="J287" s="132">
        <f t="shared" si="11"/>
        <v>0</v>
      </c>
      <c r="K287" s="132">
        <f t="shared" si="11"/>
        <v>0</v>
      </c>
      <c r="L287" s="132">
        <f t="shared" si="11"/>
        <v>0</v>
      </c>
      <c r="M287" s="137">
        <f>SUM(M277:M284)</f>
        <v>0</v>
      </c>
      <c r="N287" s="132">
        <f>SUM(N277:N286)</f>
        <v>0</v>
      </c>
      <c r="O287" s="132">
        <f t="shared" si="11"/>
        <v>0</v>
      </c>
      <c r="P287" s="132">
        <f t="shared" si="11"/>
        <v>0</v>
      </c>
      <c r="Q287" s="132">
        <f t="shared" si="11"/>
        <v>0</v>
      </c>
      <c r="R287" s="132">
        <f t="shared" si="11"/>
        <v>0</v>
      </c>
      <c r="S287" s="132">
        <f t="shared" si="11"/>
        <v>0</v>
      </c>
      <c r="T287" s="132"/>
      <c r="U287" s="132">
        <f t="shared" si="11"/>
        <v>0</v>
      </c>
      <c r="V287" s="132">
        <f t="shared" si="11"/>
        <v>0</v>
      </c>
      <c r="W287" s="318">
        <f>SUM(D287:V287)</f>
        <v>0</v>
      </c>
    </row>
    <row r="288" spans="1:24" ht="25.5" customHeight="1" thickTop="1" thickBot="1">
      <c r="A288" s="16"/>
      <c r="B288" s="52" t="s">
        <v>49</v>
      </c>
      <c r="C288" s="229">
        <f>+C267+C257+C220+C209+C203++C48+C38+C21+C175+C28+C223</f>
        <v>39148280</v>
      </c>
      <c r="D288" s="229">
        <f t="shared" ref="D288:V288" si="12">+D267+D257+D220+D209+D203++D48+D38+D21+D175+D28+D223</f>
        <v>811004</v>
      </c>
      <c r="E288" s="229">
        <f t="shared" si="12"/>
        <v>770331.86</v>
      </c>
      <c r="F288" s="229">
        <f t="shared" si="12"/>
        <v>158280</v>
      </c>
      <c r="G288" s="229">
        <f t="shared" si="12"/>
        <v>11520</v>
      </c>
      <c r="H288" s="229">
        <f t="shared" si="12"/>
        <v>452602.26</v>
      </c>
      <c r="I288" s="229">
        <f t="shared" si="12"/>
        <v>887400</v>
      </c>
      <c r="J288" s="229">
        <f t="shared" si="12"/>
        <v>0</v>
      </c>
      <c r="K288" s="229">
        <f t="shared" si="12"/>
        <v>0</v>
      </c>
      <c r="L288" s="229">
        <f t="shared" si="12"/>
        <v>0</v>
      </c>
      <c r="M288" s="229">
        <f t="shared" si="12"/>
        <v>204344.65</v>
      </c>
      <c r="N288" s="229">
        <f t="shared" si="12"/>
        <v>0</v>
      </c>
      <c r="O288" s="229">
        <f t="shared" si="12"/>
        <v>0</v>
      </c>
      <c r="P288" s="229">
        <f t="shared" si="12"/>
        <v>0</v>
      </c>
      <c r="Q288" s="229">
        <f t="shared" si="12"/>
        <v>0</v>
      </c>
      <c r="R288" s="229">
        <f t="shared" si="12"/>
        <v>0</v>
      </c>
      <c r="S288" s="229">
        <f t="shared" si="12"/>
        <v>93000</v>
      </c>
      <c r="T288" s="229"/>
      <c r="U288" s="229">
        <f t="shared" si="12"/>
        <v>0</v>
      </c>
      <c r="V288" s="51">
        <f t="shared" si="12"/>
        <v>0</v>
      </c>
      <c r="W288" s="353">
        <f>SUM(D288:V288)</f>
        <v>3388482.77</v>
      </c>
      <c r="X288" s="34"/>
    </row>
    <row r="289" spans="1:24" ht="25.5" customHeight="1" thickTop="1" thickBot="1">
      <c r="A289" s="16"/>
      <c r="B289" s="41" t="s">
        <v>25</v>
      </c>
      <c r="C289" s="260">
        <f>+C287+C275+C271+C267+C257+C223+C220+C209+C175+C48+C28+C21+C38++C203</f>
        <v>40118720.960000001</v>
      </c>
      <c r="D289" s="260">
        <f>+D287+D275+D271+D267+D257+D223+D220+D209+D175+D48+D28+D21+D38++D203</f>
        <v>811004</v>
      </c>
      <c r="E289" s="260">
        <f t="shared" ref="E289:V289" si="13">+E287+E275+E271+E267+E257+E223+E220+E209+E175+E48+E28+E21+E38++E203</f>
        <v>770331.86</v>
      </c>
      <c r="F289" s="260">
        <f t="shared" si="13"/>
        <v>158280</v>
      </c>
      <c r="G289" s="260">
        <f t="shared" si="13"/>
        <v>11520</v>
      </c>
      <c r="H289" s="260">
        <f t="shared" si="13"/>
        <v>452602.26</v>
      </c>
      <c r="I289" s="260">
        <f t="shared" si="13"/>
        <v>887400</v>
      </c>
      <c r="J289" s="260">
        <f t="shared" si="13"/>
        <v>0</v>
      </c>
      <c r="K289" s="260">
        <f t="shared" si="13"/>
        <v>0</v>
      </c>
      <c r="L289" s="260">
        <f t="shared" si="13"/>
        <v>0</v>
      </c>
      <c r="M289" s="260">
        <f t="shared" si="13"/>
        <v>204344.65</v>
      </c>
      <c r="N289" s="260">
        <f t="shared" si="13"/>
        <v>0</v>
      </c>
      <c r="O289" s="260">
        <f t="shared" si="13"/>
        <v>0</v>
      </c>
      <c r="P289" s="260">
        <f t="shared" si="13"/>
        <v>0</v>
      </c>
      <c r="Q289" s="260">
        <f t="shared" si="13"/>
        <v>0</v>
      </c>
      <c r="R289" s="260">
        <f t="shared" si="13"/>
        <v>0</v>
      </c>
      <c r="S289" s="260">
        <f t="shared" si="13"/>
        <v>93000</v>
      </c>
      <c r="T289" s="260"/>
      <c r="U289" s="260">
        <f t="shared" si="13"/>
        <v>0</v>
      </c>
      <c r="V289" s="309">
        <f t="shared" si="13"/>
        <v>0</v>
      </c>
      <c r="W289" s="354">
        <f>SUM(D289:V289)</f>
        <v>3388482.77</v>
      </c>
      <c r="X289" s="34"/>
    </row>
    <row r="290" spans="1:24" ht="25.5" customHeight="1" thickTop="1">
      <c r="B290" s="246" t="s">
        <v>273</v>
      </c>
      <c r="C290" s="182"/>
      <c r="D290" s="300"/>
      <c r="E290" s="301"/>
      <c r="F290" s="302"/>
      <c r="G290" s="302"/>
      <c r="H290" s="302"/>
      <c r="I290" s="300"/>
      <c r="J290" s="300"/>
      <c r="K290" s="300"/>
      <c r="L290" s="300"/>
      <c r="M290" s="302"/>
      <c r="N290" s="300"/>
      <c r="O290" s="300"/>
      <c r="P290" s="300"/>
      <c r="Q290" s="300"/>
      <c r="R290" s="303"/>
      <c r="S290" s="304"/>
      <c r="T290" s="304"/>
      <c r="U290" s="303"/>
      <c r="V290" s="303"/>
      <c r="W290" s="355"/>
      <c r="X290" s="34"/>
    </row>
    <row r="291" spans="1:24" ht="25.5" customHeight="1">
      <c r="C291" s="182"/>
      <c r="D291" s="35"/>
      <c r="E291" s="266"/>
      <c r="F291" s="134"/>
      <c r="G291" s="134"/>
      <c r="H291" s="134"/>
      <c r="I291" s="35"/>
      <c r="J291" s="35"/>
      <c r="K291" s="35"/>
      <c r="L291" s="35"/>
      <c r="M291" s="134"/>
      <c r="N291" s="35"/>
      <c r="O291" s="35"/>
      <c r="P291" s="35"/>
      <c r="Q291" s="35"/>
      <c r="R291" s="34"/>
      <c r="S291" s="171"/>
      <c r="T291" s="171"/>
      <c r="U291" s="34"/>
      <c r="V291" s="34"/>
      <c r="W291" s="34"/>
      <c r="X291" s="34"/>
    </row>
    <row r="292" spans="1:24" ht="25.5" customHeight="1">
      <c r="C292" s="182"/>
      <c r="D292" s="35"/>
      <c r="E292" s="266"/>
      <c r="F292" s="134"/>
      <c r="G292" s="134"/>
      <c r="H292" s="134"/>
      <c r="I292" s="35"/>
      <c r="J292" s="35"/>
      <c r="K292" s="35"/>
      <c r="L292" s="35"/>
      <c r="M292" s="134"/>
      <c r="N292" s="35"/>
      <c r="O292" s="35"/>
      <c r="P292" s="35"/>
      <c r="Q292" s="35"/>
      <c r="R292" s="34"/>
      <c r="S292" s="171"/>
      <c r="T292" s="171"/>
      <c r="U292" s="34"/>
      <c r="V292" s="34"/>
      <c r="W292" s="253">
        <f>39148280-C288</f>
        <v>0</v>
      </c>
    </row>
    <row r="293" spans="1:24" ht="25.5" customHeight="1">
      <c r="B293" s="253">
        <f>39148280-C288</f>
        <v>0</v>
      </c>
      <c r="C293" s="182"/>
      <c r="D293" s="181"/>
      <c r="E293" s="272"/>
      <c r="F293" s="265"/>
      <c r="G293" s="265"/>
      <c r="H293" s="265"/>
      <c r="I293" s="181"/>
      <c r="J293" s="181"/>
      <c r="K293" s="181"/>
      <c r="L293" s="181"/>
      <c r="M293" s="265"/>
      <c r="N293" s="181"/>
      <c r="O293" s="181"/>
      <c r="P293" s="181"/>
      <c r="Q293" s="181"/>
      <c r="R293" s="221"/>
      <c r="S293" s="234"/>
      <c r="T293" s="234"/>
      <c r="U293" s="221"/>
      <c r="V293" s="221"/>
      <c r="W293" s="322"/>
    </row>
    <row r="294" spans="1:24" ht="25.5" customHeight="1">
      <c r="C294" s="182"/>
      <c r="D294" s="181"/>
      <c r="E294" s="272"/>
      <c r="F294" s="265"/>
      <c r="G294" s="265"/>
      <c r="H294" s="265"/>
      <c r="I294" s="181"/>
      <c r="J294" s="181"/>
      <c r="K294" s="181"/>
      <c r="L294" s="181"/>
      <c r="M294" s="265"/>
      <c r="N294" s="181"/>
      <c r="O294" s="181"/>
      <c r="P294" s="181"/>
      <c r="Q294" s="181"/>
      <c r="R294" s="221"/>
      <c r="S294" s="234"/>
      <c r="T294" s="234"/>
      <c r="U294" s="221"/>
      <c r="V294" s="221"/>
      <c r="W294" s="328"/>
    </row>
    <row r="295" spans="1:24" ht="25.5" customHeight="1">
      <c r="C295" s="182"/>
      <c r="D295" s="181"/>
      <c r="E295" s="272"/>
      <c r="F295" s="265"/>
      <c r="G295" s="265"/>
      <c r="H295" s="265"/>
      <c r="I295" s="181"/>
      <c r="J295" s="181"/>
      <c r="K295" s="181"/>
      <c r="L295" s="181"/>
      <c r="M295" s="265"/>
      <c r="N295" s="181"/>
      <c r="O295" s="181"/>
      <c r="P295" s="181"/>
      <c r="Q295" s="181"/>
      <c r="R295" s="221"/>
      <c r="S295" s="234"/>
      <c r="T295" s="234"/>
      <c r="U295" s="221"/>
      <c r="V295" s="221"/>
      <c r="W295" s="321"/>
    </row>
    <row r="296" spans="1:24" ht="25.5" customHeight="1">
      <c r="D296" s="181"/>
      <c r="E296" s="272"/>
      <c r="F296" s="265"/>
      <c r="G296" s="265"/>
      <c r="H296" s="265"/>
      <c r="I296" s="181"/>
      <c r="J296" s="181"/>
      <c r="K296" s="181"/>
      <c r="L296" s="181"/>
      <c r="M296" s="265"/>
      <c r="N296" s="181"/>
      <c r="O296" s="181"/>
      <c r="P296" s="181"/>
      <c r="Q296" s="181"/>
      <c r="R296" s="221"/>
      <c r="S296" s="234"/>
      <c r="T296" s="234"/>
      <c r="U296" s="221"/>
      <c r="V296" s="221"/>
      <c r="W296" s="321"/>
    </row>
    <row r="297" spans="1:24" ht="25.5" customHeight="1">
      <c r="D297" s="181"/>
      <c r="E297" s="272"/>
      <c r="F297" s="265"/>
      <c r="G297" s="265"/>
      <c r="H297" s="265"/>
      <c r="I297" s="181"/>
      <c r="J297" s="181"/>
      <c r="K297" s="181"/>
      <c r="L297" s="181"/>
      <c r="M297" s="265"/>
      <c r="N297" s="181"/>
      <c r="O297" s="181"/>
      <c r="P297" s="181"/>
      <c r="Q297" s="181"/>
      <c r="R297" s="221"/>
      <c r="S297" s="234"/>
      <c r="T297" s="234"/>
      <c r="U297" s="221"/>
      <c r="V297" s="221"/>
    </row>
    <row r="298" spans="1:24" ht="25.5" customHeight="1"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</row>
    <row r="299" spans="1:24" ht="25.5" customHeight="1"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</row>
    <row r="300" spans="1:24" ht="25.5" customHeight="1"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</row>
    <row r="301" spans="1:24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</row>
    <row r="302" spans="1:24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4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4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1:24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1:24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1:24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1:24" s="310" customFormat="1" ht="25.5" customHeight="1">
      <c r="A308"/>
      <c r="B308"/>
      <c r="C308" s="282"/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  <c r="X308"/>
    </row>
    <row r="309" spans="1:24" s="310" customFormat="1" ht="25.5" customHeight="1">
      <c r="A309"/>
      <c r="B309"/>
      <c r="C309" s="282"/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  <c r="X309"/>
    </row>
    <row r="310" spans="1:24" s="310" customFormat="1" ht="25.5" customHeight="1">
      <c r="A310"/>
      <c r="B310"/>
      <c r="C310" s="282"/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  <c r="X310"/>
    </row>
    <row r="311" spans="1:24" s="310" customFormat="1" ht="25.5" customHeight="1">
      <c r="A311"/>
      <c r="B311"/>
      <c r="C311" s="282"/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  <c r="X311"/>
    </row>
    <row r="312" spans="1:24" s="310" customFormat="1" ht="25.5" customHeight="1">
      <c r="A312"/>
      <c r="B312"/>
      <c r="C312" s="282"/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  <c r="X312"/>
    </row>
    <row r="313" spans="1:24" s="310" customFormat="1" ht="25.5" customHeight="1">
      <c r="A313"/>
      <c r="B313"/>
      <c r="C313" s="282"/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  <c r="X313"/>
    </row>
    <row r="314" spans="1:24" s="310" customFormat="1" ht="25.5" customHeight="1">
      <c r="A314"/>
      <c r="B314"/>
      <c r="C314" s="282"/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  <c r="X314"/>
    </row>
    <row r="315" spans="1:24" s="310" customFormat="1" ht="25.5" customHeight="1">
      <c r="A315"/>
      <c r="B315"/>
      <c r="C315" s="282"/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  <c r="X315"/>
    </row>
    <row r="316" spans="1:24" s="310" customFormat="1" ht="25.5" customHeight="1">
      <c r="A316"/>
      <c r="B316"/>
      <c r="C316" s="282"/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  <c r="X316"/>
    </row>
    <row r="317" spans="1:24" s="310" customFormat="1" ht="25.5" customHeight="1">
      <c r="A317"/>
      <c r="B317"/>
      <c r="C317" s="282"/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  <c r="X317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/>
    </row>
  </sheetData>
  <mergeCells count="32"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R7:R8"/>
    <mergeCell ref="S7:S8"/>
    <mergeCell ref="U7:U8"/>
    <mergeCell ref="V7:V8"/>
  </mergeCells>
  <pageMargins left="0.17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X376"/>
  <sheetViews>
    <sheetView workbookViewId="0">
      <pane ySplit="8" topLeftCell="A27" activePane="bottomLeft" state="frozen"/>
      <selection activeCell="C78" sqref="C78"/>
      <selection pane="bottomLeft" activeCell="T4" sqref="T1:T65536"/>
    </sheetView>
  </sheetViews>
  <sheetFormatPr defaultRowHeight="25.5" customHeight="1"/>
  <cols>
    <col min="1" max="1" width="1.140625" customWidth="1"/>
    <col min="2" max="2" width="37" customWidth="1"/>
    <col min="3" max="3" width="11.28515625" style="282" customWidth="1"/>
    <col min="4" max="4" width="9.7109375" style="33" customWidth="1"/>
    <col min="5" max="5" width="9.5703125" style="273" customWidth="1"/>
    <col min="6" max="6" width="8.85546875" style="138" customWidth="1"/>
    <col min="7" max="7" width="7.5703125" style="138" customWidth="1"/>
    <col min="8" max="8" width="8.5703125" style="138" customWidth="1"/>
    <col min="9" max="9" width="8.85546875" style="33" customWidth="1"/>
    <col min="10" max="12" width="1.42578125" style="33" customWidth="1"/>
    <col min="13" max="13" width="9.140625" style="138" customWidth="1"/>
    <col min="14" max="14" width="8.42578125" style="33" customWidth="1"/>
    <col min="15" max="15" width="1.85546875" style="33" customWidth="1"/>
    <col min="16" max="16" width="7.140625" style="33" customWidth="1"/>
    <col min="17" max="17" width="1.85546875" style="33" customWidth="1"/>
    <col min="18" max="18" width="1.85546875" customWidth="1"/>
    <col min="19" max="20" width="7" style="168" customWidth="1"/>
    <col min="21" max="22" width="1.140625" customWidth="1"/>
    <col min="23" max="23" width="15.285156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426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425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410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12914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525900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199200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/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228" t="s">
        <v>81</v>
      </c>
      <c r="C19" s="285">
        <f>344150-20000</f>
        <v>324150</v>
      </c>
      <c r="D19" s="131">
        <v>20310</v>
      </c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198" t="s">
        <v>424</v>
      </c>
      <c r="C20" s="290">
        <v>70650</v>
      </c>
      <c r="D20" s="131"/>
      <c r="E20" s="267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SUM(C10:C20)</f>
        <v>10137432</v>
      </c>
      <c r="D21" s="40">
        <f>SUM(D10:D20)</f>
        <v>760964</v>
      </c>
      <c r="E21" s="35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760964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61877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10774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10774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1283280-10000-14000-48300</f>
        <v>1210980</v>
      </c>
      <c r="D27" s="131"/>
      <c r="E27" s="267">
        <v>95220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2345220</v>
      </c>
      <c r="D28" s="132">
        <f>SUM(D23:D27)</f>
        <v>0</v>
      </c>
      <c r="E28" s="268">
        <f>SUM(E23:E27)</f>
        <v>195205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195205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3188820+1300000+884640+1648500-100000-22000-19000-60000-184500-25100-50000-100000-20000-50000-64500-70650-40000-53200-40000-15000</f>
        <v>6108010</v>
      </c>
      <c r="D30" s="133"/>
      <c r="E30" s="269">
        <v>218140</v>
      </c>
      <c r="F30" s="269">
        <v>78150</v>
      </c>
      <c r="G30" s="269"/>
      <c r="H30" s="269">
        <v>74660</v>
      </c>
      <c r="I30" s="269"/>
      <c r="J30" s="269"/>
      <c r="K30" s="269"/>
      <c r="L30" s="269"/>
      <c r="M30" s="269">
        <v>110090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269">
        <v>0</v>
      </c>
      <c r="G31" s="269"/>
      <c r="H31" s="269">
        <v>157920</v>
      </c>
      <c r="I31" s="269"/>
      <c r="J31" s="269"/>
      <c r="K31" s="269"/>
      <c r="L31" s="269"/>
      <c r="M31" s="269"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269">
        <v>0</v>
      </c>
      <c r="G32" s="269"/>
      <c r="H32" s="269">
        <v>0</v>
      </c>
      <c r="I32" s="269"/>
      <c r="J32" s="269"/>
      <c r="K32" s="269"/>
      <c r="L32" s="269"/>
      <c r="M32" s="269"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v>11000</v>
      </c>
      <c r="F33" s="269">
        <v>0</v>
      </c>
      <c r="G33" s="269"/>
      <c r="H33" s="269">
        <v>3500</v>
      </c>
      <c r="I33" s="269"/>
      <c r="J33" s="269"/>
      <c r="K33" s="269"/>
      <c r="L33" s="269"/>
      <c r="M33" s="269">
        <v>3500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787000+589000+559480+350880+100000+184500+153000-9400</f>
        <v>2714460</v>
      </c>
      <c r="D34" s="131"/>
      <c r="E34" s="269">
        <v>85330</v>
      </c>
      <c r="F34" s="269">
        <v>58130</v>
      </c>
      <c r="G34" s="269"/>
      <c r="H34" s="269">
        <v>64910</v>
      </c>
      <c r="I34" s="269"/>
      <c r="J34" s="269"/>
      <c r="K34" s="269"/>
      <c r="L34" s="269"/>
      <c r="M34" s="269">
        <v>29240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v>0</v>
      </c>
      <c r="F35" s="269">
        <v>0</v>
      </c>
      <c r="G35" s="269"/>
      <c r="H35" s="269">
        <v>20970</v>
      </c>
      <c r="I35" s="269"/>
      <c r="J35" s="269"/>
      <c r="K35" s="269"/>
      <c r="L35" s="269"/>
      <c r="M35" s="269"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76000+72000+84000+22000+25100+11000-5700</f>
        <v>284400</v>
      </c>
      <c r="D36" s="131"/>
      <c r="E36" s="269">
        <v>9160</v>
      </c>
      <c r="F36" s="269">
        <v>6355</v>
      </c>
      <c r="G36" s="269"/>
      <c r="H36" s="269">
        <v>8500</v>
      </c>
      <c r="I36" s="269"/>
      <c r="J36" s="269"/>
      <c r="K36" s="269"/>
      <c r="L36" s="269"/>
      <c r="M36" s="269">
        <v>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v>0</v>
      </c>
      <c r="F37" s="269">
        <v>0</v>
      </c>
      <c r="G37" s="269"/>
      <c r="H37" s="269">
        <v>1830</v>
      </c>
      <c r="I37" s="269"/>
      <c r="J37" s="269"/>
      <c r="K37" s="269"/>
      <c r="L37" s="269"/>
      <c r="M37" s="269"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ht="25.5" customHeight="1" thickBot="1">
      <c r="A38" s="46"/>
      <c r="B38" s="47" t="s">
        <v>5</v>
      </c>
      <c r="C38" s="289">
        <f>SUM(C30:C37)</f>
        <v>11534650</v>
      </c>
      <c r="D38" s="255">
        <f>SUM(D30:D37)</f>
        <v>0</v>
      </c>
      <c r="E38" s="254">
        <f>SUM(E30:E37)</f>
        <v>324070</v>
      </c>
      <c r="F38" s="254">
        <f>SUM(F30:F37)</f>
        <v>142635</v>
      </c>
      <c r="G38" s="254">
        <f t="shared" ref="G38:V38" si="2">SUM(G30:G37)</f>
        <v>0</v>
      </c>
      <c r="H38" s="254">
        <f>SUM(H30:H37)</f>
        <v>332290</v>
      </c>
      <c r="I38" s="255">
        <f t="shared" si="2"/>
        <v>0</v>
      </c>
      <c r="J38" s="255">
        <f t="shared" si="2"/>
        <v>0</v>
      </c>
      <c r="K38" s="255">
        <f t="shared" si="2"/>
        <v>0</v>
      </c>
      <c r="L38" s="255">
        <f t="shared" si="2"/>
        <v>0</v>
      </c>
      <c r="M38" s="254">
        <f>SUM(M30:M37)</f>
        <v>142830</v>
      </c>
      <c r="N38" s="255">
        <f t="shared" si="2"/>
        <v>0</v>
      </c>
      <c r="O38" s="255">
        <f t="shared" si="2"/>
        <v>0</v>
      </c>
      <c r="P38" s="255">
        <f t="shared" si="2"/>
        <v>0</v>
      </c>
      <c r="Q38" s="255">
        <f t="shared" si="2"/>
        <v>0</v>
      </c>
      <c r="R38" s="255">
        <f t="shared" si="2"/>
        <v>0</v>
      </c>
      <c r="S38" s="255">
        <f t="shared" si="2"/>
        <v>0</v>
      </c>
      <c r="T38" s="255"/>
      <c r="U38" s="255">
        <f t="shared" si="2"/>
        <v>0</v>
      </c>
      <c r="V38" s="255">
        <f t="shared" si="2"/>
        <v>0</v>
      </c>
      <c r="W38" s="316">
        <f>SUM(D38:V38)</f>
        <v>941825</v>
      </c>
    </row>
    <row r="39" spans="1:23" ht="25.5" customHeight="1" thickTop="1">
      <c r="A39" s="5" t="s">
        <v>98</v>
      </c>
      <c r="B39" s="6"/>
      <c r="C39" s="190"/>
      <c r="D39" s="133"/>
      <c r="E39" s="269"/>
      <c r="F39" s="136"/>
      <c r="G39" s="136"/>
      <c r="H39" s="136"/>
      <c r="I39" s="133"/>
      <c r="J39" s="133"/>
      <c r="K39" s="133"/>
      <c r="L39" s="133"/>
      <c r="M39" s="136"/>
      <c r="N39" s="133"/>
      <c r="O39" s="133"/>
      <c r="P39" s="133"/>
      <c r="Q39" s="133"/>
      <c r="R39" s="217"/>
      <c r="S39" s="219"/>
      <c r="T39" s="259"/>
      <c r="U39" s="258"/>
      <c r="V39" s="258"/>
      <c r="W39" s="317"/>
    </row>
    <row r="40" spans="1:23" ht="25.5" customHeight="1">
      <c r="A40" s="9"/>
      <c r="B40" s="130" t="s">
        <v>93</v>
      </c>
      <c r="C40" s="216">
        <v>5000</v>
      </c>
      <c r="D40" s="133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315"/>
    </row>
    <row r="41" spans="1:23" ht="25.5" customHeight="1">
      <c r="A41" s="9"/>
      <c r="B41" s="130" t="s">
        <v>205</v>
      </c>
      <c r="C41" s="285">
        <v>10000</v>
      </c>
      <c r="D41" s="131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315"/>
    </row>
    <row r="42" spans="1:23" ht="25.5" customHeight="1">
      <c r="A42" s="9"/>
      <c r="B42" s="130" t="s">
        <v>94</v>
      </c>
      <c r="C42" s="285">
        <f>10000-10000</f>
        <v>0</v>
      </c>
      <c r="D42" s="131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311"/>
    </row>
    <row r="43" spans="1:23" ht="25.5" customHeight="1">
      <c r="A43" s="9"/>
      <c r="B43" s="130" t="s">
        <v>95</v>
      </c>
      <c r="C43" s="192">
        <v>5000</v>
      </c>
      <c r="D43" s="131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</row>
    <row r="44" spans="1:23" ht="25.5" customHeight="1">
      <c r="A44" s="9"/>
      <c r="B44" s="130" t="s">
        <v>96</v>
      </c>
      <c r="C44" s="192">
        <v>5000</v>
      </c>
      <c r="D44" s="131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</row>
    <row r="45" spans="1:23" ht="25.5" customHeight="1">
      <c r="A45" s="9"/>
      <c r="B45" s="130" t="s">
        <v>10</v>
      </c>
      <c r="C45" s="216">
        <f>144000+36000+78000+78000-15500</f>
        <v>320500</v>
      </c>
      <c r="D45" s="133"/>
      <c r="E45" s="269">
        <v>10000</v>
      </c>
      <c r="F45" s="269">
        <v>3000</v>
      </c>
      <c r="G45" s="269"/>
      <c r="H45" s="269">
        <v>6500</v>
      </c>
      <c r="I45" s="269"/>
      <c r="J45" s="269"/>
      <c r="K45" s="269"/>
      <c r="L45" s="269"/>
      <c r="M45" s="269">
        <v>6500</v>
      </c>
      <c r="N45" s="269"/>
      <c r="O45" s="269"/>
      <c r="P45" s="269"/>
      <c r="Q45" s="269"/>
      <c r="R45" s="269"/>
      <c r="S45" s="269"/>
      <c r="T45" s="269"/>
      <c r="U45" s="269"/>
      <c r="V45" s="269"/>
    </row>
    <row r="46" spans="1:23" ht="25.5" customHeight="1">
      <c r="A46" s="9"/>
      <c r="B46" s="130" t="s">
        <v>9</v>
      </c>
      <c r="C46" s="216">
        <f>25000+10000+30000+20000</f>
        <v>85000</v>
      </c>
      <c r="D46" s="131"/>
      <c r="E46" s="269"/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</row>
    <row r="47" spans="1:23" ht="25.5" customHeight="1">
      <c r="A47" s="197"/>
      <c r="B47" s="198" t="s">
        <v>241</v>
      </c>
      <c r="C47" s="286">
        <v>44200</v>
      </c>
      <c r="D47" s="131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</row>
    <row r="48" spans="1:23" ht="25.5" customHeight="1" thickBot="1">
      <c r="A48" s="46"/>
      <c r="B48" s="47" t="s">
        <v>5</v>
      </c>
      <c r="C48" s="289">
        <f>SUM(C40:C47)</f>
        <v>474700</v>
      </c>
      <c r="D48" s="255">
        <f>SUM(D40:D47)</f>
        <v>0</v>
      </c>
      <c r="E48" s="254">
        <f>SUM(E40:E47)</f>
        <v>10000</v>
      </c>
      <c r="F48" s="254">
        <f>SUM(F40:F47)</f>
        <v>3000</v>
      </c>
      <c r="G48" s="254">
        <f t="shared" ref="G48:V48" si="3">SUM(G40:G47)</f>
        <v>0</v>
      </c>
      <c r="H48" s="254">
        <f>SUM(H40:H47)</f>
        <v>6500</v>
      </c>
      <c r="I48" s="255">
        <f t="shared" si="3"/>
        <v>0</v>
      </c>
      <c r="J48" s="255">
        <f t="shared" si="3"/>
        <v>0</v>
      </c>
      <c r="K48" s="255">
        <f t="shared" si="3"/>
        <v>0</v>
      </c>
      <c r="L48" s="255">
        <f t="shared" si="3"/>
        <v>0</v>
      </c>
      <c r="M48" s="254">
        <f>SUM(M40:M47)</f>
        <v>6500</v>
      </c>
      <c r="N48" s="255">
        <f t="shared" si="3"/>
        <v>0</v>
      </c>
      <c r="O48" s="255">
        <f t="shared" si="3"/>
        <v>0</v>
      </c>
      <c r="P48" s="255">
        <f t="shared" si="3"/>
        <v>0</v>
      </c>
      <c r="Q48" s="255">
        <f t="shared" si="3"/>
        <v>0</v>
      </c>
      <c r="R48" s="255">
        <f t="shared" si="3"/>
        <v>0</v>
      </c>
      <c r="S48" s="255">
        <f t="shared" si="3"/>
        <v>0</v>
      </c>
      <c r="T48" s="255"/>
      <c r="U48" s="255">
        <f t="shared" si="3"/>
        <v>0</v>
      </c>
      <c r="V48" s="255">
        <f t="shared" si="3"/>
        <v>0</v>
      </c>
      <c r="W48" s="314">
        <f>SUM(D48:V48)</f>
        <v>26000</v>
      </c>
    </row>
    <row r="49" spans="1:24" ht="25.5" customHeight="1" thickTop="1">
      <c r="A49" s="5" t="s">
        <v>99</v>
      </c>
      <c r="B49" s="6"/>
      <c r="C49" s="190"/>
      <c r="D49" s="133"/>
      <c r="E49" s="269"/>
      <c r="F49" s="136"/>
      <c r="G49" s="136"/>
      <c r="H49" s="136"/>
      <c r="I49" s="133"/>
      <c r="J49" s="133"/>
      <c r="K49" s="133"/>
      <c r="L49" s="133"/>
      <c r="M49" s="136"/>
      <c r="N49" s="133"/>
      <c r="O49" s="133"/>
      <c r="P49" s="133"/>
      <c r="Q49" s="133"/>
      <c r="R49" s="217"/>
      <c r="S49" s="219"/>
      <c r="T49" s="259"/>
      <c r="U49" s="258"/>
      <c r="V49" s="258"/>
    </row>
    <row r="50" spans="1:24" s="310" customFormat="1" ht="25.5" customHeight="1">
      <c r="A50" s="5"/>
      <c r="B50" s="130" t="s">
        <v>100</v>
      </c>
      <c r="C50" s="281">
        <f>15000+7000+20000+15000</f>
        <v>57000</v>
      </c>
      <c r="D50" s="133"/>
      <c r="E50" s="269"/>
      <c r="F50" s="269"/>
      <c r="G50" s="269"/>
      <c r="H50" s="269">
        <v>3500</v>
      </c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  <c r="X50"/>
    </row>
    <row r="51" spans="1:24" s="310" customFormat="1" ht="25.5" customHeight="1">
      <c r="A51" s="5"/>
      <c r="B51" s="130" t="s">
        <v>226</v>
      </c>
      <c r="C51" s="281">
        <f>1044000+124000+384000+296000-47000+10000+156000+65000+50000+64500-15000+20000+48300+53200+5700+9400+10000+15500+10000+6400</f>
        <v>2310000</v>
      </c>
      <c r="D51" s="133"/>
      <c r="E51" s="269">
        <v>128000</v>
      </c>
      <c r="F51" s="269">
        <v>7000</v>
      </c>
      <c r="G51" s="269"/>
      <c r="H51" s="269">
        <v>50129</v>
      </c>
      <c r="I51" s="269"/>
      <c r="J51" s="269"/>
      <c r="K51" s="269"/>
      <c r="L51" s="269"/>
      <c r="M51" s="269">
        <v>37500</v>
      </c>
      <c r="N51" s="269"/>
      <c r="O51" s="269"/>
      <c r="P51" s="269"/>
      <c r="Q51" s="269"/>
      <c r="R51" s="269"/>
      <c r="S51" s="269"/>
      <c r="T51" s="269"/>
      <c r="U51" s="269"/>
      <c r="V51" s="269"/>
      <c r="X51"/>
    </row>
    <row r="52" spans="1:24" s="310" customFormat="1" ht="25.5" customHeight="1">
      <c r="A52" s="5"/>
      <c r="B52" s="130" t="s">
        <v>223</v>
      </c>
      <c r="C52" s="281">
        <v>200000</v>
      </c>
      <c r="D52" s="133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  <c r="X52"/>
    </row>
    <row r="53" spans="1:24" s="310" customFormat="1" ht="25.5" customHeight="1">
      <c r="A53" s="5"/>
      <c r="B53" s="130" t="s">
        <v>224</v>
      </c>
      <c r="C53" s="281">
        <v>20000</v>
      </c>
      <c r="D53" s="133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X53"/>
    </row>
    <row r="54" spans="1:24" s="310" customFormat="1" ht="25.5" customHeight="1">
      <c r="A54" s="5"/>
      <c r="B54" s="130" t="s">
        <v>225</v>
      </c>
      <c r="C54" s="281">
        <f>10000+14000</f>
        <v>24000</v>
      </c>
      <c r="D54" s="133"/>
      <c r="E54" s="269">
        <v>2460</v>
      </c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X54"/>
    </row>
    <row r="55" spans="1:24" s="310" customFormat="1" ht="25.5" customHeight="1">
      <c r="A55" s="5"/>
      <c r="B55" s="130" t="s">
        <v>227</v>
      </c>
      <c r="C55" s="281">
        <v>40000</v>
      </c>
      <c r="D55" s="133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X55"/>
    </row>
    <row r="56" spans="1:24" s="310" customFormat="1" ht="25.5" customHeight="1">
      <c r="A56" s="5"/>
      <c r="B56" s="130" t="s">
        <v>228</v>
      </c>
      <c r="C56" s="281">
        <v>9000</v>
      </c>
      <c r="D56" s="133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X56"/>
    </row>
    <row r="57" spans="1:24" s="310" customFormat="1" ht="25.5" customHeight="1">
      <c r="A57" s="5"/>
      <c r="B57" s="130" t="s">
        <v>11</v>
      </c>
      <c r="C57" s="281">
        <f>10000+60000+20000</f>
        <v>90000</v>
      </c>
      <c r="D57" s="133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X57"/>
    </row>
    <row r="58" spans="1:24" s="310" customFormat="1" ht="25.5" customHeight="1">
      <c r="A58" s="5"/>
      <c r="B58" s="130" t="s">
        <v>229</v>
      </c>
      <c r="C58" s="281">
        <v>10000</v>
      </c>
      <c r="D58" s="133"/>
      <c r="E58" s="269"/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X58"/>
    </row>
    <row r="59" spans="1:24" s="310" customFormat="1" ht="25.5" customHeight="1">
      <c r="A59" s="5"/>
      <c r="B59" s="130" t="s">
        <v>230</v>
      </c>
      <c r="C59" s="281">
        <v>20000</v>
      </c>
      <c r="D59" s="133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X59"/>
    </row>
    <row r="60" spans="1:24" s="310" customFormat="1" ht="25.5" customHeight="1">
      <c r="A60" s="9"/>
      <c r="B60" s="130" t="s">
        <v>50</v>
      </c>
      <c r="C60" s="280">
        <f>10000-10000</f>
        <v>0</v>
      </c>
      <c r="D60" s="133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X60"/>
    </row>
    <row r="61" spans="1:24" s="310" customFormat="1" ht="25.5" customHeight="1">
      <c r="A61" s="9"/>
      <c r="B61" s="130" t="s">
        <v>103</v>
      </c>
      <c r="C61" s="280">
        <v>10000</v>
      </c>
      <c r="D61" s="131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X61"/>
    </row>
    <row r="62" spans="1:24" s="310" customFormat="1" ht="25.5" customHeight="1">
      <c r="A62" s="9"/>
      <c r="B62" s="187" t="s">
        <v>106</v>
      </c>
      <c r="C62" s="283">
        <f>200000+30000+30000+80000+19000+1000+10000+2500+2500+2500+2500+20000+15000+5000</f>
        <v>420000</v>
      </c>
      <c r="D62" s="131"/>
      <c r="E62" s="269">
        <v>6228</v>
      </c>
      <c r="F62" s="269"/>
      <c r="G62" s="269"/>
      <c r="H62" s="269">
        <v>17210</v>
      </c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X62"/>
    </row>
    <row r="63" spans="1:24" s="310" customFormat="1" ht="25.5" customHeight="1">
      <c r="A63" s="9"/>
      <c r="B63" s="187" t="s">
        <v>231</v>
      </c>
      <c r="C63" s="283">
        <f>5000+8900</f>
        <v>13900</v>
      </c>
      <c r="D63" s="131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X63"/>
    </row>
    <row r="64" spans="1:24" s="310" customFormat="1" ht="25.5" customHeight="1">
      <c r="A64" s="9"/>
      <c r="B64" s="187" t="s">
        <v>204</v>
      </c>
      <c r="C64" s="283">
        <v>5000</v>
      </c>
      <c r="D64" s="131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X64"/>
    </row>
    <row r="65" spans="1:24" s="310" customFormat="1" ht="25.5" customHeight="1">
      <c r="A65" s="9"/>
      <c r="B65" s="187" t="s">
        <v>232</v>
      </c>
      <c r="C65" s="283">
        <f>120000+100000-6400</f>
        <v>213600</v>
      </c>
      <c r="D65" s="131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X65"/>
    </row>
    <row r="66" spans="1:24" s="310" customFormat="1" ht="25.5" customHeight="1">
      <c r="A66" s="9"/>
      <c r="B66" s="187" t="s">
        <v>233</v>
      </c>
      <c r="C66" s="283">
        <f>125000-8900-16100</f>
        <v>100000</v>
      </c>
      <c r="D66" s="131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X66"/>
    </row>
    <row r="67" spans="1:24" s="310" customFormat="1" ht="25.5" customHeight="1">
      <c r="A67" s="9"/>
      <c r="B67" s="187" t="s">
        <v>234</v>
      </c>
      <c r="C67" s="283">
        <v>5000</v>
      </c>
      <c r="D67" s="131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X67"/>
    </row>
    <row r="68" spans="1:24" s="310" customFormat="1" ht="25.5" customHeight="1">
      <c r="A68" s="9"/>
      <c r="B68" s="187" t="s">
        <v>235</v>
      </c>
      <c r="C68" s="283">
        <v>90000</v>
      </c>
      <c r="D68" s="131"/>
      <c r="E68" s="269">
        <v>59500</v>
      </c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X68"/>
    </row>
    <row r="69" spans="1:24" s="310" customFormat="1" ht="25.5" customHeight="1">
      <c r="A69" s="9"/>
      <c r="B69" s="187" t="s">
        <v>236</v>
      </c>
      <c r="C69" s="283">
        <v>5000</v>
      </c>
      <c r="D69" s="131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X69"/>
    </row>
    <row r="70" spans="1:24" s="310" customFormat="1" ht="25.5" customHeight="1">
      <c r="A70" s="9"/>
      <c r="B70" s="187" t="s">
        <v>237</v>
      </c>
      <c r="C70" s="283">
        <v>5000</v>
      </c>
      <c r="D70" s="131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X70"/>
    </row>
    <row r="71" spans="1:24" s="310" customFormat="1" ht="25.5" customHeight="1">
      <c r="A71" s="165"/>
      <c r="B71" s="226" t="s">
        <v>277</v>
      </c>
      <c r="C71" s="279">
        <v>5000</v>
      </c>
      <c r="D71" s="131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X71"/>
    </row>
    <row r="72" spans="1:24" s="310" customFormat="1" ht="25.5" customHeight="1">
      <c r="A72" s="165"/>
      <c r="B72" s="226" t="s">
        <v>107</v>
      </c>
      <c r="C72" s="279">
        <v>10000</v>
      </c>
      <c r="D72" s="131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X72"/>
    </row>
    <row r="73" spans="1:24" s="310" customFormat="1" ht="25.5" customHeight="1">
      <c r="A73" s="9"/>
      <c r="B73" s="226" t="s">
        <v>278</v>
      </c>
      <c r="C73" s="279">
        <v>10000</v>
      </c>
      <c r="D73" s="195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X73"/>
    </row>
    <row r="74" spans="1:24" s="310" customFormat="1" ht="25.5" customHeight="1">
      <c r="A74" s="165"/>
      <c r="B74" s="226" t="s">
        <v>279</v>
      </c>
      <c r="C74" s="279">
        <v>10000</v>
      </c>
      <c r="D74" s="195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X74"/>
    </row>
    <row r="75" spans="1:24" s="310" customFormat="1" ht="25.5" customHeight="1">
      <c r="A75" s="9"/>
      <c r="B75" s="226" t="s">
        <v>280</v>
      </c>
      <c r="C75" s="279">
        <v>10000</v>
      </c>
      <c r="D75" s="195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X75"/>
    </row>
    <row r="76" spans="1:24" s="310" customFormat="1" ht="25.5" customHeight="1">
      <c r="A76" s="9"/>
      <c r="B76" s="226" t="s">
        <v>281</v>
      </c>
      <c r="C76" s="279">
        <v>5000</v>
      </c>
      <c r="D76" s="195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X76"/>
    </row>
    <row r="77" spans="1:24" s="310" customFormat="1" ht="25.5" customHeight="1">
      <c r="A77" s="9"/>
      <c r="B77" s="226" t="s">
        <v>282</v>
      </c>
      <c r="C77" s="279">
        <v>5000</v>
      </c>
      <c r="D77" s="195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X77"/>
    </row>
    <row r="78" spans="1:24" s="310" customFormat="1" ht="25.5" customHeight="1">
      <c r="A78" s="9"/>
      <c r="B78" s="226" t="s">
        <v>238</v>
      </c>
      <c r="C78" s="279">
        <f>70000+40000+10000+20000+30000+10000+10000</f>
        <v>190000</v>
      </c>
      <c r="D78" s="195"/>
      <c r="E78" s="269">
        <v>16717.04</v>
      </c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X78"/>
    </row>
    <row r="79" spans="1:24" s="310" customFormat="1" ht="25.5" customHeight="1">
      <c r="A79" s="9"/>
      <c r="B79" s="226" t="s">
        <v>121</v>
      </c>
      <c r="C79" s="279">
        <f>100000+47000+3000-140000+40000</f>
        <v>50000</v>
      </c>
      <c r="D79" s="195"/>
      <c r="E79" s="269"/>
      <c r="F79" s="269">
        <v>23586</v>
      </c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X79"/>
    </row>
    <row r="80" spans="1:24" s="310" customFormat="1" ht="25.5" customHeight="1">
      <c r="A80" s="9"/>
      <c r="B80" s="226" t="s">
        <v>295</v>
      </c>
      <c r="C80" s="279">
        <f>40000+50000</f>
        <v>90000</v>
      </c>
      <c r="D80" s="195"/>
      <c r="E80" s="269"/>
      <c r="F80" s="269"/>
      <c r="G80" s="269">
        <v>4918</v>
      </c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X80"/>
    </row>
    <row r="81" spans="1:24" s="310" customFormat="1" ht="25.5" customHeight="1">
      <c r="A81" s="9"/>
      <c r="B81" s="226" t="s">
        <v>296</v>
      </c>
      <c r="C81" s="279">
        <v>30000</v>
      </c>
      <c r="D81" s="195"/>
      <c r="E81" s="269"/>
      <c r="F81" s="269"/>
      <c r="G81" s="269">
        <v>3250</v>
      </c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X81"/>
    </row>
    <row r="82" spans="1:24" s="310" customFormat="1" ht="25.5" customHeight="1">
      <c r="A82" s="9"/>
      <c r="B82" s="226" t="s">
        <v>210</v>
      </c>
      <c r="C82" s="279">
        <v>10000</v>
      </c>
      <c r="D82" s="195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X82"/>
    </row>
    <row r="83" spans="1:24" s="310" customFormat="1" ht="25.5" customHeight="1">
      <c r="A83" s="9"/>
      <c r="B83" s="187" t="s">
        <v>297</v>
      </c>
      <c r="C83" s="279">
        <v>20000</v>
      </c>
      <c r="D83" s="195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X83"/>
    </row>
    <row r="84" spans="1:24" s="310" customFormat="1" ht="25.5" customHeight="1">
      <c r="A84" s="9"/>
      <c r="B84" s="187" t="s">
        <v>298</v>
      </c>
      <c r="C84" s="279">
        <v>20000</v>
      </c>
      <c r="D84" s="195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X84"/>
    </row>
    <row r="85" spans="1:24" s="310" customFormat="1" ht="25.5" customHeight="1">
      <c r="A85" s="9"/>
      <c r="B85" s="187" t="s">
        <v>299</v>
      </c>
      <c r="C85" s="279">
        <v>15000</v>
      </c>
      <c r="D85" s="195"/>
      <c r="E85" s="269"/>
      <c r="F85" s="269"/>
      <c r="G85" s="269"/>
      <c r="H85" s="269">
        <v>15000</v>
      </c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X85"/>
    </row>
    <row r="86" spans="1:24" s="310" customFormat="1" ht="25.5" customHeight="1">
      <c r="A86" s="9"/>
      <c r="B86" s="187" t="s">
        <v>300</v>
      </c>
      <c r="C86" s="279">
        <v>10000</v>
      </c>
      <c r="D86" s="195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X86"/>
    </row>
    <row r="87" spans="1:24" s="310" customFormat="1" ht="25.5" customHeight="1">
      <c r="A87" s="9"/>
      <c r="B87" s="187" t="s">
        <v>301</v>
      </c>
      <c r="C87" s="279">
        <v>345100</v>
      </c>
      <c r="D87" s="19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X87"/>
    </row>
    <row r="88" spans="1:24" s="310" customFormat="1" ht="25.5" customHeight="1">
      <c r="A88" s="9"/>
      <c r="B88" s="187" t="s">
        <v>242</v>
      </c>
      <c r="C88" s="279">
        <v>40000</v>
      </c>
      <c r="D88" s="195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X88"/>
    </row>
    <row r="89" spans="1:24" s="310" customFormat="1" ht="25.5" customHeight="1">
      <c r="A89" s="9"/>
      <c r="B89" s="187" t="s">
        <v>307</v>
      </c>
      <c r="C89" s="279">
        <f>10000-10000</f>
        <v>0</v>
      </c>
      <c r="D89" s="131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X89"/>
    </row>
    <row r="90" spans="1:24" s="310" customFormat="1" ht="25.5" customHeight="1">
      <c r="A90" s="9"/>
      <c r="B90" s="187" t="s">
        <v>134</v>
      </c>
      <c r="C90" s="279">
        <f>15000-10000</f>
        <v>5000</v>
      </c>
      <c r="D90" s="195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X90"/>
    </row>
    <row r="91" spans="1:24" s="310" customFormat="1" ht="25.5" customHeight="1">
      <c r="A91" s="9"/>
      <c r="B91" s="187" t="s">
        <v>308</v>
      </c>
      <c r="C91" s="279">
        <f>2500-2500</f>
        <v>0</v>
      </c>
      <c r="D91" s="195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X91"/>
    </row>
    <row r="92" spans="1:24" s="310" customFormat="1" ht="25.5" customHeight="1">
      <c r="A92" s="9"/>
      <c r="B92" s="187" t="s">
        <v>309</v>
      </c>
      <c r="C92" s="279">
        <f>2500-2500</f>
        <v>0</v>
      </c>
      <c r="D92" s="195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X92"/>
    </row>
    <row r="93" spans="1:24" s="310" customFormat="1" ht="25.5" customHeight="1">
      <c r="A93" s="9"/>
      <c r="B93" s="187" t="s">
        <v>310</v>
      </c>
      <c r="C93" s="279">
        <f>2500-2500</f>
        <v>0</v>
      </c>
      <c r="D93" s="195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X93"/>
    </row>
    <row r="94" spans="1:24" s="310" customFormat="1" ht="25.5" customHeight="1">
      <c r="A94" s="9"/>
      <c r="B94" s="187" t="s">
        <v>311</v>
      </c>
      <c r="C94" s="279">
        <f>2500-2500</f>
        <v>0</v>
      </c>
      <c r="D94" s="195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X94"/>
    </row>
    <row r="95" spans="1:24" s="310" customFormat="1" ht="25.5" customHeight="1">
      <c r="A95" s="9"/>
      <c r="B95" s="187" t="s">
        <v>243</v>
      </c>
      <c r="C95" s="279">
        <v>2000</v>
      </c>
      <c r="D95" s="195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X95"/>
    </row>
    <row r="96" spans="1:24" s="310" customFormat="1" ht="25.5" customHeight="1">
      <c r="A96" s="9"/>
      <c r="B96" s="187" t="s">
        <v>248</v>
      </c>
      <c r="C96" s="279">
        <v>2000</v>
      </c>
      <c r="D96" s="195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X96"/>
    </row>
    <row r="97" spans="1:24" s="310" customFormat="1" ht="25.5" customHeight="1">
      <c r="A97" s="9"/>
      <c r="B97" s="187" t="s">
        <v>244</v>
      </c>
      <c r="C97" s="279">
        <v>2000</v>
      </c>
      <c r="D97" s="195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X97"/>
    </row>
    <row r="98" spans="1:24" s="310" customFormat="1" ht="25.5" customHeight="1">
      <c r="A98" s="9"/>
      <c r="B98" s="187" t="s">
        <v>245</v>
      </c>
      <c r="C98" s="279">
        <v>2000</v>
      </c>
      <c r="D98" s="195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X98"/>
    </row>
    <row r="99" spans="1:24" s="310" customFormat="1" ht="25.5" customHeight="1">
      <c r="A99" s="9"/>
      <c r="B99" s="187" t="s">
        <v>246</v>
      </c>
      <c r="C99" s="279">
        <v>2000</v>
      </c>
      <c r="D99" s="195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X99"/>
    </row>
    <row r="100" spans="1:24" s="310" customFormat="1" ht="25.5" customHeight="1">
      <c r="A100" s="9"/>
      <c r="B100" s="187" t="s">
        <v>247</v>
      </c>
      <c r="C100" s="279">
        <v>2000</v>
      </c>
      <c r="D100" s="195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X100"/>
    </row>
    <row r="101" spans="1:24" s="310" customFormat="1" ht="25.5" customHeight="1">
      <c r="A101" s="9"/>
      <c r="B101" s="187" t="s">
        <v>249</v>
      </c>
      <c r="C101" s="279">
        <v>2000</v>
      </c>
      <c r="D101" s="195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X101"/>
    </row>
    <row r="102" spans="1:24" s="310" customFormat="1" ht="25.5" customHeight="1">
      <c r="A102" s="9"/>
      <c r="B102" s="187" t="s">
        <v>250</v>
      </c>
      <c r="C102" s="279">
        <v>2000</v>
      </c>
      <c r="D102" s="195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X102"/>
    </row>
    <row r="103" spans="1:24" s="310" customFormat="1" ht="25.5" customHeight="1">
      <c r="A103" s="9"/>
      <c r="B103" s="187" t="s">
        <v>251</v>
      </c>
      <c r="C103" s="279">
        <v>2000</v>
      </c>
      <c r="D103" s="195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X103"/>
    </row>
    <row r="104" spans="1:24" s="310" customFormat="1" ht="25.5" customHeight="1">
      <c r="A104" s="9"/>
      <c r="B104" s="187" t="s">
        <v>252</v>
      </c>
      <c r="C104" s="279">
        <v>2000</v>
      </c>
      <c r="D104" s="195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X104"/>
    </row>
    <row r="105" spans="1:24" s="310" customFormat="1" ht="25.5" customHeight="1">
      <c r="A105" s="9"/>
      <c r="B105" s="187" t="s">
        <v>253</v>
      </c>
      <c r="C105" s="279">
        <v>2000</v>
      </c>
      <c r="D105" s="195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X105"/>
    </row>
    <row r="106" spans="1:24" s="310" customFormat="1" ht="25.5" customHeight="1">
      <c r="A106" s="9"/>
      <c r="B106" s="187" t="s">
        <v>254</v>
      </c>
      <c r="C106" s="279">
        <v>2000</v>
      </c>
      <c r="D106" s="195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X106"/>
    </row>
    <row r="107" spans="1:24" s="310" customFormat="1" ht="25.5" customHeight="1">
      <c r="A107" s="9"/>
      <c r="B107" s="187" t="s">
        <v>312</v>
      </c>
      <c r="C107" s="279">
        <v>2500</v>
      </c>
      <c r="D107" s="195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X107"/>
    </row>
    <row r="108" spans="1:24" s="310" customFormat="1" ht="25.5" customHeight="1">
      <c r="A108" s="9"/>
      <c r="B108" s="187" t="s">
        <v>313</v>
      </c>
      <c r="C108" s="279">
        <v>2500</v>
      </c>
      <c r="D108" s="131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X108"/>
    </row>
    <row r="109" spans="1:24" s="310" customFormat="1" ht="25.5" customHeight="1">
      <c r="A109" s="9"/>
      <c r="B109" s="187" t="s">
        <v>314</v>
      </c>
      <c r="C109" s="279">
        <v>2500</v>
      </c>
      <c r="D109" s="195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X109"/>
    </row>
    <row r="110" spans="1:24" s="310" customFormat="1" ht="25.5" customHeight="1">
      <c r="A110" s="9"/>
      <c r="B110" s="187" t="s">
        <v>255</v>
      </c>
      <c r="C110" s="279">
        <v>4000</v>
      </c>
      <c r="D110" s="195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X110"/>
    </row>
    <row r="111" spans="1:24" s="310" customFormat="1" ht="25.5" customHeight="1">
      <c r="A111" s="9"/>
      <c r="B111" s="187" t="s">
        <v>256</v>
      </c>
      <c r="C111" s="279">
        <v>2500</v>
      </c>
      <c r="D111" s="195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X111"/>
    </row>
    <row r="112" spans="1:24" s="310" customFormat="1" ht="25.5" customHeight="1">
      <c r="A112" s="9"/>
      <c r="B112" s="187" t="s">
        <v>257</v>
      </c>
      <c r="C112" s="279">
        <v>2500</v>
      </c>
      <c r="D112" s="195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X112"/>
    </row>
    <row r="113" spans="1:24" s="310" customFormat="1" ht="25.5" customHeight="1">
      <c r="A113" s="9"/>
      <c r="B113" s="187" t="s">
        <v>258</v>
      </c>
      <c r="C113" s="279">
        <v>2500</v>
      </c>
      <c r="D113" s="195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X113"/>
    </row>
    <row r="114" spans="1:24" s="310" customFormat="1" ht="25.5" customHeight="1">
      <c r="A114" s="9"/>
      <c r="B114" s="187" t="s">
        <v>259</v>
      </c>
      <c r="C114" s="279">
        <v>1000</v>
      </c>
      <c r="D114" s="195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X114"/>
    </row>
    <row r="115" spans="1:24" s="310" customFormat="1" ht="25.5" customHeight="1">
      <c r="A115" s="9"/>
      <c r="B115" s="187" t="s">
        <v>260</v>
      </c>
      <c r="C115" s="279">
        <v>1000</v>
      </c>
      <c r="D115" s="195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X115"/>
    </row>
    <row r="116" spans="1:24" s="310" customFormat="1" ht="25.5" customHeight="1">
      <c r="A116" s="9"/>
      <c r="B116" s="187" t="s">
        <v>261</v>
      </c>
      <c r="C116" s="279">
        <v>1000</v>
      </c>
      <c r="D116" s="195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X116"/>
    </row>
    <row r="117" spans="1:24" s="310" customFormat="1" ht="25.5" customHeight="1">
      <c r="A117" s="9"/>
      <c r="B117" s="187" t="s">
        <v>262</v>
      </c>
      <c r="C117" s="279">
        <v>1000</v>
      </c>
      <c r="D117" s="195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X117"/>
    </row>
    <row r="118" spans="1:24" s="310" customFormat="1" ht="25.5" customHeight="1">
      <c r="A118" s="9"/>
      <c r="B118" s="187" t="s">
        <v>211</v>
      </c>
      <c r="C118" s="279">
        <v>392000</v>
      </c>
      <c r="D118" s="195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X118"/>
    </row>
    <row r="119" spans="1:24" s="310" customFormat="1" ht="25.5" customHeight="1">
      <c r="A119" s="9"/>
      <c r="B119" s="187" t="s">
        <v>263</v>
      </c>
      <c r="C119" s="279">
        <v>200900</v>
      </c>
      <c r="D119" s="195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X119"/>
    </row>
    <row r="120" spans="1:24" s="310" customFormat="1" ht="25.5" customHeight="1">
      <c r="A120" s="9"/>
      <c r="B120" s="187" t="s">
        <v>315</v>
      </c>
      <c r="C120" s="279">
        <v>230300</v>
      </c>
      <c r="D120" s="195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X120"/>
    </row>
    <row r="121" spans="1:24" s="310" customFormat="1" ht="25.5" customHeight="1">
      <c r="A121" s="9"/>
      <c r="B121" s="187" t="s">
        <v>212</v>
      </c>
      <c r="C121" s="279">
        <v>171500</v>
      </c>
      <c r="D121" s="195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X121"/>
    </row>
    <row r="122" spans="1:24" s="310" customFormat="1" ht="25.5" customHeight="1">
      <c r="A122" s="9"/>
      <c r="B122" s="187" t="s">
        <v>140</v>
      </c>
      <c r="C122" s="279">
        <v>50000</v>
      </c>
      <c r="D122" s="195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X122"/>
    </row>
    <row r="123" spans="1:24" s="310" customFormat="1" ht="25.5" customHeight="1">
      <c r="A123" s="9"/>
      <c r="B123" s="187" t="s">
        <v>206</v>
      </c>
      <c r="C123" s="279">
        <v>20000</v>
      </c>
      <c r="D123" s="195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X123"/>
    </row>
    <row r="124" spans="1:24" s="310" customFormat="1" ht="25.5" customHeight="1">
      <c r="A124" s="9"/>
      <c r="B124" s="187" t="s">
        <v>326</v>
      </c>
      <c r="C124" s="279">
        <v>5000</v>
      </c>
      <c r="D124" s="195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X124"/>
    </row>
    <row r="125" spans="1:24" s="310" customFormat="1" ht="25.5" customHeight="1">
      <c r="A125" s="9"/>
      <c r="B125" s="187" t="s">
        <v>327</v>
      </c>
      <c r="C125" s="279">
        <v>5000</v>
      </c>
      <c r="D125" s="195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X125"/>
    </row>
    <row r="126" spans="1:24" s="310" customFormat="1" ht="25.5" customHeight="1">
      <c r="A126" s="9"/>
      <c r="B126" s="187" t="s">
        <v>142</v>
      </c>
      <c r="C126" s="279">
        <v>20000</v>
      </c>
      <c r="D126" s="195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X126"/>
    </row>
    <row r="127" spans="1:24" s="310" customFormat="1" ht="25.5" customHeight="1">
      <c r="A127" s="9"/>
      <c r="B127" s="226" t="s">
        <v>328</v>
      </c>
      <c r="C127" s="279">
        <v>10000</v>
      </c>
      <c r="D127" s="195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X127"/>
    </row>
    <row r="128" spans="1:24" s="310" customFormat="1" ht="25.5" customHeight="1">
      <c r="A128" s="9"/>
      <c r="B128" s="226" t="s">
        <v>329</v>
      </c>
      <c r="C128" s="279">
        <v>10000</v>
      </c>
      <c r="D128" s="131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X128"/>
    </row>
    <row r="129" spans="1:24" s="310" customFormat="1" ht="25.5" customHeight="1">
      <c r="A129" s="9"/>
      <c r="B129" s="226" t="s">
        <v>330</v>
      </c>
      <c r="C129" s="279">
        <v>10000</v>
      </c>
      <c r="D129" s="195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X129"/>
    </row>
    <row r="130" spans="1:24" s="310" customFormat="1" ht="25.5" customHeight="1">
      <c r="A130" s="9"/>
      <c r="B130" s="226" t="s">
        <v>331</v>
      </c>
      <c r="C130" s="279">
        <f>10000-10000</f>
        <v>0</v>
      </c>
      <c r="D130" s="195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X130"/>
    </row>
    <row r="131" spans="1:24" s="310" customFormat="1" ht="25.5" customHeight="1">
      <c r="A131" s="9"/>
      <c r="B131" s="226" t="s">
        <v>333</v>
      </c>
      <c r="C131" s="279">
        <v>15000</v>
      </c>
      <c r="D131" s="195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X131"/>
    </row>
    <row r="132" spans="1:24" s="310" customFormat="1" ht="25.5" customHeight="1">
      <c r="A132" s="9"/>
      <c r="B132" s="226" t="s">
        <v>157</v>
      </c>
      <c r="C132" s="279">
        <f>10000+8000</f>
        <v>18000</v>
      </c>
      <c r="D132" s="195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>
        <v>3600</v>
      </c>
      <c r="Q132" s="269"/>
      <c r="R132" s="269"/>
      <c r="S132" s="269"/>
      <c r="T132" s="269"/>
      <c r="U132" s="269"/>
      <c r="V132" s="269"/>
      <c r="X132"/>
    </row>
    <row r="133" spans="1:24" s="310" customFormat="1" ht="25.5" customHeight="1">
      <c r="A133" s="9"/>
      <c r="B133" s="226" t="s">
        <v>158</v>
      </c>
      <c r="C133" s="279">
        <f>10000-8000</f>
        <v>2000</v>
      </c>
      <c r="D133" s="195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X133"/>
    </row>
    <row r="134" spans="1:24" s="310" customFormat="1" ht="25.5" customHeight="1">
      <c r="A134" s="9"/>
      <c r="B134" s="226" t="s">
        <v>352</v>
      </c>
      <c r="C134" s="279">
        <f>10000+10000-20000</f>
        <v>0</v>
      </c>
      <c r="D134" s="195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X134"/>
    </row>
    <row r="135" spans="1:24" s="310" customFormat="1" ht="25.5" customHeight="1">
      <c r="A135" s="9"/>
      <c r="B135" s="226" t="s">
        <v>213</v>
      </c>
      <c r="C135" s="279">
        <v>15000</v>
      </c>
      <c r="D135" s="195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X135"/>
    </row>
    <row r="136" spans="1:24" s="310" customFormat="1" ht="25.5" customHeight="1">
      <c r="A136" s="9"/>
      <c r="B136" s="226" t="s">
        <v>265</v>
      </c>
      <c r="C136" s="279">
        <f>20000-20000</f>
        <v>0</v>
      </c>
      <c r="D136" s="195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X136"/>
    </row>
    <row r="137" spans="1:24" s="310" customFormat="1" ht="25.5" customHeight="1">
      <c r="A137" s="9"/>
      <c r="B137" s="226" t="s">
        <v>353</v>
      </c>
      <c r="C137" s="279">
        <v>5000</v>
      </c>
      <c r="D137" s="195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X137"/>
    </row>
    <row r="138" spans="1:24" s="310" customFormat="1" ht="25.5" customHeight="1">
      <c r="A138" s="9"/>
      <c r="B138" s="226" t="s">
        <v>354</v>
      </c>
      <c r="C138" s="279">
        <v>10000</v>
      </c>
      <c r="D138" s="195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X138"/>
    </row>
    <row r="139" spans="1:24" s="310" customFormat="1" ht="25.5" customHeight="1">
      <c r="A139" s="9"/>
      <c r="B139" s="187" t="s">
        <v>355</v>
      </c>
      <c r="C139" s="279">
        <v>20000</v>
      </c>
      <c r="D139" s="195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X139"/>
    </row>
    <row r="140" spans="1:24" s="310" customFormat="1" ht="25.5" customHeight="1">
      <c r="A140" s="9"/>
      <c r="B140" s="187" t="s">
        <v>356</v>
      </c>
      <c r="C140" s="279">
        <v>20000</v>
      </c>
      <c r="D140" s="195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X140"/>
    </row>
    <row r="141" spans="1:24" s="310" customFormat="1" ht="25.5" customHeight="1">
      <c r="A141" s="9"/>
      <c r="B141" s="187" t="s">
        <v>357</v>
      </c>
      <c r="C141" s="279">
        <v>10000</v>
      </c>
      <c r="D141" s="195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X141"/>
    </row>
    <row r="142" spans="1:24" s="310" customFormat="1" ht="25.5" customHeight="1">
      <c r="A142" s="9"/>
      <c r="B142" s="187" t="s">
        <v>358</v>
      </c>
      <c r="C142" s="279">
        <v>10000</v>
      </c>
      <c r="D142" s="195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X142"/>
    </row>
    <row r="143" spans="1:24" s="310" customFormat="1" ht="25.5" customHeight="1">
      <c r="A143" s="9"/>
      <c r="B143" s="187" t="s">
        <v>359</v>
      </c>
      <c r="C143" s="279">
        <v>5000</v>
      </c>
      <c r="D143" s="195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X143"/>
    </row>
    <row r="144" spans="1:24" s="310" customFormat="1" ht="25.5" customHeight="1">
      <c r="A144" s="9"/>
      <c r="B144" s="187" t="s">
        <v>360</v>
      </c>
      <c r="C144" s="279">
        <v>5000</v>
      </c>
      <c r="D144" s="195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X144"/>
    </row>
    <row r="145" spans="1:24" s="310" customFormat="1" ht="25.5" customHeight="1">
      <c r="A145" s="9"/>
      <c r="B145" s="187" t="s">
        <v>361</v>
      </c>
      <c r="C145" s="279">
        <v>5000</v>
      </c>
      <c r="D145" s="195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X145"/>
    </row>
    <row r="146" spans="1:24" s="310" customFormat="1" ht="25.5" customHeight="1">
      <c r="A146" s="9"/>
      <c r="B146" s="187" t="s">
        <v>362</v>
      </c>
      <c r="C146" s="279">
        <v>5000</v>
      </c>
      <c r="D146" s="195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X146"/>
    </row>
    <row r="147" spans="1:24" s="310" customFormat="1" ht="25.5" customHeight="1">
      <c r="A147" s="9"/>
      <c r="B147" s="187" t="s">
        <v>363</v>
      </c>
      <c r="C147" s="279">
        <v>5000</v>
      </c>
      <c r="D147" s="131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X147"/>
    </row>
    <row r="148" spans="1:24" s="310" customFormat="1" ht="25.5" customHeight="1">
      <c r="A148" s="9"/>
      <c r="B148" s="187" t="s">
        <v>364</v>
      </c>
      <c r="C148" s="279">
        <v>5000</v>
      </c>
      <c r="D148" s="131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X148"/>
    </row>
    <row r="149" spans="1:24" s="310" customFormat="1" ht="25.5" customHeight="1">
      <c r="A149" s="9"/>
      <c r="B149" s="187" t="s">
        <v>365</v>
      </c>
      <c r="C149" s="279">
        <v>5000</v>
      </c>
      <c r="D149" s="131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X149"/>
    </row>
    <row r="150" spans="1:24" s="310" customFormat="1" ht="25.5" customHeight="1">
      <c r="A150" s="9"/>
      <c r="B150" s="187" t="s">
        <v>366</v>
      </c>
      <c r="C150" s="279">
        <v>5000</v>
      </c>
      <c r="D150" s="131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X150"/>
    </row>
    <row r="151" spans="1:24" s="310" customFormat="1" ht="25.5" customHeight="1">
      <c r="A151" s="9"/>
      <c r="B151" s="187" t="s">
        <v>367</v>
      </c>
      <c r="C151" s="279">
        <v>5000</v>
      </c>
      <c r="D151" s="131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X151"/>
    </row>
    <row r="152" spans="1:24" s="310" customFormat="1" ht="25.5" customHeight="1">
      <c r="A152" s="9"/>
      <c r="B152" s="187" t="s">
        <v>368</v>
      </c>
      <c r="C152" s="279">
        <v>5000</v>
      </c>
      <c r="D152" s="131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X152"/>
    </row>
    <row r="153" spans="1:24" s="310" customFormat="1" ht="25.5" customHeight="1">
      <c r="A153" s="9"/>
      <c r="B153" s="187" t="s">
        <v>369</v>
      </c>
      <c r="C153" s="279">
        <f>10000-10000</f>
        <v>0</v>
      </c>
      <c r="D153" s="131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X153"/>
    </row>
    <row r="154" spans="1:24" s="310" customFormat="1" ht="25.5" customHeight="1">
      <c r="A154" s="9"/>
      <c r="B154" s="187" t="s">
        <v>370</v>
      </c>
      <c r="C154" s="279">
        <v>10000</v>
      </c>
      <c r="D154" s="131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X154"/>
    </row>
    <row r="155" spans="1:24" s="310" customFormat="1" ht="25.5" customHeight="1">
      <c r="A155" s="9"/>
      <c r="B155" s="187" t="s">
        <v>163</v>
      </c>
      <c r="C155" s="279">
        <f>350000-156000-153000-11000-10000-20000</f>
        <v>0</v>
      </c>
      <c r="D155" s="131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X155"/>
    </row>
    <row r="156" spans="1:24" s="310" customFormat="1" ht="25.5" customHeight="1">
      <c r="A156" s="9"/>
      <c r="B156" s="187" t="s">
        <v>214</v>
      </c>
      <c r="C156" s="279">
        <v>25000</v>
      </c>
      <c r="D156" s="131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X156"/>
    </row>
    <row r="157" spans="1:24" s="310" customFormat="1" ht="25.5" customHeight="1">
      <c r="A157" s="9"/>
      <c r="B157" s="187" t="s">
        <v>167</v>
      </c>
      <c r="C157" s="279">
        <f>30000-30000</f>
        <v>0</v>
      </c>
      <c r="D157" s="131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X157"/>
    </row>
    <row r="158" spans="1:24" s="310" customFormat="1" ht="25.5" customHeight="1">
      <c r="A158" s="9"/>
      <c r="B158" s="187" t="s">
        <v>371</v>
      </c>
      <c r="C158" s="279">
        <v>30000</v>
      </c>
      <c r="D158" s="131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X158"/>
    </row>
    <row r="159" spans="1:24" s="310" customFormat="1" ht="25.5" customHeight="1">
      <c r="A159" s="9"/>
      <c r="B159" s="187" t="s">
        <v>170</v>
      </c>
      <c r="C159" s="279">
        <v>40000</v>
      </c>
      <c r="D159" s="131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X159"/>
    </row>
    <row r="160" spans="1:24" s="310" customFormat="1" ht="25.5" customHeight="1">
      <c r="A160" s="9"/>
      <c r="B160" s="187" t="s">
        <v>266</v>
      </c>
      <c r="C160" s="279">
        <v>15000</v>
      </c>
      <c r="D160" s="131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X160"/>
    </row>
    <row r="161" spans="1:24" s="310" customFormat="1" ht="25.5" customHeight="1">
      <c r="A161" s="9"/>
      <c r="B161" s="187" t="s">
        <v>372</v>
      </c>
      <c r="C161" s="279">
        <v>65000</v>
      </c>
      <c r="D161" s="131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X161"/>
    </row>
    <row r="162" spans="1:24" ht="25.5" customHeight="1">
      <c r="A162" s="9"/>
      <c r="B162" s="187" t="s">
        <v>373</v>
      </c>
      <c r="C162" s="279">
        <f>65000-65000</f>
        <v>0</v>
      </c>
      <c r="D162" s="131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</row>
    <row r="163" spans="1:24" ht="25.5" customHeight="1">
      <c r="A163" s="9"/>
      <c r="B163" s="187" t="s">
        <v>374</v>
      </c>
      <c r="C163" s="279">
        <v>20000</v>
      </c>
      <c r="D163" s="131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>
        <v>500</v>
      </c>
      <c r="T163" s="269"/>
      <c r="U163" s="269"/>
      <c r="V163" s="269"/>
    </row>
    <row r="164" spans="1:24" ht="25.5" customHeight="1">
      <c r="A164" s="9"/>
      <c r="B164" s="187" t="s">
        <v>375</v>
      </c>
      <c r="C164" s="279">
        <v>20000</v>
      </c>
      <c r="D164" s="131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>
        <v>500</v>
      </c>
      <c r="T164" s="269"/>
      <c r="U164" s="269"/>
      <c r="V164" s="269"/>
    </row>
    <row r="165" spans="1:24" ht="25.5" customHeight="1">
      <c r="A165" s="9"/>
      <c r="B165" s="187" t="s">
        <v>376</v>
      </c>
      <c r="C165" s="279">
        <v>25000</v>
      </c>
      <c r="D165" s="131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</row>
    <row r="166" spans="1:24" ht="25.5" customHeight="1">
      <c r="A166" s="9"/>
      <c r="B166" s="187" t="s">
        <v>377</v>
      </c>
      <c r="C166" s="279">
        <v>20000</v>
      </c>
      <c r="D166" s="131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</row>
    <row r="167" spans="1:24" ht="25.5" customHeight="1">
      <c r="A167" s="9"/>
      <c r="B167" s="187" t="s">
        <v>267</v>
      </c>
      <c r="C167" s="279">
        <v>15000</v>
      </c>
      <c r="D167" s="131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</row>
    <row r="168" spans="1:24" ht="25.5" customHeight="1">
      <c r="A168" s="9"/>
      <c r="B168" s="187" t="s">
        <v>215</v>
      </c>
      <c r="C168" s="279">
        <v>10000</v>
      </c>
      <c r="D168" s="131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</row>
    <row r="169" spans="1:24" ht="25.5" customHeight="1">
      <c r="A169" s="9"/>
      <c r="B169" s="187" t="s">
        <v>268</v>
      </c>
      <c r="C169" s="279">
        <v>5000</v>
      </c>
      <c r="D169" s="131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</row>
    <row r="170" spans="1:24" ht="25.5" customHeight="1">
      <c r="A170" s="9"/>
      <c r="B170" s="187" t="s">
        <v>413</v>
      </c>
      <c r="C170" s="279">
        <v>140000</v>
      </c>
      <c r="D170" s="131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321"/>
    </row>
    <row r="171" spans="1:24" ht="25.5" customHeight="1">
      <c r="A171" s="9"/>
      <c r="B171" s="187" t="s">
        <v>414</v>
      </c>
      <c r="C171" s="279">
        <v>40000</v>
      </c>
      <c r="D171" s="131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</row>
    <row r="172" spans="1:24" ht="25.5" customHeight="1">
      <c r="A172" s="9"/>
      <c r="B172" s="187" t="s">
        <v>415</v>
      </c>
      <c r="C172" s="279">
        <v>20000</v>
      </c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321"/>
    </row>
    <row r="173" spans="1:24" ht="25.5" customHeight="1">
      <c r="A173" s="9"/>
      <c r="B173" s="187" t="s">
        <v>330</v>
      </c>
      <c r="C173" s="279"/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</row>
    <row r="174" spans="1:24" ht="25.5" customHeight="1">
      <c r="A174" s="9"/>
      <c r="B174" s="187"/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4" ht="25.5" customHeight="1" thickBot="1">
      <c r="A175" s="15"/>
      <c r="B175" s="14" t="s">
        <v>5</v>
      </c>
      <c r="C175" s="170">
        <f>SUM(C50:C174)</f>
        <v>6374300</v>
      </c>
      <c r="D175" s="255">
        <f t="shared" ref="D175:V175" si="4">SUM(D50:D174)</f>
        <v>0</v>
      </c>
      <c r="E175" s="254">
        <f>SUM(E50:E174)</f>
        <v>212905.04</v>
      </c>
      <c r="F175" s="254">
        <f>SUM(F50:F174)</f>
        <v>30586</v>
      </c>
      <c r="G175" s="254">
        <f t="shared" si="4"/>
        <v>8168</v>
      </c>
      <c r="H175" s="254">
        <f>SUM(H50:H174)</f>
        <v>85839</v>
      </c>
      <c r="I175" s="255">
        <f>SUM(I50:I174)</f>
        <v>0</v>
      </c>
      <c r="J175" s="255">
        <f t="shared" si="4"/>
        <v>0</v>
      </c>
      <c r="K175" s="255">
        <f t="shared" si="4"/>
        <v>0</v>
      </c>
      <c r="L175" s="255">
        <f t="shared" si="4"/>
        <v>0</v>
      </c>
      <c r="M175" s="254">
        <f>SUM(M50:M174)</f>
        <v>37500</v>
      </c>
      <c r="N175" s="255">
        <f t="shared" si="4"/>
        <v>0</v>
      </c>
      <c r="O175" s="255">
        <f t="shared" si="4"/>
        <v>0</v>
      </c>
      <c r="P175" s="255">
        <f>SUM(P50:P174)</f>
        <v>3600</v>
      </c>
      <c r="Q175" s="255">
        <f t="shared" si="4"/>
        <v>0</v>
      </c>
      <c r="R175" s="255">
        <f t="shared" si="4"/>
        <v>0</v>
      </c>
      <c r="S175" s="255">
        <f t="shared" si="4"/>
        <v>1000</v>
      </c>
      <c r="T175" s="255"/>
      <c r="U175" s="255">
        <f t="shared" si="4"/>
        <v>0</v>
      </c>
      <c r="V175" s="255">
        <f t="shared" si="4"/>
        <v>0</v>
      </c>
      <c r="W175" s="314">
        <f>SUM(D175:V175)</f>
        <v>379598.04000000004</v>
      </c>
    </row>
    <row r="176" spans="1:24" ht="25.5" customHeight="1" thickTop="1">
      <c r="A176" s="3" t="s">
        <v>113</v>
      </c>
      <c r="B176" s="4"/>
      <c r="C176" s="287"/>
      <c r="D176" s="133"/>
      <c r="E176" s="269"/>
      <c r="F176" s="136"/>
      <c r="G176" s="136"/>
      <c r="H176" s="136"/>
      <c r="I176" s="133"/>
      <c r="J176" s="133"/>
      <c r="K176" s="133"/>
      <c r="L176" s="133"/>
      <c r="M176" s="136"/>
      <c r="N176" s="133"/>
      <c r="O176" s="133"/>
      <c r="P176" s="133"/>
      <c r="Q176" s="133"/>
      <c r="R176" s="258"/>
      <c r="S176" s="259"/>
      <c r="T176" s="259"/>
      <c r="U176" s="258"/>
      <c r="V176" s="258"/>
    </row>
    <row r="177" spans="1:23" ht="25.5" customHeight="1">
      <c r="A177" s="9"/>
      <c r="B177" s="130" t="s">
        <v>111</v>
      </c>
      <c r="C177" s="216">
        <f>50000+25000+5000+25000+10000+10000-8000</f>
        <v>117000</v>
      </c>
      <c r="D177" s="131"/>
      <c r="E177" s="267"/>
      <c r="F177" s="267">
        <v>2915</v>
      </c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</row>
    <row r="178" spans="1:23" s="67" customFormat="1" ht="25.5" customHeight="1">
      <c r="A178" s="9"/>
      <c r="B178" s="130" t="s">
        <v>302</v>
      </c>
      <c r="C178" s="216">
        <v>10000</v>
      </c>
      <c r="D178" s="131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312"/>
    </row>
    <row r="179" spans="1:23" s="67" customFormat="1" ht="25.5" customHeight="1">
      <c r="A179" s="9"/>
      <c r="B179" s="130" t="s">
        <v>16</v>
      </c>
      <c r="C179" s="216">
        <f>8000+200000+5000</f>
        <v>213000</v>
      </c>
      <c r="D179" s="131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312"/>
    </row>
    <row r="180" spans="1:23" s="67" customFormat="1" ht="25.5" customHeight="1">
      <c r="A180" s="9"/>
      <c r="B180" s="130" t="s">
        <v>12</v>
      </c>
      <c r="C180" s="216">
        <f>15000+10000</f>
        <v>25000</v>
      </c>
      <c r="D180" s="131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312"/>
    </row>
    <row r="181" spans="1:23" ht="25.5" customHeight="1">
      <c r="A181" s="9"/>
      <c r="B181" s="130" t="s">
        <v>17</v>
      </c>
      <c r="C181" s="216">
        <f>15000+25000+20000-10000+8000-3000</f>
        <v>55000</v>
      </c>
      <c r="D181" s="133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</row>
    <row r="182" spans="1:23" ht="25.5" customHeight="1">
      <c r="A182" s="9"/>
      <c r="B182" s="130" t="s">
        <v>13</v>
      </c>
      <c r="C182" s="216">
        <v>15000</v>
      </c>
      <c r="D182" s="131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</row>
    <row r="183" spans="1:23" ht="25.5" customHeight="1">
      <c r="A183" s="9"/>
      <c r="B183" s="130" t="s">
        <v>14</v>
      </c>
      <c r="C183" s="216">
        <f>240000+5000+20000</f>
        <v>265000</v>
      </c>
      <c r="D183" s="133"/>
      <c r="E183" s="267">
        <v>25427.56</v>
      </c>
      <c r="F183" s="267">
        <v>61</v>
      </c>
      <c r="G183" s="267"/>
      <c r="H183" s="267"/>
      <c r="I183" s="267"/>
      <c r="J183" s="267"/>
      <c r="K183" s="267"/>
      <c r="L183" s="267"/>
      <c r="M183" s="267">
        <v>382.8</v>
      </c>
      <c r="N183" s="267"/>
      <c r="O183" s="267"/>
      <c r="P183" s="267"/>
      <c r="Q183" s="267"/>
      <c r="R183" s="267"/>
      <c r="S183" s="267"/>
      <c r="T183" s="267"/>
      <c r="U183" s="267"/>
      <c r="V183" s="267"/>
    </row>
    <row r="184" spans="1:23" ht="25.5" customHeight="1">
      <c r="A184" s="9"/>
      <c r="B184" s="130" t="s">
        <v>112</v>
      </c>
      <c r="C184" s="216">
        <f>5000+5000+5000-5000</f>
        <v>10000</v>
      </c>
      <c r="D184" s="133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</row>
    <row r="185" spans="1:23" ht="25.5" customHeight="1">
      <c r="A185" s="9"/>
      <c r="B185" s="130" t="s">
        <v>208</v>
      </c>
      <c r="C185" s="216">
        <v>5000</v>
      </c>
      <c r="D185" s="133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</row>
    <row r="186" spans="1:23" ht="25.5" customHeight="1">
      <c r="A186" s="9"/>
      <c r="B186" s="130" t="s">
        <v>15</v>
      </c>
      <c r="C186" s="216">
        <f>40000+15000+15000+40000+40000+15000</f>
        <v>165000</v>
      </c>
      <c r="D186" s="195"/>
      <c r="E186" s="267">
        <v>9420</v>
      </c>
      <c r="F186" s="267"/>
      <c r="G186" s="267"/>
      <c r="H186" s="267"/>
      <c r="I186" s="267"/>
      <c r="J186" s="267"/>
      <c r="K186" s="267"/>
      <c r="L186" s="267"/>
      <c r="M186" s="267">
        <v>22200</v>
      </c>
      <c r="N186" s="267"/>
      <c r="O186" s="267"/>
      <c r="P186" s="267"/>
      <c r="Q186" s="267"/>
      <c r="R186" s="267"/>
      <c r="S186" s="267"/>
      <c r="T186" s="267"/>
      <c r="U186" s="267"/>
      <c r="V186" s="267"/>
    </row>
    <row r="187" spans="1:23" ht="25.5" customHeight="1">
      <c r="A187" s="9"/>
      <c r="B187" s="130" t="s">
        <v>303</v>
      </c>
      <c r="C187" s="216">
        <v>10000</v>
      </c>
      <c r="D187" s="195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</row>
    <row r="188" spans="1:23" ht="25.5" customHeight="1">
      <c r="A188" s="9"/>
      <c r="B188" s="130" t="s">
        <v>304</v>
      </c>
      <c r="C188" s="216">
        <f>5000+20000</f>
        <v>25000</v>
      </c>
      <c r="D188" s="195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</row>
    <row r="189" spans="1:23" ht="25.5" customHeight="1">
      <c r="A189" s="9"/>
      <c r="B189" s="130" t="s">
        <v>332</v>
      </c>
      <c r="C189" s="216">
        <v>10000</v>
      </c>
      <c r="D189" s="195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</row>
    <row r="190" spans="1:23" ht="25.5" customHeight="1">
      <c r="A190" s="9"/>
      <c r="B190" s="130" t="s">
        <v>46</v>
      </c>
      <c r="C190" s="216">
        <v>80000</v>
      </c>
      <c r="D190" s="195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</row>
    <row r="191" spans="1:23" ht="25.5" customHeight="1">
      <c r="A191" s="9"/>
      <c r="B191" s="130" t="s">
        <v>316</v>
      </c>
      <c r="C191" s="216">
        <v>1216788</v>
      </c>
      <c r="D191" s="131"/>
      <c r="E191" s="267"/>
      <c r="F191" s="267"/>
      <c r="G191" s="267"/>
      <c r="H191" s="267"/>
      <c r="I191" s="267">
        <v>248460.79999999999</v>
      </c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</row>
    <row r="192" spans="1:23" ht="25.5" customHeight="1">
      <c r="A192" s="9"/>
      <c r="B192" s="130" t="s">
        <v>317</v>
      </c>
      <c r="C192" s="290">
        <v>0</v>
      </c>
      <c r="D192" s="133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</row>
    <row r="193" spans="1:23" ht="25.5" customHeight="1">
      <c r="A193" s="9"/>
      <c r="B193" s="130" t="s">
        <v>318</v>
      </c>
      <c r="C193" s="216">
        <v>0</v>
      </c>
      <c r="D193" s="133"/>
      <c r="E193" s="267"/>
      <c r="F193" s="267"/>
      <c r="G193" s="267"/>
      <c r="H193" s="267"/>
      <c r="I193" s="324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</row>
    <row r="194" spans="1:23" ht="25.5" customHeight="1">
      <c r="A194" s="9"/>
      <c r="B194" s="185" t="s">
        <v>319</v>
      </c>
      <c r="C194" s="216">
        <v>388990</v>
      </c>
      <c r="D194" s="133"/>
      <c r="E194" s="267"/>
      <c r="F194" s="267"/>
      <c r="G194" s="267"/>
      <c r="H194" s="267"/>
      <c r="I194" s="267">
        <v>78420.44</v>
      </c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</row>
    <row r="195" spans="1:23" ht="25.5" customHeight="1">
      <c r="A195" s="9"/>
      <c r="B195" s="185" t="s">
        <v>320</v>
      </c>
      <c r="C195" s="216"/>
      <c r="D195" s="133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</row>
    <row r="196" spans="1:23" ht="25.5" customHeight="1">
      <c r="A196" s="9"/>
      <c r="B196" s="185" t="s">
        <v>321</v>
      </c>
      <c r="C196" s="216"/>
      <c r="D196" s="133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</row>
    <row r="197" spans="1:23" ht="25.5" customHeight="1">
      <c r="A197" s="165"/>
      <c r="B197" s="185" t="s">
        <v>322</v>
      </c>
      <c r="C197" s="216"/>
      <c r="D197" s="133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</row>
    <row r="198" spans="1:23" ht="25.5" customHeight="1">
      <c r="A198" s="9"/>
      <c r="B198" s="185"/>
      <c r="C198" s="216"/>
      <c r="D198" s="133"/>
      <c r="E198" s="269"/>
      <c r="F198" s="136"/>
      <c r="G198" s="136"/>
      <c r="H198" s="136"/>
      <c r="I198" s="133"/>
      <c r="J198" s="133"/>
      <c r="K198" s="133"/>
      <c r="L198" s="133"/>
      <c r="M198" s="136"/>
      <c r="N198" s="133"/>
      <c r="O198" s="133"/>
      <c r="P198" s="133"/>
      <c r="Q198" s="133"/>
      <c r="R198" s="217"/>
      <c r="S198" s="219"/>
      <c r="T198" s="219"/>
      <c r="U198" s="217"/>
      <c r="V198" s="217"/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30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197"/>
      <c r="B202" s="198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 thickBot="1">
      <c r="A203" s="46"/>
      <c r="B203" s="47" t="s">
        <v>5</v>
      </c>
      <c r="C203" s="170">
        <f>SUM(C177:C202)</f>
        <v>2610778</v>
      </c>
      <c r="D203" s="255">
        <f>SUM(D177:D202)</f>
        <v>0</v>
      </c>
      <c r="E203" s="254">
        <f>SUM(E177:E202)</f>
        <v>34847.56</v>
      </c>
      <c r="F203" s="254">
        <f>SUM(F177:F202)</f>
        <v>2976</v>
      </c>
      <c r="G203" s="254">
        <f t="shared" ref="G203:V203" si="5">SUM(G177:G202)</f>
        <v>0</v>
      </c>
      <c r="H203" s="254">
        <f>SUM(H177:H202)</f>
        <v>0</v>
      </c>
      <c r="I203" s="255">
        <f>SUM(I177:I202)</f>
        <v>326881.24</v>
      </c>
      <c r="J203" s="255">
        <f t="shared" si="5"/>
        <v>0</v>
      </c>
      <c r="K203" s="255">
        <f t="shared" si="5"/>
        <v>0</v>
      </c>
      <c r="L203" s="255">
        <f t="shared" si="5"/>
        <v>0</v>
      </c>
      <c r="M203" s="254">
        <f>SUM(M177:M202)</f>
        <v>22582.799999999999</v>
      </c>
      <c r="N203" s="255">
        <f t="shared" si="5"/>
        <v>0</v>
      </c>
      <c r="O203" s="255">
        <f t="shared" si="5"/>
        <v>0</v>
      </c>
      <c r="P203" s="255">
        <f t="shared" si="5"/>
        <v>0</v>
      </c>
      <c r="Q203" s="255">
        <f t="shared" si="5"/>
        <v>0</v>
      </c>
      <c r="R203" s="255">
        <f t="shared" si="5"/>
        <v>0</v>
      </c>
      <c r="S203" s="255">
        <f t="shared" si="5"/>
        <v>0</v>
      </c>
      <c r="T203" s="255"/>
      <c r="U203" s="255">
        <f t="shared" si="5"/>
        <v>0</v>
      </c>
      <c r="V203" s="255">
        <f t="shared" si="5"/>
        <v>0</v>
      </c>
      <c r="W203" s="314">
        <f>SUM(D203:V203)</f>
        <v>387287.6</v>
      </c>
    </row>
    <row r="204" spans="1:23" ht="25.5" customHeight="1" thickTop="1">
      <c r="A204" s="5" t="s">
        <v>114</v>
      </c>
      <c r="B204" s="6"/>
      <c r="C204" s="190"/>
      <c r="D204" s="133"/>
      <c r="E204" s="269"/>
      <c r="F204" s="136"/>
      <c r="G204" s="136"/>
      <c r="H204" s="136"/>
      <c r="I204" s="133"/>
      <c r="J204" s="133"/>
      <c r="K204" s="133"/>
      <c r="L204" s="133"/>
      <c r="M204" s="136"/>
      <c r="N204" s="133"/>
      <c r="O204" s="133"/>
      <c r="P204" s="133"/>
      <c r="Q204" s="133"/>
      <c r="R204" s="258"/>
      <c r="S204" s="259"/>
      <c r="T204" s="259"/>
      <c r="U204" s="258"/>
      <c r="V204" s="258"/>
    </row>
    <row r="205" spans="1:23" ht="25.5" customHeight="1">
      <c r="A205" s="9"/>
      <c r="B205" s="130" t="s">
        <v>20</v>
      </c>
      <c r="C205" s="216">
        <f>240000+35000</f>
        <v>275000</v>
      </c>
      <c r="D205" s="261"/>
      <c r="E205" s="269">
        <v>24518.34</v>
      </c>
      <c r="F205" s="269"/>
      <c r="G205" s="269"/>
      <c r="H205" s="269">
        <v>3703.97</v>
      </c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</row>
    <row r="206" spans="1:23" ht="25.5" customHeight="1">
      <c r="A206" s="9"/>
      <c r="B206" s="130" t="s">
        <v>283</v>
      </c>
      <c r="C206" s="216">
        <f>100000+12000</f>
        <v>112000</v>
      </c>
      <c r="D206" s="261"/>
      <c r="E206" s="269">
        <v>5144.38</v>
      </c>
      <c r="F206" s="269"/>
      <c r="G206" s="269"/>
      <c r="H206" s="269">
        <v>1000</v>
      </c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</row>
    <row r="207" spans="1:23" ht="25.5" customHeight="1">
      <c r="A207" s="9"/>
      <c r="B207" s="130" t="s">
        <v>284</v>
      </c>
      <c r="C207" s="216">
        <f>15000+3000</f>
        <v>18000</v>
      </c>
      <c r="D207" s="131"/>
      <c r="E207" s="269">
        <v>350</v>
      </c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</row>
    <row r="208" spans="1:23" ht="25.5" customHeight="1">
      <c r="A208" s="9"/>
      <c r="B208" s="130" t="s">
        <v>285</v>
      </c>
      <c r="C208" s="216">
        <f>72000+32000+16100</f>
        <v>120100</v>
      </c>
      <c r="D208" s="131"/>
      <c r="E208" s="269">
        <v>5911.75</v>
      </c>
      <c r="F208" s="269"/>
      <c r="G208" s="269"/>
      <c r="H208" s="269">
        <v>2632.2</v>
      </c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</row>
    <row r="209" spans="1:23" ht="25.5" customHeight="1" thickBot="1">
      <c r="A209" s="15"/>
      <c r="B209" s="14" t="s">
        <v>5</v>
      </c>
      <c r="C209" s="170">
        <f>SUM(C205:C208)</f>
        <v>525100</v>
      </c>
      <c r="D209" s="132"/>
      <c r="E209" s="268">
        <f>SUM(E205:E208)</f>
        <v>35924.47</v>
      </c>
      <c r="F209" s="137"/>
      <c r="G209" s="137"/>
      <c r="H209" s="137">
        <f>SUM(H205:H208)</f>
        <v>7336.1699999999992</v>
      </c>
      <c r="I209" s="132"/>
      <c r="J209" s="132"/>
      <c r="K209" s="132"/>
      <c r="L209" s="132"/>
      <c r="M209" s="137"/>
      <c r="N209" s="132"/>
      <c r="O209" s="132"/>
      <c r="P209" s="132"/>
      <c r="Q209" s="132"/>
      <c r="R209" s="307"/>
      <c r="S209" s="308"/>
      <c r="T209" s="308"/>
      <c r="U209" s="307"/>
      <c r="V209" s="307"/>
      <c r="W209" s="318">
        <f>SUM(D209:V209)</f>
        <v>43260.639999999999</v>
      </c>
    </row>
    <row r="210" spans="1:23" ht="25.5" customHeight="1" thickTop="1">
      <c r="A210" s="3" t="s">
        <v>122</v>
      </c>
      <c r="B210" s="4"/>
      <c r="C210" s="287"/>
      <c r="D210" s="133"/>
      <c r="E210" s="305"/>
      <c r="F210" s="306"/>
      <c r="G210" s="306"/>
      <c r="H210" s="306"/>
      <c r="I210" s="133"/>
      <c r="J210" s="133"/>
      <c r="K210" s="133"/>
      <c r="L210" s="133"/>
      <c r="M210" s="136"/>
      <c r="N210" s="133"/>
      <c r="O210" s="133"/>
      <c r="P210" s="133"/>
      <c r="Q210" s="133"/>
      <c r="R210" s="258"/>
      <c r="S210" s="259"/>
      <c r="T210" s="259"/>
      <c r="U210" s="258"/>
      <c r="V210" s="258"/>
    </row>
    <row r="211" spans="1:23" ht="25.5" customHeight="1">
      <c r="A211" s="169"/>
      <c r="B211" s="185" t="s">
        <v>323</v>
      </c>
      <c r="C211" s="190">
        <v>864000</v>
      </c>
      <c r="D211" s="131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</row>
    <row r="212" spans="1:23" ht="25.5" customHeight="1">
      <c r="A212" s="169"/>
      <c r="B212" s="185" t="s">
        <v>324</v>
      </c>
      <c r="C212" s="190">
        <v>1096000</v>
      </c>
      <c r="D212" s="131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</row>
    <row r="213" spans="1:23" ht="25.5" customHeight="1">
      <c r="A213" s="169"/>
      <c r="B213" s="185" t="s">
        <v>325</v>
      </c>
      <c r="C213" s="190">
        <v>580000</v>
      </c>
      <c r="D213" s="133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</row>
    <row r="214" spans="1:23" ht="25.5" customHeight="1">
      <c r="A214" s="169"/>
      <c r="B214" s="185" t="s">
        <v>351</v>
      </c>
      <c r="C214" s="190">
        <v>223000</v>
      </c>
      <c r="D214" s="133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</row>
    <row r="215" spans="1:23" ht="25.5" customHeight="1">
      <c r="A215" s="169"/>
      <c r="B215" s="185"/>
      <c r="C215" s="190"/>
      <c r="D215" s="133"/>
      <c r="E215" s="269"/>
      <c r="F215" s="136"/>
      <c r="G215" s="136"/>
      <c r="H215" s="136"/>
      <c r="I215" s="133"/>
      <c r="J215" s="133"/>
      <c r="K215" s="133"/>
      <c r="L215" s="133"/>
      <c r="M215" s="136"/>
      <c r="N215" s="133"/>
      <c r="O215" s="133"/>
      <c r="P215" s="133"/>
      <c r="Q215" s="133"/>
      <c r="R215" s="258"/>
      <c r="S215" s="259"/>
      <c r="T215" s="259"/>
      <c r="U215" s="258"/>
      <c r="V215" s="258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5"/>
      <c r="B218" s="185"/>
      <c r="C218" s="216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30"/>
      <c r="C219" s="285"/>
      <c r="D219" s="131"/>
      <c r="E219" s="267"/>
      <c r="F219" s="135"/>
      <c r="G219" s="135"/>
      <c r="H219" s="135"/>
      <c r="I219" s="131"/>
      <c r="J219" s="131"/>
      <c r="K219" s="131"/>
      <c r="L219" s="131"/>
      <c r="M219" s="135"/>
      <c r="N219" s="131"/>
      <c r="O219" s="131"/>
      <c r="P219" s="131"/>
      <c r="Q219" s="131"/>
      <c r="R219" s="217"/>
      <c r="S219" s="219"/>
      <c r="T219" s="219"/>
      <c r="U219" s="217"/>
      <c r="V219" s="217"/>
    </row>
    <row r="220" spans="1:23" ht="25.5" customHeight="1" thickBot="1">
      <c r="A220" s="15"/>
      <c r="B220" s="14" t="s">
        <v>5</v>
      </c>
      <c r="C220" s="170">
        <f>SUM(C211:C219)</f>
        <v>2763000</v>
      </c>
      <c r="D220" s="255">
        <f>SUM(D211:D219)</f>
        <v>0</v>
      </c>
      <c r="E220" s="254">
        <f t="shared" ref="E220:V220" si="6">SUM(E211:E219)</f>
        <v>0</v>
      </c>
      <c r="F220" s="254">
        <f t="shared" si="6"/>
        <v>0</v>
      </c>
      <c r="G220" s="254">
        <f t="shared" si="6"/>
        <v>0</v>
      </c>
      <c r="H220" s="254">
        <f t="shared" si="6"/>
        <v>0</v>
      </c>
      <c r="I220" s="255">
        <f>SUM(I211:I219)</f>
        <v>0</v>
      </c>
      <c r="J220" s="255">
        <f t="shared" si="6"/>
        <v>0</v>
      </c>
      <c r="K220" s="255">
        <f t="shared" si="6"/>
        <v>0</v>
      </c>
      <c r="L220" s="255">
        <f t="shared" si="6"/>
        <v>0</v>
      </c>
      <c r="M220" s="254">
        <f t="shared" si="6"/>
        <v>0</v>
      </c>
      <c r="N220" s="255">
        <f t="shared" si="6"/>
        <v>0</v>
      </c>
      <c r="O220" s="255">
        <f t="shared" si="6"/>
        <v>0</v>
      </c>
      <c r="P220" s="255">
        <f t="shared" si="6"/>
        <v>0</v>
      </c>
      <c r="Q220" s="255">
        <f t="shared" si="6"/>
        <v>0</v>
      </c>
      <c r="R220" s="255">
        <f t="shared" si="6"/>
        <v>0</v>
      </c>
      <c r="S220" s="255">
        <f t="shared" si="6"/>
        <v>0</v>
      </c>
      <c r="T220" s="255"/>
      <c r="U220" s="255">
        <f t="shared" si="6"/>
        <v>0</v>
      </c>
      <c r="V220" s="255">
        <f t="shared" si="6"/>
        <v>0</v>
      </c>
      <c r="W220" s="314">
        <f>SUM(D220:V220)</f>
        <v>0</v>
      </c>
    </row>
    <row r="221" spans="1:23" ht="25.5" customHeight="1" thickTop="1">
      <c r="A221" s="20" t="s">
        <v>71</v>
      </c>
      <c r="B221" s="82"/>
      <c r="C221" s="291"/>
      <c r="D221" s="133"/>
      <c r="E221" s="269"/>
      <c r="F221" s="136"/>
      <c r="G221" s="136"/>
      <c r="H221" s="136"/>
      <c r="I221" s="133"/>
      <c r="J221" s="133"/>
      <c r="K221" s="133"/>
      <c r="L221" s="133"/>
      <c r="M221" s="136"/>
      <c r="N221" s="133"/>
      <c r="O221" s="133"/>
      <c r="P221" s="133"/>
      <c r="Q221" s="133"/>
      <c r="R221" s="258"/>
      <c r="S221" s="259"/>
      <c r="T221" s="259"/>
      <c r="U221" s="258"/>
      <c r="V221" s="258"/>
    </row>
    <row r="222" spans="1:23" ht="25.5" customHeight="1">
      <c r="A222" s="66"/>
      <c r="B222" s="96"/>
      <c r="C222" s="216"/>
      <c r="D222" s="131"/>
      <c r="E222" s="267"/>
      <c r="F222" s="135"/>
      <c r="G222" s="135"/>
      <c r="H222" s="135"/>
      <c r="I222" s="131"/>
      <c r="J222" s="131"/>
      <c r="K222" s="131"/>
      <c r="L222" s="131"/>
      <c r="M222" s="135"/>
      <c r="N222" s="131"/>
      <c r="O222" s="131"/>
      <c r="P222" s="131"/>
      <c r="Q222" s="131"/>
      <c r="R222" s="217"/>
      <c r="S222" s="219"/>
      <c r="T222" s="219"/>
      <c r="U222" s="217"/>
      <c r="V222" s="217"/>
    </row>
    <row r="223" spans="1:23" ht="25.5" customHeight="1" thickBot="1">
      <c r="A223" s="167"/>
      <c r="B223" s="95" t="s">
        <v>5</v>
      </c>
      <c r="C223" s="292">
        <f>SUM(C221:C222)</f>
        <v>0</v>
      </c>
      <c r="D223" s="255"/>
      <c r="E223" s="271"/>
      <c r="F223" s="254"/>
      <c r="G223" s="254"/>
      <c r="H223" s="254"/>
      <c r="I223" s="255"/>
      <c r="J223" s="255"/>
      <c r="K223" s="255"/>
      <c r="L223" s="255"/>
      <c r="M223" s="254"/>
      <c r="N223" s="255"/>
      <c r="O223" s="255"/>
      <c r="P223" s="255"/>
      <c r="Q223" s="255"/>
      <c r="R223" s="256"/>
      <c r="S223" s="257"/>
      <c r="T223" s="257"/>
      <c r="U223" s="256"/>
      <c r="V223" s="256"/>
    </row>
    <row r="224" spans="1:23" ht="25.5" customHeight="1" thickTop="1">
      <c r="A224" s="20" t="s">
        <v>115</v>
      </c>
      <c r="B224" s="284"/>
      <c r="C224" s="293"/>
      <c r="D224" s="133"/>
      <c r="E224" s="269"/>
      <c r="F224" s="136"/>
      <c r="G224" s="136"/>
      <c r="H224" s="136"/>
      <c r="I224" s="133"/>
      <c r="J224" s="133"/>
      <c r="K224" s="133"/>
      <c r="L224" s="133"/>
      <c r="M224" s="136"/>
      <c r="N224" s="133"/>
      <c r="O224" s="133"/>
      <c r="P224" s="133"/>
      <c r="Q224" s="133"/>
      <c r="R224" s="258"/>
      <c r="S224" s="259"/>
      <c r="T224" s="259"/>
      <c r="U224" s="258"/>
      <c r="V224" s="258"/>
    </row>
    <row r="225" spans="1:24" ht="25.5" customHeight="1">
      <c r="A225" s="20"/>
      <c r="B225" s="252" t="s">
        <v>291</v>
      </c>
      <c r="C225" s="293"/>
      <c r="D225" s="131"/>
      <c r="E225" s="267"/>
      <c r="F225" s="135"/>
      <c r="G225" s="135"/>
      <c r="H225" s="135"/>
      <c r="I225" s="131"/>
      <c r="J225" s="131"/>
      <c r="K225" s="131"/>
      <c r="L225" s="131"/>
      <c r="M225" s="135"/>
      <c r="N225" s="131"/>
      <c r="O225" s="131"/>
      <c r="P225" s="131"/>
      <c r="Q225" s="131"/>
      <c r="R225" s="217"/>
      <c r="S225" s="219"/>
      <c r="T225" s="219"/>
      <c r="U225" s="217"/>
      <c r="V225" s="217"/>
    </row>
    <row r="226" spans="1:24" s="310" customFormat="1" ht="25.5" customHeight="1">
      <c r="A226" s="20"/>
      <c r="B226" s="186" t="s">
        <v>286</v>
      </c>
      <c r="C226" s="294">
        <v>10000</v>
      </c>
      <c r="D226" s="131"/>
      <c r="E226" s="267">
        <f>+'ต.ค. '!E227+พ.ย.!E227+ธ.ค.!E227</f>
        <v>0</v>
      </c>
      <c r="F226" s="267">
        <f>+'ต.ค. '!F227+พ.ย.!F227+ธ.ค.!F227</f>
        <v>0</v>
      </c>
      <c r="G226" s="267">
        <f>+'ต.ค. '!G227+พ.ย.!G227+ธ.ค.!G227</f>
        <v>0</v>
      </c>
      <c r="H226" s="267">
        <f>+'ต.ค. '!H227+พ.ย.!H227+ธ.ค.!H227</f>
        <v>0</v>
      </c>
      <c r="I226" s="267">
        <f>+'ต.ค. '!I227+พ.ย.!I227+ธ.ค.!I227</f>
        <v>0</v>
      </c>
      <c r="J226" s="267">
        <f>+'ต.ค. '!J227+พ.ย.!J227+ธ.ค.!J227</f>
        <v>0</v>
      </c>
      <c r="K226" s="267">
        <f>+'ต.ค. '!K227+พ.ย.!K227+ธ.ค.!K227</f>
        <v>0</v>
      </c>
      <c r="L226" s="267">
        <f>+'ต.ค. '!L227+พ.ย.!L227+ธ.ค.!L227</f>
        <v>0</v>
      </c>
      <c r="M226" s="267">
        <f>+'ต.ค. '!M227+พ.ย.!M227+ธ.ค.!M227</f>
        <v>0</v>
      </c>
      <c r="N226" s="267">
        <f>+'ต.ค. '!N227+พ.ย.!N227+ธ.ค.!N227</f>
        <v>0</v>
      </c>
      <c r="O226" s="267">
        <f>+'ต.ค. '!O227+พ.ย.!O227+ธ.ค.!O227</f>
        <v>0</v>
      </c>
      <c r="P226" s="267">
        <f>+'ต.ค. '!P227+พ.ย.!P227+ธ.ค.!P227</f>
        <v>0</v>
      </c>
      <c r="Q226" s="267">
        <f>+'ต.ค. '!Q227+พ.ย.!Q227+ธ.ค.!Q227</f>
        <v>0</v>
      </c>
      <c r="R226" s="267">
        <f>+'ต.ค. '!R227+พ.ย.!R227+ธ.ค.!R227</f>
        <v>0</v>
      </c>
      <c r="S226" s="267">
        <f>+'ต.ค. '!S227+พ.ย.!S227+ธ.ค.!S227</f>
        <v>0</v>
      </c>
      <c r="T226" s="267"/>
      <c r="U226" s="267">
        <f>+'ต.ค. '!U227+พ.ย.!U227+ธ.ค.!U227</f>
        <v>0</v>
      </c>
      <c r="V226" s="267">
        <f>+'ต.ค. '!V227+พ.ย.!V227+ธ.ค.!V227</f>
        <v>0</v>
      </c>
      <c r="X226"/>
    </row>
    <row r="227" spans="1:24" s="310" customFormat="1" ht="25.5" customHeight="1">
      <c r="A227" s="20"/>
      <c r="B227" s="186" t="s">
        <v>287</v>
      </c>
      <c r="C227" s="294">
        <v>4500</v>
      </c>
      <c r="D227" s="131"/>
      <c r="E227" s="267">
        <f>+'ต.ค. '!E228+พ.ย.!E228+ธ.ค.!E228</f>
        <v>0</v>
      </c>
      <c r="F227" s="267">
        <f>+'ต.ค. '!F228+พ.ย.!F228+ธ.ค.!F228</f>
        <v>0</v>
      </c>
      <c r="G227" s="267">
        <f>+'ต.ค. '!G228+พ.ย.!G228+ธ.ค.!G228</f>
        <v>0</v>
      </c>
      <c r="H227" s="267">
        <f>+'ต.ค. '!H228+พ.ย.!H228+ธ.ค.!H228</f>
        <v>0</v>
      </c>
      <c r="I227" s="267">
        <f>+'ต.ค. '!I228+พ.ย.!I228+ธ.ค.!I228</f>
        <v>0</v>
      </c>
      <c r="J227" s="267">
        <f>+'ต.ค. '!J228+พ.ย.!J228+ธ.ค.!J228</f>
        <v>0</v>
      </c>
      <c r="K227" s="267">
        <f>+'ต.ค. '!K228+พ.ย.!K228+ธ.ค.!K228</f>
        <v>0</v>
      </c>
      <c r="L227" s="267">
        <f>+'ต.ค. '!L228+พ.ย.!L228+ธ.ค.!L228</f>
        <v>0</v>
      </c>
      <c r="M227" s="267">
        <f>+'ต.ค. '!M228+พ.ย.!M228+ธ.ค.!M228</f>
        <v>0</v>
      </c>
      <c r="N227" s="267">
        <f>+'ต.ค. '!N228+พ.ย.!N228+ธ.ค.!N228</f>
        <v>0</v>
      </c>
      <c r="O227" s="267">
        <f>+'ต.ค. '!O228+พ.ย.!O228+ธ.ค.!O228</f>
        <v>0</v>
      </c>
      <c r="P227" s="267">
        <f>+'ต.ค. '!P228+พ.ย.!P228+ธ.ค.!P228</f>
        <v>0</v>
      </c>
      <c r="Q227" s="267">
        <f>+'ต.ค. '!Q228+พ.ย.!Q228+ธ.ค.!Q228</f>
        <v>0</v>
      </c>
      <c r="R227" s="267">
        <f>+'ต.ค. '!R228+พ.ย.!R228+ธ.ค.!R228</f>
        <v>0</v>
      </c>
      <c r="S227" s="267">
        <f>+'ต.ค. '!S228+พ.ย.!S228+ธ.ค.!S228</f>
        <v>0</v>
      </c>
      <c r="T227" s="267"/>
      <c r="U227" s="267">
        <f>+'ต.ค. '!U228+พ.ย.!U228+ธ.ค.!U228</f>
        <v>0</v>
      </c>
      <c r="V227" s="267">
        <f>+'ต.ค. '!V228+พ.ย.!V228+ธ.ค.!V228</f>
        <v>0</v>
      </c>
      <c r="X227"/>
    </row>
    <row r="228" spans="1:24" s="310" customFormat="1" ht="25.5" customHeight="1">
      <c r="A228" s="20"/>
      <c r="B228" s="186" t="s">
        <v>288</v>
      </c>
      <c r="C228" s="294">
        <v>3000</v>
      </c>
      <c r="D228" s="131"/>
      <c r="E228" s="267"/>
      <c r="F228" s="267">
        <f>+'ต.ค. '!F229+พ.ย.!F229+ธ.ค.!F229</f>
        <v>0</v>
      </c>
      <c r="G228" s="267">
        <f>+'ต.ค. '!G229+พ.ย.!G229+ธ.ค.!G229</f>
        <v>0</v>
      </c>
      <c r="H228" s="267">
        <f>+'ต.ค. '!H229+พ.ย.!H229+ธ.ค.!H229</f>
        <v>0</v>
      </c>
      <c r="I228" s="267">
        <f>+'ต.ค. '!I229+พ.ย.!I229+ธ.ค.!I229</f>
        <v>0</v>
      </c>
      <c r="J228" s="267">
        <f>+'ต.ค. '!J229+พ.ย.!J229+ธ.ค.!J229</f>
        <v>0</v>
      </c>
      <c r="K228" s="267">
        <f>+'ต.ค. '!K229+พ.ย.!K229+ธ.ค.!K229</f>
        <v>0</v>
      </c>
      <c r="L228" s="267">
        <f>+'ต.ค. '!L229+พ.ย.!L229+ธ.ค.!L229</f>
        <v>0</v>
      </c>
      <c r="M228" s="267">
        <f>+'ต.ค. '!M229+พ.ย.!M229+ธ.ค.!M229</f>
        <v>0</v>
      </c>
      <c r="N228" s="267">
        <f>+'ต.ค. '!N229+พ.ย.!N229+ธ.ค.!N229</f>
        <v>0</v>
      </c>
      <c r="O228" s="267">
        <f>+'ต.ค. '!O229+พ.ย.!O229+ธ.ค.!O229</f>
        <v>0</v>
      </c>
      <c r="P228" s="267">
        <f>+'ต.ค. '!P229+พ.ย.!P229+ธ.ค.!P229</f>
        <v>0</v>
      </c>
      <c r="Q228" s="267">
        <f>+'ต.ค. '!Q229+พ.ย.!Q229+ธ.ค.!Q229</f>
        <v>0</v>
      </c>
      <c r="R228" s="267">
        <f>+'ต.ค. '!R229+พ.ย.!R229+ธ.ค.!R229</f>
        <v>0</v>
      </c>
      <c r="S228" s="267">
        <f>+'ต.ค. '!S229+พ.ย.!S229+ธ.ค.!S229</f>
        <v>0</v>
      </c>
      <c r="T228" s="267"/>
      <c r="U228" s="267">
        <f>+'ต.ค. '!U229+พ.ย.!U229+ธ.ค.!U229</f>
        <v>0</v>
      </c>
      <c r="V228" s="267">
        <f>+'ต.ค. '!V229+พ.ย.!V229+ธ.ค.!V229</f>
        <v>0</v>
      </c>
      <c r="X228"/>
    </row>
    <row r="229" spans="1:24" s="310" customFormat="1" ht="25.5" customHeight="1">
      <c r="A229" s="20"/>
      <c r="B229" s="186" t="s">
        <v>289</v>
      </c>
      <c r="C229" s="294">
        <v>20000</v>
      </c>
      <c r="D229" s="131"/>
      <c r="E229" s="267">
        <f>+'ต.ค. '!E230+พ.ย.!E230+ธ.ค.!E230</f>
        <v>0</v>
      </c>
      <c r="F229" s="267">
        <f>+'ต.ค. '!F230+พ.ย.!F230+ธ.ค.!F230</f>
        <v>0</v>
      </c>
      <c r="G229" s="267">
        <f>+'ต.ค. '!G230+พ.ย.!G230+ธ.ค.!G230</f>
        <v>0</v>
      </c>
      <c r="H229" s="267">
        <f>+'ต.ค. '!H230+พ.ย.!H230+ธ.ค.!H230</f>
        <v>0</v>
      </c>
      <c r="I229" s="267">
        <f>+'ต.ค. '!I230+พ.ย.!I230+ธ.ค.!I230</f>
        <v>0</v>
      </c>
      <c r="J229" s="267">
        <f>+'ต.ค. '!J230+พ.ย.!J230+ธ.ค.!J230</f>
        <v>0</v>
      </c>
      <c r="K229" s="267">
        <f>+'ต.ค. '!K230+พ.ย.!K230+ธ.ค.!K230</f>
        <v>0</v>
      </c>
      <c r="L229" s="267">
        <f>+'ต.ค. '!L230+พ.ย.!L230+ธ.ค.!L230</f>
        <v>0</v>
      </c>
      <c r="M229" s="267">
        <f>+'ต.ค. '!M230+พ.ย.!M230+ธ.ค.!M230</f>
        <v>0</v>
      </c>
      <c r="N229" s="267">
        <f>+'ต.ค. '!N230+พ.ย.!N230+ธ.ค.!N230</f>
        <v>0</v>
      </c>
      <c r="O229" s="267">
        <f>+'ต.ค. '!O230+พ.ย.!O230+ธ.ค.!O230</f>
        <v>0</v>
      </c>
      <c r="P229" s="267">
        <f>+'ต.ค. '!P230+พ.ย.!P230+ธ.ค.!P230</f>
        <v>0</v>
      </c>
      <c r="Q229" s="267">
        <f>+'ต.ค. '!Q230+พ.ย.!Q230+ธ.ค.!Q230</f>
        <v>0</v>
      </c>
      <c r="R229" s="267">
        <f>+'ต.ค. '!R230+พ.ย.!R230+ธ.ค.!R230</f>
        <v>0</v>
      </c>
      <c r="S229" s="267">
        <f>+'ต.ค. '!S230+พ.ย.!S230+ธ.ค.!S230</f>
        <v>0</v>
      </c>
      <c r="T229" s="267"/>
      <c r="U229" s="267">
        <f>+'ต.ค. '!U230+พ.ย.!U230+ธ.ค.!U230</f>
        <v>0</v>
      </c>
      <c r="V229" s="267">
        <f>+'ต.ค. '!V230+พ.ย.!V230+ธ.ค.!V230</f>
        <v>0</v>
      </c>
      <c r="X229"/>
    </row>
    <row r="230" spans="1:24" s="310" customFormat="1" ht="25.5" customHeight="1">
      <c r="A230" s="20"/>
      <c r="B230" s="186" t="s">
        <v>290</v>
      </c>
      <c r="C230" s="295">
        <f>5500+5500</f>
        <v>11000</v>
      </c>
      <c r="D230" s="131"/>
      <c r="E230" s="267">
        <f>+'ต.ค. '!E231+พ.ย.!E231+ธ.ค.!E231</f>
        <v>0</v>
      </c>
      <c r="F230" s="267">
        <f>+'ต.ค. '!F231+พ.ย.!F231+ธ.ค.!F231</f>
        <v>0</v>
      </c>
      <c r="G230" s="267">
        <f>+'ต.ค. '!G231+พ.ย.!G231+ธ.ค.!G231</f>
        <v>0</v>
      </c>
      <c r="H230" s="267">
        <f>+'ต.ค. '!H231+พ.ย.!H231+ธ.ค.!H231</f>
        <v>0</v>
      </c>
      <c r="I230" s="267">
        <f>+'ต.ค. '!I231+พ.ย.!I231+ธ.ค.!I231</f>
        <v>0</v>
      </c>
      <c r="J230" s="267">
        <f>+'ต.ค. '!J231+พ.ย.!J231+ธ.ค.!J231</f>
        <v>0</v>
      </c>
      <c r="K230" s="267">
        <f>+'ต.ค. '!K231+พ.ย.!K231+ธ.ค.!K231</f>
        <v>0</v>
      </c>
      <c r="L230" s="267">
        <f>+'ต.ค. '!L231+พ.ย.!L231+ธ.ค.!L231</f>
        <v>0</v>
      </c>
      <c r="M230" s="267">
        <f>+'ต.ค. '!M231+พ.ย.!M231+ธ.ค.!M231</f>
        <v>0</v>
      </c>
      <c r="N230" s="267">
        <f>+'ต.ค. '!N231+พ.ย.!N231+ธ.ค.!N231</f>
        <v>0</v>
      </c>
      <c r="O230" s="267">
        <f>+'ต.ค. '!O231+พ.ย.!O231+ธ.ค.!O231</f>
        <v>0</v>
      </c>
      <c r="P230" s="267">
        <f>+'ต.ค. '!P231+พ.ย.!P231+ธ.ค.!P231</f>
        <v>0</v>
      </c>
      <c r="Q230" s="267">
        <f>+'ต.ค. '!Q231+พ.ย.!Q231+ธ.ค.!Q231</f>
        <v>0</v>
      </c>
      <c r="R230" s="267">
        <f>+'ต.ค. '!R231+พ.ย.!R231+ธ.ค.!R231</f>
        <v>0</v>
      </c>
      <c r="S230" s="267">
        <f>+'ต.ค. '!S231+พ.ย.!S231+ธ.ค.!S231</f>
        <v>0</v>
      </c>
      <c r="T230" s="267"/>
      <c r="U230" s="267">
        <f>+'ต.ค. '!U231+พ.ย.!U231+ธ.ค.!U231</f>
        <v>0</v>
      </c>
      <c r="V230" s="267">
        <f>+'ต.ค. '!V231+พ.ย.!V231+ธ.ค.!V231</f>
        <v>0</v>
      </c>
      <c r="X230"/>
    </row>
    <row r="231" spans="1:24" s="310" customFormat="1" ht="25.5" customHeight="1">
      <c r="A231" s="20"/>
      <c r="B231" s="186" t="s">
        <v>305</v>
      </c>
      <c r="C231" s="295">
        <v>16000</v>
      </c>
      <c r="D231" s="131"/>
      <c r="E231" s="267">
        <f>+'ต.ค. '!E232+พ.ย.!E232+ธ.ค.!E232</f>
        <v>0</v>
      </c>
      <c r="F231" s="267">
        <f>+'ต.ค. '!F232+พ.ย.!F232+ธ.ค.!F232</f>
        <v>0</v>
      </c>
      <c r="G231" s="267">
        <f>+'ต.ค. '!G232+พ.ย.!G232+ธ.ค.!G232</f>
        <v>0</v>
      </c>
      <c r="H231" s="267">
        <f>+'ต.ค. '!H232+พ.ย.!H232+ธ.ค.!H232</f>
        <v>0</v>
      </c>
      <c r="I231" s="267">
        <f>+'ต.ค. '!I232+พ.ย.!I232+ธ.ค.!I232</f>
        <v>0</v>
      </c>
      <c r="J231" s="267">
        <f>+'ต.ค. '!J232+พ.ย.!J232+ธ.ค.!J232</f>
        <v>0</v>
      </c>
      <c r="K231" s="267">
        <f>+'ต.ค. '!K232+พ.ย.!K232+ธ.ค.!K232</f>
        <v>0</v>
      </c>
      <c r="L231" s="267">
        <f>+'ต.ค. '!L232+พ.ย.!L232+ธ.ค.!L232</f>
        <v>0</v>
      </c>
      <c r="M231" s="267">
        <f>+'ต.ค. '!M232+พ.ย.!M232+ธ.ค.!M232</f>
        <v>0</v>
      </c>
      <c r="N231" s="267">
        <f>+'ต.ค. '!N232+พ.ย.!N232+ธ.ค.!N232</f>
        <v>0</v>
      </c>
      <c r="O231" s="267">
        <f>+'ต.ค. '!O232+พ.ย.!O232+ธ.ค.!O232</f>
        <v>0</v>
      </c>
      <c r="P231" s="267">
        <f>+'ต.ค. '!P232+พ.ย.!P232+ธ.ค.!P232</f>
        <v>0</v>
      </c>
      <c r="Q231" s="267">
        <f>+'ต.ค. '!Q232+พ.ย.!Q232+ธ.ค.!Q232</f>
        <v>0</v>
      </c>
      <c r="R231" s="267">
        <f>+'ต.ค. '!R232+พ.ย.!R232+ธ.ค.!R232</f>
        <v>0</v>
      </c>
      <c r="S231" s="267">
        <f>+'ต.ค. '!S232+พ.ย.!S232+ธ.ค.!S232</f>
        <v>0</v>
      </c>
      <c r="T231" s="267"/>
      <c r="U231" s="267">
        <f>+'ต.ค. '!U232+พ.ย.!U232+ธ.ค.!U232</f>
        <v>0</v>
      </c>
      <c r="V231" s="267">
        <f>+'ต.ค. '!V232+พ.ย.!V232+ธ.ค.!V232</f>
        <v>0</v>
      </c>
      <c r="X231"/>
    </row>
    <row r="232" spans="1:24" s="310" customFormat="1" ht="25.5" customHeight="1">
      <c r="A232" s="20"/>
      <c r="B232" s="186" t="s">
        <v>334</v>
      </c>
      <c r="C232" s="295">
        <v>4500</v>
      </c>
      <c r="D232" s="131"/>
      <c r="E232" s="267">
        <f>+'ต.ค. '!E233+พ.ย.!E233+ธ.ค.!E233</f>
        <v>0</v>
      </c>
      <c r="F232" s="267">
        <f>+'ต.ค. '!F233+พ.ย.!F233+ธ.ค.!F233</f>
        <v>0</v>
      </c>
      <c r="G232" s="267">
        <f>+'ต.ค. '!G233+พ.ย.!G233+ธ.ค.!G233</f>
        <v>0</v>
      </c>
      <c r="H232" s="267">
        <f>+'ต.ค. '!H233+พ.ย.!H233+ธ.ค.!H233</f>
        <v>0</v>
      </c>
      <c r="I232" s="267">
        <f>+'ต.ค. '!I233+พ.ย.!I233+ธ.ค.!I233</f>
        <v>0</v>
      </c>
      <c r="J232" s="267">
        <f>+'ต.ค. '!J233+พ.ย.!J233+ธ.ค.!J233</f>
        <v>0</v>
      </c>
      <c r="K232" s="267">
        <f>+'ต.ค. '!K233+พ.ย.!K233+ธ.ค.!K233</f>
        <v>0</v>
      </c>
      <c r="L232" s="267">
        <f>+'ต.ค. '!L233+พ.ย.!L233+ธ.ค.!L233</f>
        <v>0</v>
      </c>
      <c r="M232" s="267">
        <f>+'ต.ค. '!M233+พ.ย.!M233+ธ.ค.!M233</f>
        <v>0</v>
      </c>
      <c r="N232" s="267">
        <f>+'ต.ค. '!N233+พ.ย.!N233+ธ.ค.!N233</f>
        <v>0</v>
      </c>
      <c r="O232" s="267">
        <f>+'ต.ค. '!O233+พ.ย.!O233+ธ.ค.!O233</f>
        <v>0</v>
      </c>
      <c r="P232" s="267">
        <f>+'ต.ค. '!P233+พ.ย.!P233+ธ.ค.!P233</f>
        <v>0</v>
      </c>
      <c r="Q232" s="267">
        <f>+'ต.ค. '!Q233+พ.ย.!Q233+ธ.ค.!Q233</f>
        <v>0</v>
      </c>
      <c r="R232" s="267">
        <f>+'ต.ค. '!R233+พ.ย.!R233+ธ.ค.!R233</f>
        <v>0</v>
      </c>
      <c r="S232" s="267">
        <f>+'ต.ค. '!S233+พ.ย.!S233+ธ.ค.!S233</f>
        <v>0</v>
      </c>
      <c r="T232" s="267"/>
      <c r="U232" s="267">
        <f>+'ต.ค. '!U233+พ.ย.!U233+ธ.ค.!U233</f>
        <v>0</v>
      </c>
      <c r="V232" s="267">
        <f>+'ต.ค. '!V233+พ.ย.!V233+ธ.ค.!V233</f>
        <v>0</v>
      </c>
      <c r="X232"/>
    </row>
    <row r="233" spans="1:24" s="310" customFormat="1" ht="25.5" customHeight="1">
      <c r="A233" s="20"/>
      <c r="B233" s="186" t="s">
        <v>335</v>
      </c>
      <c r="C233" s="295">
        <v>4500</v>
      </c>
      <c r="D233" s="131"/>
      <c r="E233" s="267">
        <f>+'ต.ค. '!E234+พ.ย.!E234+ธ.ค.!E234</f>
        <v>0</v>
      </c>
      <c r="F233" s="267">
        <f>+'ต.ค. '!F234+พ.ย.!F234+ธ.ค.!F234</f>
        <v>0</v>
      </c>
      <c r="G233" s="267">
        <f>+'ต.ค. '!G234+พ.ย.!G234+ธ.ค.!G234</f>
        <v>0</v>
      </c>
      <c r="H233" s="267">
        <f>+'ต.ค. '!H234+พ.ย.!H234+ธ.ค.!H234</f>
        <v>0</v>
      </c>
      <c r="I233" s="267">
        <f>+'ต.ค. '!I234+พ.ย.!I234+ธ.ค.!I234</f>
        <v>0</v>
      </c>
      <c r="J233" s="267">
        <f>+'ต.ค. '!J234+พ.ย.!J234+ธ.ค.!J234</f>
        <v>0</v>
      </c>
      <c r="K233" s="267">
        <f>+'ต.ค. '!K234+พ.ย.!K234+ธ.ค.!K234</f>
        <v>0</v>
      </c>
      <c r="L233" s="267">
        <f>+'ต.ค. '!L234+พ.ย.!L234+ธ.ค.!L234</f>
        <v>0</v>
      </c>
      <c r="M233" s="267">
        <f>+'ต.ค. '!M234+พ.ย.!M234+ธ.ค.!M234</f>
        <v>0</v>
      </c>
      <c r="N233" s="267">
        <f>+'ต.ค. '!N234+พ.ย.!N234+ธ.ค.!N234</f>
        <v>0</v>
      </c>
      <c r="O233" s="267">
        <f>+'ต.ค. '!O234+พ.ย.!O234+ธ.ค.!O234</f>
        <v>0</v>
      </c>
      <c r="P233" s="267">
        <f>+'ต.ค. '!P234+พ.ย.!P234+ธ.ค.!P234</f>
        <v>0</v>
      </c>
      <c r="Q233" s="267">
        <f>+'ต.ค. '!Q234+พ.ย.!Q234+ธ.ค.!Q234</f>
        <v>0</v>
      </c>
      <c r="R233" s="267">
        <f>+'ต.ค. '!R234+พ.ย.!R234+ธ.ค.!R234</f>
        <v>0</v>
      </c>
      <c r="S233" s="267">
        <f>+'ต.ค. '!S234+พ.ย.!S234+ธ.ค.!S234</f>
        <v>0</v>
      </c>
      <c r="T233" s="267"/>
      <c r="U233" s="267">
        <f>+'ต.ค. '!U234+พ.ย.!U234+ธ.ค.!U234</f>
        <v>0</v>
      </c>
      <c r="V233" s="267">
        <f>+'ต.ค. '!V234+พ.ย.!V234+ธ.ค.!V234</f>
        <v>0</v>
      </c>
      <c r="X233"/>
    </row>
    <row r="234" spans="1:24" s="310" customFormat="1" ht="25.5" customHeight="1">
      <c r="A234" s="20"/>
      <c r="B234" s="252" t="s">
        <v>292</v>
      </c>
      <c r="C234" s="295"/>
      <c r="D234" s="131"/>
      <c r="E234" s="267"/>
      <c r="F234" s="135"/>
      <c r="G234" s="135"/>
      <c r="H234" s="135"/>
      <c r="I234" s="131"/>
      <c r="J234" s="131"/>
      <c r="K234" s="131"/>
      <c r="L234" s="131"/>
      <c r="M234" s="135"/>
      <c r="N234" s="131"/>
      <c r="O234" s="131"/>
      <c r="P234" s="131"/>
      <c r="Q234" s="131"/>
      <c r="R234" s="217"/>
      <c r="S234" s="219"/>
      <c r="T234" s="219"/>
      <c r="U234" s="217"/>
      <c r="V234" s="217"/>
      <c r="X234"/>
    </row>
    <row r="235" spans="1:24" s="310" customFormat="1" ht="25.5" customHeight="1">
      <c r="A235" s="20"/>
      <c r="B235" s="186" t="s">
        <v>293</v>
      </c>
      <c r="C235" s="295">
        <v>32000</v>
      </c>
      <c r="D235" s="131"/>
      <c r="E235" s="267">
        <f>+'ต.ค. '!E237+พ.ย.!E236+ธ.ค.!E236</f>
        <v>0</v>
      </c>
      <c r="F235" s="267">
        <f>+'ต.ค. '!F237+พ.ย.!F236+ธ.ค.!F236</f>
        <v>0</v>
      </c>
      <c r="G235" s="267">
        <f>+'ต.ค. '!G237+พ.ย.!G236+ธ.ค.!G236</f>
        <v>0</v>
      </c>
      <c r="H235" s="267">
        <f>+'ต.ค. '!H237+พ.ย.!H236+ธ.ค.!H236</f>
        <v>0</v>
      </c>
      <c r="I235" s="267">
        <f>+'ต.ค. '!I237+พ.ย.!I236+ธ.ค.!I236</f>
        <v>0</v>
      </c>
      <c r="J235" s="267">
        <f>+'ต.ค. '!J237+พ.ย.!J236+ธ.ค.!J236</f>
        <v>0</v>
      </c>
      <c r="K235" s="267">
        <f>+'ต.ค. '!K237+พ.ย.!K236+ธ.ค.!K236</f>
        <v>0</v>
      </c>
      <c r="L235" s="267">
        <f>+'ต.ค. '!L237+พ.ย.!L236+ธ.ค.!L236</f>
        <v>0</v>
      </c>
      <c r="M235" s="267">
        <f>+'ต.ค. '!M237+พ.ย.!M236+ธ.ค.!M236</f>
        <v>0</v>
      </c>
      <c r="N235" s="267">
        <f>+'ต.ค. '!N237+พ.ย.!N236+ธ.ค.!N236</f>
        <v>0</v>
      </c>
      <c r="O235" s="267">
        <f>+'ต.ค. '!O237+พ.ย.!O236+ธ.ค.!O236</f>
        <v>0</v>
      </c>
      <c r="P235" s="267">
        <f>+'ต.ค. '!P237+พ.ย.!P236+ธ.ค.!P236</f>
        <v>0</v>
      </c>
      <c r="Q235" s="267">
        <f>+'ต.ค. '!Q237+พ.ย.!Q236+ธ.ค.!Q236</f>
        <v>0</v>
      </c>
      <c r="R235" s="267">
        <f>+'ต.ค. '!R237+พ.ย.!R236+ธ.ค.!R236</f>
        <v>0</v>
      </c>
      <c r="S235" s="267">
        <f>+'ต.ค. '!S237+พ.ย.!S236+ธ.ค.!S236</f>
        <v>0</v>
      </c>
      <c r="T235" s="267"/>
      <c r="U235" s="267">
        <f>+'ต.ค. '!U237+พ.ย.!U236+ธ.ค.!U236</f>
        <v>0</v>
      </c>
      <c r="V235" s="267">
        <f>+'ต.ค. '!V237+พ.ย.!V236+ธ.ค.!V236</f>
        <v>0</v>
      </c>
      <c r="X235"/>
    </row>
    <row r="236" spans="1:24" s="310" customFormat="1" ht="25.5" customHeight="1">
      <c r="A236" s="20"/>
      <c r="B236" s="186" t="s">
        <v>125</v>
      </c>
      <c r="C236" s="295">
        <f>2800+2800+2300</f>
        <v>7900</v>
      </c>
      <c r="D236" s="131"/>
      <c r="E236" s="267">
        <f>+'ต.ค. '!E238+พ.ย.!E237+ธ.ค.!E237</f>
        <v>0</v>
      </c>
      <c r="F236" s="267">
        <f>+'ต.ค. '!F238+พ.ย.!F237+ธ.ค.!F237</f>
        <v>0</v>
      </c>
      <c r="G236" s="267">
        <f>+'ต.ค. '!G238+พ.ย.!G237+ธ.ค.!G237</f>
        <v>0</v>
      </c>
      <c r="H236" s="267">
        <f>+'ต.ค. '!H238+พ.ย.!H237+ธ.ค.!H237</f>
        <v>0</v>
      </c>
      <c r="I236" s="267">
        <f>+'ต.ค. '!I238+พ.ย.!I237+ธ.ค.!I237</f>
        <v>0</v>
      </c>
      <c r="J236" s="267">
        <f>+'ต.ค. '!J238+พ.ย.!J237+ธ.ค.!J237</f>
        <v>0</v>
      </c>
      <c r="K236" s="267">
        <f>+'ต.ค. '!K238+พ.ย.!K237+ธ.ค.!K237</f>
        <v>0</v>
      </c>
      <c r="L236" s="267">
        <f>+'ต.ค. '!L238+พ.ย.!L237+ธ.ค.!L237</f>
        <v>0</v>
      </c>
      <c r="M236" s="267">
        <f>+'ต.ค. '!M238+พ.ย.!M237+ธ.ค.!M237</f>
        <v>0</v>
      </c>
      <c r="N236" s="267">
        <f>+'ต.ค. '!N238+พ.ย.!N237+ธ.ค.!N237</f>
        <v>0</v>
      </c>
      <c r="O236" s="267">
        <f>+'ต.ค. '!O238+พ.ย.!O237+ธ.ค.!O237</f>
        <v>0</v>
      </c>
      <c r="P236" s="267">
        <f>+'ต.ค. '!P238+พ.ย.!P237+ธ.ค.!P237</f>
        <v>0</v>
      </c>
      <c r="Q236" s="267">
        <f>+'ต.ค. '!Q238+พ.ย.!Q237+ธ.ค.!Q237</f>
        <v>0</v>
      </c>
      <c r="R236" s="267">
        <f>+'ต.ค. '!R238+พ.ย.!R237+ธ.ค.!R237</f>
        <v>0</v>
      </c>
      <c r="S236" s="267">
        <f>+'ต.ค. '!S238+พ.ย.!S237+ธ.ค.!S237</f>
        <v>0</v>
      </c>
      <c r="T236" s="267"/>
      <c r="U236" s="267">
        <f>+'ต.ค. '!U238+พ.ย.!U237+ธ.ค.!U237</f>
        <v>0</v>
      </c>
      <c r="V236" s="267">
        <f>+'ต.ค. '!V238+พ.ย.!V237+ธ.ค.!V237</f>
        <v>0</v>
      </c>
      <c r="X236"/>
    </row>
    <row r="237" spans="1:24" s="310" customFormat="1" ht="25.5" customHeight="1">
      <c r="A237" s="20"/>
      <c r="B237" s="186" t="s">
        <v>294</v>
      </c>
      <c r="C237" s="295">
        <v>21000</v>
      </c>
      <c r="D237" s="131"/>
      <c r="E237" s="267">
        <f>+'ต.ค. '!E239+พ.ย.!E238+ธ.ค.!E238</f>
        <v>0</v>
      </c>
      <c r="F237" s="267">
        <f>+'ต.ค. '!F239+พ.ย.!F238+ธ.ค.!F238</f>
        <v>0</v>
      </c>
      <c r="G237" s="267">
        <f>+'ต.ค. '!G239+พ.ย.!G238+ธ.ค.!G238</f>
        <v>0</v>
      </c>
      <c r="H237" s="267">
        <f>+'ต.ค. '!H239+พ.ย.!H238+ธ.ค.!H238</f>
        <v>0</v>
      </c>
      <c r="I237" s="267">
        <f>+'ต.ค. '!I239+พ.ย.!I238+ธ.ค.!I238</f>
        <v>0</v>
      </c>
      <c r="J237" s="267">
        <f>+'ต.ค. '!J239+พ.ย.!J238+ธ.ค.!J238</f>
        <v>0</v>
      </c>
      <c r="K237" s="267">
        <f>+'ต.ค. '!K239+พ.ย.!K238+ธ.ค.!K238</f>
        <v>0</v>
      </c>
      <c r="L237" s="267">
        <f>+'ต.ค. '!L239+พ.ย.!L238+ธ.ค.!L238</f>
        <v>0</v>
      </c>
      <c r="M237" s="267">
        <f>+'ต.ค. '!M239+พ.ย.!M238+ธ.ค.!M238</f>
        <v>0</v>
      </c>
      <c r="N237" s="267">
        <f>+'ต.ค. '!N239+พ.ย.!N238+ธ.ค.!N238</f>
        <v>0</v>
      </c>
      <c r="O237" s="267">
        <f>+'ต.ค. '!O239+พ.ย.!O238+ธ.ค.!O238</f>
        <v>0</v>
      </c>
      <c r="P237" s="267">
        <f>+'ต.ค. '!P239+พ.ย.!P238+ธ.ค.!P238</f>
        <v>0</v>
      </c>
      <c r="Q237" s="267">
        <f>+'ต.ค. '!Q239+พ.ย.!Q238+ธ.ค.!Q238</f>
        <v>0</v>
      </c>
      <c r="R237" s="267">
        <f>+'ต.ค. '!R239+พ.ย.!R238+ธ.ค.!R238</f>
        <v>0</v>
      </c>
      <c r="S237" s="267">
        <f>+'ต.ค. '!S239+พ.ย.!S238+ธ.ค.!S238</f>
        <v>0</v>
      </c>
      <c r="T237" s="267"/>
      <c r="U237" s="267">
        <f>+'ต.ค. '!U239+พ.ย.!U238+ธ.ค.!U238</f>
        <v>0</v>
      </c>
      <c r="V237" s="267">
        <f>+'ต.ค. '!V239+พ.ย.!V238+ธ.ค.!V238</f>
        <v>0</v>
      </c>
      <c r="X237"/>
    </row>
    <row r="238" spans="1:24" s="310" customFormat="1" ht="25.5" customHeight="1">
      <c r="A238" s="20"/>
      <c r="B238" s="186" t="s">
        <v>293</v>
      </c>
      <c r="C238" s="295">
        <v>16000</v>
      </c>
      <c r="D238" s="131"/>
      <c r="E238" s="267">
        <f>+'ต.ค. '!E240+พ.ย.!E239+ธ.ค.!E239</f>
        <v>0</v>
      </c>
      <c r="F238" s="267">
        <f>+'ต.ค. '!F240+พ.ย.!F239+ธ.ค.!F239</f>
        <v>0</v>
      </c>
      <c r="G238" s="267">
        <f>+'ต.ค. '!G240+พ.ย.!G239+ธ.ค.!G239</f>
        <v>0</v>
      </c>
      <c r="H238" s="267">
        <f>+'ต.ค. '!H240+พ.ย.!H239+ธ.ค.!H239</f>
        <v>0</v>
      </c>
      <c r="I238" s="267">
        <f>+'ต.ค. '!I240+พ.ย.!I239+ธ.ค.!I239</f>
        <v>0</v>
      </c>
      <c r="J238" s="267">
        <f>+'ต.ค. '!J240+พ.ย.!J239+ธ.ค.!J239</f>
        <v>0</v>
      </c>
      <c r="K238" s="267">
        <f>+'ต.ค. '!K240+พ.ย.!K239+ธ.ค.!K239</f>
        <v>0</v>
      </c>
      <c r="L238" s="267">
        <f>+'ต.ค. '!L240+พ.ย.!L239+ธ.ค.!L239</f>
        <v>0</v>
      </c>
      <c r="M238" s="267">
        <f>+'ต.ค. '!M240+พ.ย.!M239+ธ.ค.!M239</f>
        <v>0</v>
      </c>
      <c r="N238" s="267">
        <f>+'ต.ค. '!N240+พ.ย.!N239+ธ.ค.!N239</f>
        <v>0</v>
      </c>
      <c r="O238" s="267">
        <f>+'ต.ค. '!O240+พ.ย.!O239+ธ.ค.!O239</f>
        <v>0</v>
      </c>
      <c r="P238" s="267">
        <f>+'ต.ค. '!P240+พ.ย.!P239+ธ.ค.!P239</f>
        <v>0</v>
      </c>
      <c r="Q238" s="267">
        <f>+'ต.ค. '!Q240+พ.ย.!Q239+ธ.ค.!Q239</f>
        <v>0</v>
      </c>
      <c r="R238" s="267">
        <f>+'ต.ค. '!R240+พ.ย.!R239+ธ.ค.!R239</f>
        <v>0</v>
      </c>
      <c r="S238" s="267">
        <f>+'ต.ค. '!S240+พ.ย.!S239+ธ.ค.!S239</f>
        <v>0</v>
      </c>
      <c r="T238" s="267"/>
      <c r="U238" s="267">
        <f>+'ต.ค. '!U240+พ.ย.!U239+ธ.ค.!U239</f>
        <v>0</v>
      </c>
      <c r="V238" s="267">
        <f>+'ต.ค. '!V240+พ.ย.!V239+ธ.ค.!V239</f>
        <v>0</v>
      </c>
      <c r="X238"/>
    </row>
    <row r="239" spans="1:24" s="310" customFormat="1" ht="25.5" customHeight="1">
      <c r="A239" s="20"/>
      <c r="B239" s="186" t="s">
        <v>306</v>
      </c>
      <c r="C239" s="295">
        <v>7700</v>
      </c>
      <c r="D239" s="131"/>
      <c r="E239" s="267">
        <f>+'ต.ค. '!E241+พ.ย.!E240+ธ.ค.!E240</f>
        <v>0</v>
      </c>
      <c r="F239" s="267">
        <f>+'ต.ค. '!F241+พ.ย.!F240+ธ.ค.!F240</f>
        <v>0</v>
      </c>
      <c r="G239" s="267">
        <f>+'ต.ค. '!G241+พ.ย.!G240+ธ.ค.!G240</f>
        <v>0</v>
      </c>
      <c r="H239" s="267">
        <f>+'ต.ค. '!H241+พ.ย.!H240+ธ.ค.!H240</f>
        <v>0</v>
      </c>
      <c r="I239" s="267">
        <f>+'ต.ค. '!I241+พ.ย.!I240+ธ.ค.!I240</f>
        <v>0</v>
      </c>
      <c r="J239" s="267">
        <f>+'ต.ค. '!J241+พ.ย.!J240+ธ.ค.!J240</f>
        <v>0</v>
      </c>
      <c r="K239" s="267">
        <f>+'ต.ค. '!K241+พ.ย.!K240+ธ.ค.!K240</f>
        <v>0</v>
      </c>
      <c r="L239" s="267">
        <f>+'ต.ค. '!L241+พ.ย.!L240+ธ.ค.!L240</f>
        <v>0</v>
      </c>
      <c r="M239" s="267">
        <f>+'ต.ค. '!M241+พ.ย.!M240+ธ.ค.!M240</f>
        <v>0</v>
      </c>
      <c r="N239" s="267">
        <f>+'ต.ค. '!N241+พ.ย.!N240+ธ.ค.!N240</f>
        <v>0</v>
      </c>
      <c r="O239" s="267">
        <f>+'ต.ค. '!O241+พ.ย.!O240+ธ.ค.!O240</f>
        <v>0</v>
      </c>
      <c r="P239" s="267">
        <f>+'ต.ค. '!P241+พ.ย.!P240+ธ.ค.!P240</f>
        <v>0</v>
      </c>
      <c r="Q239" s="267">
        <f>+'ต.ค. '!Q241+พ.ย.!Q240+ธ.ค.!Q240</f>
        <v>0</v>
      </c>
      <c r="R239" s="267">
        <f>+'ต.ค. '!R241+พ.ย.!R240+ธ.ค.!R240</f>
        <v>0</v>
      </c>
      <c r="S239" s="267">
        <f>+'ต.ค. '!S241+พ.ย.!S240+ธ.ค.!S240</f>
        <v>0</v>
      </c>
      <c r="T239" s="267"/>
      <c r="U239" s="267">
        <f>+'ต.ค. '!U241+พ.ย.!U240+ธ.ค.!U240</f>
        <v>0</v>
      </c>
      <c r="V239" s="267">
        <f>+'ต.ค. '!V241+พ.ย.!V240+ธ.ค.!V240</f>
        <v>0</v>
      </c>
      <c r="X239"/>
    </row>
    <row r="240" spans="1:24" s="310" customFormat="1" ht="25.5" customHeight="1">
      <c r="A240" s="20"/>
      <c r="B240" s="252" t="s">
        <v>336</v>
      </c>
      <c r="C240" s="295"/>
      <c r="D240" s="131"/>
      <c r="E240" s="267"/>
      <c r="F240" s="135"/>
      <c r="G240" s="135"/>
      <c r="H240" s="135"/>
      <c r="I240" s="131"/>
      <c r="J240" s="131"/>
      <c r="K240" s="131"/>
      <c r="L240" s="131"/>
      <c r="M240" s="135"/>
      <c r="N240" s="131"/>
      <c r="O240" s="131"/>
      <c r="P240" s="131"/>
      <c r="Q240" s="131"/>
      <c r="R240" s="217"/>
      <c r="S240" s="219"/>
      <c r="T240" s="219"/>
      <c r="U240" s="217"/>
      <c r="V240" s="217"/>
      <c r="X240"/>
    </row>
    <row r="241" spans="1:24" s="310" customFormat="1" ht="25.5" customHeight="1">
      <c r="A241" s="20"/>
      <c r="B241" s="186" t="s">
        <v>337</v>
      </c>
      <c r="C241" s="295">
        <v>9000</v>
      </c>
      <c r="D241" s="131"/>
      <c r="E241" s="267">
        <f>+'ต.ค. '!E244+พ.ย.!E242+ธ.ค.!E242</f>
        <v>0</v>
      </c>
      <c r="F241" s="267">
        <f>+'ต.ค. '!F244+พ.ย.!F242+ธ.ค.!F242</f>
        <v>0</v>
      </c>
      <c r="G241" s="267">
        <f>+'ต.ค. '!G244+พ.ย.!G242+ธ.ค.!G242</f>
        <v>0</v>
      </c>
      <c r="H241" s="267">
        <f>+'ต.ค. '!H244+พ.ย.!H242+ธ.ค.!H242</f>
        <v>0</v>
      </c>
      <c r="I241" s="267">
        <f>+'ต.ค. '!I244+พ.ย.!I242+ธ.ค.!I242</f>
        <v>0</v>
      </c>
      <c r="J241" s="267">
        <f>+'ต.ค. '!J244+พ.ย.!J242+ธ.ค.!J242</f>
        <v>0</v>
      </c>
      <c r="K241" s="267">
        <f>+'ต.ค. '!K244+พ.ย.!K242+ธ.ค.!K242</f>
        <v>0</v>
      </c>
      <c r="L241" s="267">
        <f>+'ต.ค. '!L244+พ.ย.!L242+ธ.ค.!L242</f>
        <v>0</v>
      </c>
      <c r="M241" s="267">
        <f>+'ต.ค. '!M244+พ.ย.!M242+ธ.ค.!M242</f>
        <v>0</v>
      </c>
      <c r="N241" s="267">
        <f>+'ต.ค. '!N244+พ.ย.!N242+ธ.ค.!N242</f>
        <v>0</v>
      </c>
      <c r="O241" s="267">
        <f>+'ต.ค. '!O244+พ.ย.!O242+ธ.ค.!O242</f>
        <v>0</v>
      </c>
      <c r="P241" s="267">
        <f>+'ต.ค. '!P244+พ.ย.!P242+ธ.ค.!P242</f>
        <v>0</v>
      </c>
      <c r="Q241" s="267">
        <f>+'ต.ค. '!Q244+พ.ย.!Q242+ธ.ค.!Q242</f>
        <v>0</v>
      </c>
      <c r="R241" s="267">
        <f>+'ต.ค. '!R244+พ.ย.!R242+ธ.ค.!R242</f>
        <v>0</v>
      </c>
      <c r="S241" s="267">
        <f>+'ต.ค. '!S244+พ.ย.!S242+ธ.ค.!S242</f>
        <v>0</v>
      </c>
      <c r="T241" s="267"/>
      <c r="U241" s="267">
        <f>+'ต.ค. '!U244+พ.ย.!U242+ธ.ค.!U242</f>
        <v>0</v>
      </c>
      <c r="V241" s="267">
        <f>+'ต.ค. '!V244+พ.ย.!V242+ธ.ค.!V242</f>
        <v>0</v>
      </c>
      <c r="X241"/>
    </row>
    <row r="242" spans="1:24" ht="25.5" customHeight="1">
      <c r="A242" s="20"/>
      <c r="B242" s="252" t="s">
        <v>338</v>
      </c>
      <c r="C242" s="295"/>
      <c r="D242" s="131"/>
      <c r="E242" s="267"/>
      <c r="F242" s="135"/>
      <c r="G242" s="135"/>
      <c r="H242" s="135"/>
      <c r="I242" s="131"/>
      <c r="J242" s="131"/>
      <c r="K242" s="131"/>
      <c r="L242" s="131"/>
      <c r="M242" s="135"/>
      <c r="N242" s="131"/>
      <c r="O242" s="131"/>
      <c r="P242" s="131"/>
      <c r="Q242" s="131"/>
      <c r="R242" s="217"/>
      <c r="S242" s="219"/>
      <c r="T242" s="219"/>
      <c r="U242" s="217"/>
      <c r="V242" s="217"/>
    </row>
    <row r="243" spans="1:24" ht="25.5" customHeight="1">
      <c r="A243" s="20"/>
      <c r="B243" s="186" t="s">
        <v>339</v>
      </c>
      <c r="C243" s="295">
        <v>8000</v>
      </c>
      <c r="D243" s="131"/>
      <c r="E243" s="267">
        <f>+'ต.ค. '!E247+พ.ย.!E244+ธ.ค.!E244</f>
        <v>0</v>
      </c>
      <c r="F243" s="267">
        <f>+'ต.ค. '!F247+พ.ย.!F244+ธ.ค.!F244</f>
        <v>0</v>
      </c>
      <c r="G243" s="267">
        <f>+'ต.ค. '!G247+พ.ย.!G244+ธ.ค.!G244</f>
        <v>0</v>
      </c>
      <c r="H243" s="267">
        <f>+'ต.ค. '!H247+พ.ย.!H244+ธ.ค.!H244</f>
        <v>0</v>
      </c>
      <c r="I243" s="267">
        <f>+'ต.ค. '!I247+พ.ย.!I244+ธ.ค.!I244</f>
        <v>0</v>
      </c>
      <c r="J243" s="267">
        <f>+'ต.ค. '!J247+พ.ย.!J244+ธ.ค.!J244</f>
        <v>0</v>
      </c>
      <c r="K243" s="267">
        <f>+'ต.ค. '!K247+พ.ย.!K244+ธ.ค.!K244</f>
        <v>0</v>
      </c>
      <c r="L243" s="267">
        <f>+'ต.ค. '!L247+พ.ย.!L244+ธ.ค.!L244</f>
        <v>0</v>
      </c>
      <c r="M243" s="267">
        <f>+'ต.ค. '!M247+พ.ย.!M244+ธ.ค.!M244</f>
        <v>0</v>
      </c>
      <c r="N243" s="267">
        <f>+'ต.ค. '!N247+พ.ย.!N244+ธ.ค.!N244</f>
        <v>0</v>
      </c>
      <c r="O243" s="267">
        <f>+'ต.ค. '!O247+พ.ย.!O244+ธ.ค.!O244</f>
        <v>0</v>
      </c>
      <c r="P243" s="267">
        <f>+'ต.ค. '!P247+พ.ย.!P244+ธ.ค.!P244</f>
        <v>0</v>
      </c>
      <c r="Q243" s="267">
        <f>+'ต.ค. '!Q247+พ.ย.!Q244+ธ.ค.!Q244</f>
        <v>0</v>
      </c>
      <c r="R243" s="267">
        <f>+'ต.ค. '!R247+พ.ย.!R244+ธ.ค.!R244</f>
        <v>0</v>
      </c>
      <c r="S243" s="267">
        <f>+'ต.ค. '!S247+พ.ย.!S244+ธ.ค.!S244</f>
        <v>0</v>
      </c>
      <c r="T243" s="267"/>
      <c r="U243" s="267">
        <f>+'ต.ค. '!U247+พ.ย.!U244+ธ.ค.!U244</f>
        <v>0</v>
      </c>
      <c r="V243" s="267">
        <f>+'ต.ค. '!V247+พ.ย.!V244+ธ.ค.!V244</f>
        <v>0</v>
      </c>
    </row>
    <row r="244" spans="1:24" ht="25.5" customHeight="1">
      <c r="A244" s="20"/>
      <c r="B244" s="186" t="s">
        <v>340</v>
      </c>
      <c r="C244" s="295">
        <v>6000</v>
      </c>
      <c r="D244" s="131"/>
      <c r="E244" s="267">
        <f>+'ต.ค. '!E248+พ.ย.!E245+ธ.ค.!E245</f>
        <v>0</v>
      </c>
      <c r="F244" s="267">
        <f>+'ต.ค. '!F248+พ.ย.!F245+ธ.ค.!F245</f>
        <v>0</v>
      </c>
      <c r="G244" s="267">
        <f>+'ต.ค. '!G248+พ.ย.!G245+ธ.ค.!G245</f>
        <v>0</v>
      </c>
      <c r="H244" s="267">
        <f>+'ต.ค. '!H248+พ.ย.!H245+ธ.ค.!H245</f>
        <v>0</v>
      </c>
      <c r="I244" s="267">
        <f>+'ต.ค. '!I248+พ.ย.!I245+ธ.ค.!I245</f>
        <v>0</v>
      </c>
      <c r="J244" s="267">
        <f>+'ต.ค. '!J248+พ.ย.!J245+ธ.ค.!J245</f>
        <v>0</v>
      </c>
      <c r="K244" s="267">
        <f>+'ต.ค. '!K248+พ.ย.!K245+ธ.ค.!K245</f>
        <v>0</v>
      </c>
      <c r="L244" s="267">
        <f>+'ต.ค. '!L248+พ.ย.!L245+ธ.ค.!L245</f>
        <v>0</v>
      </c>
      <c r="M244" s="267">
        <f>+'ต.ค. '!M248+พ.ย.!M245+ธ.ค.!M245</f>
        <v>0</v>
      </c>
      <c r="N244" s="267">
        <f>+'ต.ค. '!N248+พ.ย.!N245+ธ.ค.!N245</f>
        <v>0</v>
      </c>
      <c r="O244" s="267">
        <f>+'ต.ค. '!O248+พ.ย.!O245+ธ.ค.!O245</f>
        <v>0</v>
      </c>
      <c r="P244" s="267">
        <f>+'ต.ค. '!P248+พ.ย.!P245+ธ.ค.!P245</f>
        <v>0</v>
      </c>
      <c r="Q244" s="267">
        <f>+'ต.ค. '!Q248+พ.ย.!Q245+ธ.ค.!Q245</f>
        <v>0</v>
      </c>
      <c r="R244" s="267">
        <f>+'ต.ค. '!R248+พ.ย.!R245+ธ.ค.!R245</f>
        <v>0</v>
      </c>
      <c r="S244" s="267">
        <f>+'ต.ค. '!S248+พ.ย.!S245+ธ.ค.!S245</f>
        <v>0</v>
      </c>
      <c r="T244" s="267"/>
      <c r="U244" s="267">
        <f>+'ต.ค. '!U248+พ.ย.!U245+ธ.ค.!U245</f>
        <v>0</v>
      </c>
      <c r="V244" s="267">
        <f>+'ต.ค. '!V248+พ.ย.!V245+ธ.ค.!V245</f>
        <v>0</v>
      </c>
    </row>
    <row r="245" spans="1:24" ht="25.5" customHeight="1">
      <c r="A245" s="20"/>
      <c r="B245" s="252" t="s">
        <v>341</v>
      </c>
      <c r="C245" s="295"/>
      <c r="D245" s="131"/>
      <c r="E245" s="267"/>
      <c r="F245" s="135"/>
      <c r="G245" s="135"/>
      <c r="H245" s="135"/>
      <c r="I245" s="131"/>
      <c r="J245" s="131"/>
      <c r="K245" s="131"/>
      <c r="L245" s="131"/>
      <c r="M245" s="135"/>
      <c r="N245" s="131"/>
      <c r="O245" s="131"/>
      <c r="P245" s="131"/>
      <c r="Q245" s="131"/>
      <c r="R245" s="217"/>
      <c r="S245" s="219"/>
      <c r="T245" s="219"/>
      <c r="U245" s="217"/>
      <c r="V245" s="217"/>
    </row>
    <row r="246" spans="1:24" ht="25.5" customHeight="1">
      <c r="A246" s="20"/>
      <c r="B246" s="186" t="s">
        <v>342</v>
      </c>
      <c r="C246" s="295">
        <v>45300</v>
      </c>
      <c r="D246" s="131"/>
      <c r="E246" s="267">
        <f>+'ต.ค. '!E251+พ.ย.!E247+ธ.ค.!E247</f>
        <v>0</v>
      </c>
      <c r="F246" s="267">
        <f>+'ต.ค. '!F251+พ.ย.!F247+ธ.ค.!F247</f>
        <v>0</v>
      </c>
      <c r="G246" s="267">
        <f>+'ต.ค. '!G251+พ.ย.!G247+ธ.ค.!G247</f>
        <v>0</v>
      </c>
      <c r="H246" s="267">
        <f>+'ต.ค. '!H251+พ.ย.!H247+ธ.ค.!H247</f>
        <v>0</v>
      </c>
      <c r="I246" s="267">
        <f>+'ต.ค. '!I251+พ.ย.!I247+ธ.ค.!I247</f>
        <v>0</v>
      </c>
      <c r="J246" s="267">
        <f>+'ต.ค. '!J251+พ.ย.!J247+ธ.ค.!J247</f>
        <v>0</v>
      </c>
      <c r="K246" s="267">
        <f>+'ต.ค. '!K251+พ.ย.!K247+ธ.ค.!K247</f>
        <v>0</v>
      </c>
      <c r="L246" s="267">
        <f>+'ต.ค. '!L251+พ.ย.!L247+ธ.ค.!L247</f>
        <v>0</v>
      </c>
      <c r="M246" s="267">
        <f>+'ต.ค. '!M251+พ.ย.!M247+ธ.ค.!M247</f>
        <v>0</v>
      </c>
      <c r="N246" s="267">
        <f>+'ต.ค. '!N251+พ.ย.!N247+ธ.ค.!N247</f>
        <v>0</v>
      </c>
      <c r="O246" s="267">
        <f>+'ต.ค. '!O251+พ.ย.!O247+ธ.ค.!O247</f>
        <v>0</v>
      </c>
      <c r="P246" s="267">
        <f>+'ต.ค. '!P251+พ.ย.!P247+ธ.ค.!P247</f>
        <v>0</v>
      </c>
      <c r="Q246" s="267">
        <f>+'ต.ค. '!Q251+พ.ย.!Q247+ธ.ค.!Q247</f>
        <v>0</v>
      </c>
      <c r="R246" s="267">
        <f>+'ต.ค. '!R251+พ.ย.!R247+ธ.ค.!R247</f>
        <v>0</v>
      </c>
      <c r="S246" s="267">
        <f>+'ต.ค. '!S251+พ.ย.!S247+ธ.ค.!S247</f>
        <v>0</v>
      </c>
      <c r="T246" s="267"/>
      <c r="U246" s="267">
        <f>+'ต.ค. '!U251+พ.ย.!U247+ธ.ค.!U247</f>
        <v>0</v>
      </c>
      <c r="V246" s="267">
        <f>+'ต.ค. '!V251+พ.ย.!V247+ธ.ค.!V247</f>
        <v>0</v>
      </c>
    </row>
    <row r="247" spans="1:24" ht="25.5" customHeight="1">
      <c r="A247" s="20"/>
      <c r="B247" s="186" t="s">
        <v>343</v>
      </c>
      <c r="C247" s="295">
        <v>128000</v>
      </c>
      <c r="D247" s="131"/>
      <c r="E247" s="267">
        <f>+'ต.ค. '!E252+พ.ย.!E248+ธ.ค.!E248</f>
        <v>0</v>
      </c>
      <c r="F247" s="267">
        <f>+'ต.ค. '!F252+พ.ย.!F248+ธ.ค.!F248</f>
        <v>0</v>
      </c>
      <c r="G247" s="267">
        <f>+'ต.ค. '!G252+พ.ย.!G248+ธ.ค.!G248</f>
        <v>0</v>
      </c>
      <c r="H247" s="267">
        <f>+'ต.ค. '!H252+พ.ย.!H248+ธ.ค.!H248</f>
        <v>0</v>
      </c>
      <c r="I247" s="267">
        <f>+'ต.ค. '!I252+พ.ย.!I248+ธ.ค.!I248</f>
        <v>0</v>
      </c>
      <c r="J247" s="267">
        <f>+'ต.ค. '!J252+พ.ย.!J248+ธ.ค.!J248</f>
        <v>0</v>
      </c>
      <c r="K247" s="267">
        <f>+'ต.ค. '!K252+พ.ย.!K248+ธ.ค.!K248</f>
        <v>0</v>
      </c>
      <c r="L247" s="267">
        <f>+'ต.ค. '!L252+พ.ย.!L248+ธ.ค.!L248</f>
        <v>0</v>
      </c>
      <c r="M247" s="267">
        <f>+'ต.ค. '!M252+พ.ย.!M248+ธ.ค.!M248</f>
        <v>0</v>
      </c>
      <c r="N247" s="267">
        <f>+'ต.ค. '!N252+พ.ย.!N248+ธ.ค.!N248</f>
        <v>0</v>
      </c>
      <c r="O247" s="267">
        <f>+'ต.ค. '!O252+พ.ย.!O248+ธ.ค.!O248</f>
        <v>0</v>
      </c>
      <c r="P247" s="267">
        <f>+'ต.ค. '!P252+พ.ย.!P248+ธ.ค.!P248</f>
        <v>0</v>
      </c>
      <c r="Q247" s="267">
        <f>+'ต.ค. '!Q252+พ.ย.!Q248+ธ.ค.!Q248</f>
        <v>0</v>
      </c>
      <c r="R247" s="267">
        <f>+'ต.ค. '!R252+พ.ย.!R248+ธ.ค.!R248</f>
        <v>0</v>
      </c>
      <c r="S247" s="267">
        <f>+'ต.ค. '!S252+พ.ย.!S248+ธ.ค.!S248</f>
        <v>0</v>
      </c>
      <c r="T247" s="267"/>
      <c r="U247" s="267">
        <f>+'ต.ค. '!U252+พ.ย.!U248+ธ.ค.!U248</f>
        <v>0</v>
      </c>
      <c r="V247" s="267">
        <f>+'ต.ค. '!V252+พ.ย.!V248+ธ.ค.!V248</f>
        <v>0</v>
      </c>
    </row>
    <row r="248" spans="1:24" ht="25.5" customHeight="1">
      <c r="A248" s="20"/>
      <c r="B248" s="186" t="s">
        <v>264</v>
      </c>
      <c r="C248" s="295">
        <v>204000</v>
      </c>
      <c r="D248" s="131"/>
      <c r="E248" s="267">
        <f>+'ต.ค. '!E253+พ.ย.!E249+ธ.ค.!E249</f>
        <v>0</v>
      </c>
      <c r="F248" s="267">
        <f>+'ต.ค. '!F253+พ.ย.!F249+ธ.ค.!F249</f>
        <v>0</v>
      </c>
      <c r="G248" s="267">
        <f>+'ต.ค. '!G253+พ.ย.!G249+ธ.ค.!G249</f>
        <v>0</v>
      </c>
      <c r="H248" s="267">
        <f>+'ต.ค. '!H253+พ.ย.!H249+ธ.ค.!H249</f>
        <v>0</v>
      </c>
      <c r="I248" s="267">
        <f>+'ต.ค. '!I253+พ.ย.!I249+ธ.ค.!I249</f>
        <v>0</v>
      </c>
      <c r="J248" s="267">
        <f>+'ต.ค. '!J253+พ.ย.!J249+ธ.ค.!J249</f>
        <v>0</v>
      </c>
      <c r="K248" s="267">
        <f>+'ต.ค. '!K253+พ.ย.!K249+ธ.ค.!K249</f>
        <v>0</v>
      </c>
      <c r="L248" s="267">
        <f>+'ต.ค. '!L253+พ.ย.!L249+ธ.ค.!L249</f>
        <v>0</v>
      </c>
      <c r="M248" s="267">
        <f>+'ต.ค. '!M253+พ.ย.!M249+ธ.ค.!M249</f>
        <v>0</v>
      </c>
      <c r="N248" s="267"/>
      <c r="O248" s="267">
        <f>+'ต.ค. '!O253+พ.ย.!O249+ธ.ค.!O249</f>
        <v>0</v>
      </c>
      <c r="P248" s="267">
        <f>+'ต.ค. '!P253+พ.ย.!P249+ธ.ค.!P249</f>
        <v>0</v>
      </c>
      <c r="Q248" s="267">
        <f>+'ต.ค. '!Q253+พ.ย.!Q249+ธ.ค.!Q249</f>
        <v>0</v>
      </c>
      <c r="R248" s="267">
        <f>+'ต.ค. '!R253+พ.ย.!R249+ธ.ค.!R249</f>
        <v>0</v>
      </c>
      <c r="S248" s="267">
        <f>+'ต.ค. '!S253+พ.ย.!S249+ธ.ค.!S249</f>
        <v>0</v>
      </c>
      <c r="T248" s="267"/>
      <c r="U248" s="267">
        <f>+'ต.ค. '!U253+พ.ย.!U249+ธ.ค.!U249</f>
        <v>0</v>
      </c>
      <c r="V248" s="267">
        <f>+'ต.ค. '!V253+พ.ย.!V249+ธ.ค.!V249</f>
        <v>0</v>
      </c>
    </row>
    <row r="249" spans="1:24" ht="25.5" customHeight="1">
      <c r="A249" s="20"/>
      <c r="B249" s="186" t="s">
        <v>381</v>
      </c>
      <c r="C249" s="295">
        <v>204000</v>
      </c>
      <c r="D249" s="131"/>
      <c r="E249" s="267">
        <f>+'ต.ค. '!E254+พ.ย.!E250+ธ.ค.!E250</f>
        <v>0</v>
      </c>
      <c r="F249" s="267">
        <f>+'ต.ค. '!F254+พ.ย.!F250+ธ.ค.!F250</f>
        <v>0</v>
      </c>
      <c r="G249" s="267">
        <f>+'ต.ค. '!G254+พ.ย.!G250+ธ.ค.!G250</f>
        <v>0</v>
      </c>
      <c r="H249" s="267">
        <f>+'ต.ค. '!H254+พ.ย.!H250+ธ.ค.!H250</f>
        <v>0</v>
      </c>
      <c r="I249" s="267">
        <f>+'ต.ค. '!I254+พ.ย.!I250+ธ.ค.!I250</f>
        <v>0</v>
      </c>
      <c r="J249" s="267">
        <f>+'ต.ค. '!J254+พ.ย.!J250+ธ.ค.!J250</f>
        <v>0</v>
      </c>
      <c r="K249" s="267">
        <f>+'ต.ค. '!K254+พ.ย.!K250+ธ.ค.!K250</f>
        <v>0</v>
      </c>
      <c r="L249" s="267">
        <f>+'ต.ค. '!L254+พ.ย.!L250+ธ.ค.!L250</f>
        <v>0</v>
      </c>
      <c r="M249" s="267">
        <f>+'ต.ค. '!M254+พ.ย.!M250+ธ.ค.!M250</f>
        <v>0</v>
      </c>
      <c r="N249" s="267">
        <v>204000</v>
      </c>
      <c r="O249" s="267">
        <f>+'ต.ค. '!O254+พ.ย.!O250+ธ.ค.!O250</f>
        <v>0</v>
      </c>
      <c r="P249" s="267">
        <f>+'ต.ค. '!P254+พ.ย.!P250+ธ.ค.!P250</f>
        <v>0</v>
      </c>
      <c r="Q249" s="267">
        <f>+'ต.ค. '!Q254+พ.ย.!Q250+ธ.ค.!Q250</f>
        <v>0</v>
      </c>
      <c r="R249" s="267">
        <f>+'ต.ค. '!R254+พ.ย.!R250+ธ.ค.!R250</f>
        <v>0</v>
      </c>
      <c r="S249" s="267">
        <f>+'ต.ค. '!S254+พ.ย.!S250+ธ.ค.!S250</f>
        <v>0</v>
      </c>
      <c r="T249" s="267"/>
      <c r="U249" s="267">
        <f>+'ต.ค. '!U254+พ.ย.!U250+ธ.ค.!U250</f>
        <v>0</v>
      </c>
      <c r="V249" s="267">
        <f>+'ต.ค. '!V254+พ.ย.!V250+ธ.ค.!V250</f>
        <v>0</v>
      </c>
    </row>
    <row r="250" spans="1:24" ht="25.5" customHeight="1">
      <c r="A250" s="20"/>
      <c r="B250" s="186" t="s">
        <v>344</v>
      </c>
      <c r="C250" s="295">
        <v>204000</v>
      </c>
      <c r="D250" s="131"/>
      <c r="E250" s="267">
        <f>+'ต.ค. '!E255+พ.ย.!E251+ธ.ค.!E251</f>
        <v>0</v>
      </c>
      <c r="F250" s="267">
        <f>+'ต.ค. '!F255+พ.ย.!F251+ธ.ค.!F251</f>
        <v>0</v>
      </c>
      <c r="G250" s="267">
        <f>+'ต.ค. '!G255+พ.ย.!G251+ธ.ค.!G251</f>
        <v>0</v>
      </c>
      <c r="H250" s="267">
        <f>+'ต.ค. '!H255+พ.ย.!H251+ธ.ค.!H251</f>
        <v>0</v>
      </c>
      <c r="I250" s="267">
        <f>+'ต.ค. '!I255+พ.ย.!I251+ธ.ค.!I251</f>
        <v>0</v>
      </c>
      <c r="J250" s="267">
        <f>+'ต.ค. '!J255+พ.ย.!J251+ธ.ค.!J251</f>
        <v>0</v>
      </c>
      <c r="K250" s="267">
        <f>+'ต.ค. '!K255+พ.ย.!K251+ธ.ค.!K251</f>
        <v>0</v>
      </c>
      <c r="L250" s="267">
        <f>+'ต.ค. '!L255+พ.ย.!L251+ธ.ค.!L251</f>
        <v>0</v>
      </c>
      <c r="M250" s="267">
        <f>+'ต.ค. '!M255+พ.ย.!M251+ธ.ค.!M251</f>
        <v>0</v>
      </c>
      <c r="N250" s="267">
        <v>202000</v>
      </c>
      <c r="O250" s="267">
        <f>+'ต.ค. '!O255+พ.ย.!O251+ธ.ค.!O251</f>
        <v>0</v>
      </c>
      <c r="P250" s="267">
        <f>+'ต.ค. '!P255+พ.ย.!P251+ธ.ค.!P251</f>
        <v>0</v>
      </c>
      <c r="Q250" s="267">
        <f>+'ต.ค. '!Q255+พ.ย.!Q251+ธ.ค.!Q251</f>
        <v>0</v>
      </c>
      <c r="R250" s="267">
        <f>+'ต.ค. '!R255+พ.ย.!R251+ธ.ค.!R251</f>
        <v>0</v>
      </c>
      <c r="S250" s="267">
        <f>+'ต.ค. '!S255+พ.ย.!S251+ธ.ค.!S251</f>
        <v>0</v>
      </c>
      <c r="T250" s="267"/>
      <c r="U250" s="267">
        <f>+'ต.ค. '!U255+พ.ย.!U251+ธ.ค.!U251</f>
        <v>0</v>
      </c>
      <c r="V250" s="267">
        <f>+'ต.ค. '!V255+พ.ย.!V251+ธ.ค.!V251</f>
        <v>0</v>
      </c>
    </row>
    <row r="251" spans="1:24" ht="25.5" customHeight="1">
      <c r="A251" s="20"/>
      <c r="B251" s="186" t="s">
        <v>345</v>
      </c>
      <c r="C251" s="295">
        <v>217000</v>
      </c>
      <c r="D251" s="131"/>
      <c r="E251" s="267">
        <f>+'ต.ค. '!E256+พ.ย.!E252+ธ.ค.!E252</f>
        <v>0</v>
      </c>
      <c r="F251" s="267">
        <f>+'ต.ค. '!F256+พ.ย.!F252+ธ.ค.!F252</f>
        <v>0</v>
      </c>
      <c r="G251" s="267">
        <f>+'ต.ค. '!G256+พ.ย.!G252+ธ.ค.!G252</f>
        <v>0</v>
      </c>
      <c r="H251" s="267">
        <f>+'ต.ค. '!H256+พ.ย.!H252+ธ.ค.!H252</f>
        <v>0</v>
      </c>
      <c r="I251" s="267">
        <f>+'ต.ค. '!I256+พ.ย.!I252+ธ.ค.!I252</f>
        <v>0</v>
      </c>
      <c r="J251" s="267">
        <f>+'ต.ค. '!J256+พ.ย.!J252+ธ.ค.!J252</f>
        <v>0</v>
      </c>
      <c r="K251" s="267">
        <f>+'ต.ค. '!K256+พ.ย.!K252+ธ.ค.!K252</f>
        <v>0</v>
      </c>
      <c r="L251" s="267">
        <f>+'ต.ค. '!L256+พ.ย.!L252+ธ.ค.!L252</f>
        <v>0</v>
      </c>
      <c r="M251" s="267">
        <f>+'ต.ค. '!M256+พ.ย.!M252+ธ.ค.!M252</f>
        <v>0</v>
      </c>
      <c r="N251" s="267"/>
      <c r="O251" s="267">
        <f>+'ต.ค. '!O256+พ.ย.!O252+ธ.ค.!O252</f>
        <v>0</v>
      </c>
      <c r="P251" s="267">
        <f>+'ต.ค. '!P256+พ.ย.!P252+ธ.ค.!P252</f>
        <v>0</v>
      </c>
      <c r="Q251" s="267">
        <f>+'ต.ค. '!Q256+พ.ย.!Q252+ธ.ค.!Q252</f>
        <v>0</v>
      </c>
      <c r="R251" s="267">
        <f>+'ต.ค. '!R256+พ.ย.!R252+ธ.ค.!R252</f>
        <v>0</v>
      </c>
      <c r="S251" s="267">
        <f>+'ต.ค. '!S256+พ.ย.!S252+ธ.ค.!S252</f>
        <v>0</v>
      </c>
      <c r="T251" s="267"/>
      <c r="U251" s="267">
        <f>+'ต.ค. '!U256+พ.ย.!U252+ธ.ค.!U252</f>
        <v>0</v>
      </c>
      <c r="V251" s="267">
        <f>+'ต.ค. '!V256+พ.ย.!V252+ธ.ค.!V252</f>
        <v>0</v>
      </c>
    </row>
    <row r="252" spans="1:24" ht="25.5" customHeight="1">
      <c r="A252" s="20"/>
      <c r="B252" s="186" t="s">
        <v>346</v>
      </c>
      <c r="C252" s="295">
        <v>27000</v>
      </c>
      <c r="D252" s="131"/>
      <c r="E252" s="267">
        <f>+'ต.ค. '!E257+พ.ย.!E253+ธ.ค.!E253</f>
        <v>0</v>
      </c>
      <c r="F252" s="267">
        <f>+'ต.ค. '!F257+พ.ย.!F253+ธ.ค.!F253</f>
        <v>0</v>
      </c>
      <c r="G252" s="267">
        <f>+'ต.ค. '!G257+พ.ย.!G253+ธ.ค.!G253</f>
        <v>0</v>
      </c>
      <c r="H252" s="267">
        <f>+'ต.ค. '!H257+พ.ย.!H253+ธ.ค.!H253</f>
        <v>0</v>
      </c>
      <c r="I252" s="267">
        <f>+'ต.ค. '!I257+พ.ย.!I253+ธ.ค.!I253</f>
        <v>0</v>
      </c>
      <c r="J252" s="267">
        <f>+'ต.ค. '!J257+พ.ย.!J253+ธ.ค.!J253</f>
        <v>0</v>
      </c>
      <c r="K252" s="267">
        <f>+'ต.ค. '!K257+พ.ย.!K253+ธ.ค.!K253</f>
        <v>0</v>
      </c>
      <c r="L252" s="267">
        <f>+'ต.ค. '!L257+พ.ย.!L253+ธ.ค.!L253</f>
        <v>0</v>
      </c>
      <c r="M252" s="267">
        <f>+'ต.ค. '!M257+พ.ย.!M253+ธ.ค.!M253</f>
        <v>0</v>
      </c>
      <c r="N252" s="267"/>
      <c r="O252" s="267">
        <f>+'ต.ค. '!O257+พ.ย.!O253+ธ.ค.!O253</f>
        <v>0</v>
      </c>
      <c r="P252" s="267">
        <f>+'ต.ค. '!P257+พ.ย.!P253+ธ.ค.!P253</f>
        <v>0</v>
      </c>
      <c r="Q252" s="267">
        <f>+'ต.ค. '!Q257+พ.ย.!Q253+ธ.ค.!Q253</f>
        <v>0</v>
      </c>
      <c r="R252" s="267">
        <f>+'ต.ค. '!R257+พ.ย.!R253+ธ.ค.!R253</f>
        <v>0</v>
      </c>
      <c r="S252" s="267">
        <f>+'ต.ค. '!S257+พ.ย.!S253+ธ.ค.!S253</f>
        <v>0</v>
      </c>
      <c r="T252" s="267"/>
      <c r="U252" s="267">
        <f>+'ต.ค. '!U257+พ.ย.!U253+ธ.ค.!U253</f>
        <v>0</v>
      </c>
      <c r="V252" s="267">
        <f>+'ต.ค. '!V257+พ.ย.!V253+ธ.ค.!V253</f>
        <v>0</v>
      </c>
    </row>
    <row r="253" spans="1:24" ht="25.5" customHeight="1">
      <c r="A253" s="20"/>
      <c r="B253" s="186" t="s">
        <v>347</v>
      </c>
      <c r="C253" s="295">
        <v>211000</v>
      </c>
      <c r="D253" s="131"/>
      <c r="E253" s="267">
        <f>+'ต.ค. '!E258+พ.ย.!E254+ธ.ค.!E254</f>
        <v>0</v>
      </c>
      <c r="F253" s="267">
        <f>+'ต.ค. '!F258+พ.ย.!F254+ธ.ค.!F254</f>
        <v>0</v>
      </c>
      <c r="G253" s="267">
        <f>+'ต.ค. '!G258+พ.ย.!G254+ธ.ค.!G254</f>
        <v>0</v>
      </c>
      <c r="H253" s="267">
        <f>+'ต.ค. '!H258+พ.ย.!H254+ธ.ค.!H254</f>
        <v>0</v>
      </c>
      <c r="I253" s="267">
        <f>+'ต.ค. '!I258+พ.ย.!I254+ธ.ค.!I254</f>
        <v>0</v>
      </c>
      <c r="J253" s="267">
        <f>+'ต.ค. '!J258+พ.ย.!J254+ธ.ค.!J254</f>
        <v>0</v>
      </c>
      <c r="K253" s="267">
        <f>+'ต.ค. '!K258+พ.ย.!K254+ธ.ค.!K254</f>
        <v>0</v>
      </c>
      <c r="L253" s="267">
        <f>+'ต.ค. '!L258+พ.ย.!L254+ธ.ค.!L254</f>
        <v>0</v>
      </c>
      <c r="M253" s="267">
        <f>+'ต.ค. '!M258+พ.ย.!M254+ธ.ค.!M254</f>
        <v>0</v>
      </c>
      <c r="N253" s="267"/>
      <c r="O253" s="267">
        <f>+'ต.ค. '!O258+พ.ย.!O254+ธ.ค.!O254</f>
        <v>0</v>
      </c>
      <c r="P253" s="267">
        <f>+'ต.ค. '!P258+พ.ย.!P254+ธ.ค.!P254</f>
        <v>0</v>
      </c>
      <c r="Q253" s="267">
        <f>+'ต.ค. '!Q258+พ.ย.!Q254+ธ.ค.!Q254</f>
        <v>0</v>
      </c>
      <c r="R253" s="267">
        <f>+'ต.ค. '!R258+พ.ย.!R254+ธ.ค.!R254</f>
        <v>0</v>
      </c>
      <c r="S253" s="267">
        <f>+'ต.ค. '!S258+พ.ย.!S254+ธ.ค.!S254</f>
        <v>0</v>
      </c>
      <c r="T253" s="267"/>
      <c r="U253" s="267">
        <f>+'ต.ค. '!U258+พ.ย.!U254+ธ.ค.!U254</f>
        <v>0</v>
      </c>
      <c r="V253" s="267">
        <f>+'ต.ค. '!V258+พ.ย.!V254+ธ.ค.!V254</f>
        <v>0</v>
      </c>
    </row>
    <row r="254" spans="1:24" ht="25.5" customHeight="1">
      <c r="A254" s="20"/>
      <c r="B254" s="186" t="s">
        <v>348</v>
      </c>
      <c r="C254" s="295">
        <v>211000</v>
      </c>
      <c r="D254" s="131"/>
      <c r="E254" s="267">
        <f>+'ต.ค. '!E259+พ.ย.!E255+ธ.ค.!E255</f>
        <v>0</v>
      </c>
      <c r="F254" s="267">
        <f>+'ต.ค. '!F259+พ.ย.!F255+ธ.ค.!F255</f>
        <v>0</v>
      </c>
      <c r="G254" s="267">
        <f>+'ต.ค. '!G259+พ.ย.!G255+ธ.ค.!G255</f>
        <v>0</v>
      </c>
      <c r="H254" s="267">
        <f>+'ต.ค. '!H259+พ.ย.!H255+ธ.ค.!H255</f>
        <v>0</v>
      </c>
      <c r="I254" s="267">
        <f>+'ต.ค. '!I259+พ.ย.!I255+ธ.ค.!I255</f>
        <v>0</v>
      </c>
      <c r="J254" s="267">
        <f>+'ต.ค. '!J259+พ.ย.!J255+ธ.ค.!J255</f>
        <v>0</v>
      </c>
      <c r="K254" s="267">
        <f>+'ต.ค. '!K259+พ.ย.!K255+ธ.ค.!K255</f>
        <v>0</v>
      </c>
      <c r="L254" s="267">
        <f>+'ต.ค. '!L259+พ.ย.!L255+ธ.ค.!L255</f>
        <v>0</v>
      </c>
      <c r="M254" s="267">
        <f>+'ต.ค. '!M259+พ.ย.!M255+ธ.ค.!M255</f>
        <v>0</v>
      </c>
      <c r="N254" s="267"/>
      <c r="O254" s="267">
        <f>+'ต.ค. '!O259+พ.ย.!O255+ธ.ค.!O255</f>
        <v>0</v>
      </c>
      <c r="P254" s="267">
        <f>+'ต.ค. '!P259+พ.ย.!P255+ธ.ค.!P255</f>
        <v>0</v>
      </c>
      <c r="Q254" s="267">
        <f>+'ต.ค. '!Q259+พ.ย.!Q255+ธ.ค.!Q255</f>
        <v>0</v>
      </c>
      <c r="R254" s="267">
        <f>+'ต.ค. '!R259+พ.ย.!R255+ธ.ค.!R255</f>
        <v>0</v>
      </c>
      <c r="S254" s="267">
        <f>+'ต.ค. '!S259+พ.ย.!S255+ธ.ค.!S255</f>
        <v>0</v>
      </c>
      <c r="T254" s="267"/>
      <c r="U254" s="267">
        <f>+'ต.ค. '!U259+พ.ย.!U255+ธ.ค.!U255</f>
        <v>0</v>
      </c>
      <c r="V254" s="267">
        <f>+'ต.ค. '!V259+พ.ย.!V255+ธ.ค.!V255</f>
        <v>0</v>
      </c>
    </row>
    <row r="255" spans="1:24" ht="25.5" customHeight="1">
      <c r="A255" s="20"/>
      <c r="B255" s="186" t="s">
        <v>349</v>
      </c>
      <c r="C255" s="296">
        <v>688700</v>
      </c>
      <c r="D255" s="131"/>
      <c r="E255" s="267">
        <f>+'ต.ค. '!E260+พ.ย.!E256+ธ.ค.!E256</f>
        <v>0</v>
      </c>
      <c r="F255" s="267">
        <f>+'ต.ค. '!F260+พ.ย.!F256+ธ.ค.!F256</f>
        <v>0</v>
      </c>
      <c r="G255" s="267">
        <f>+'ต.ค. '!G260+พ.ย.!G256+ธ.ค.!G256</f>
        <v>0</v>
      </c>
      <c r="H255" s="267">
        <f>+'ต.ค. '!H260+พ.ย.!H256+ธ.ค.!H256</f>
        <v>0</v>
      </c>
      <c r="I255" s="267">
        <f>+'ต.ค. '!I260+พ.ย.!I256+ธ.ค.!I256</f>
        <v>0</v>
      </c>
      <c r="J255" s="267">
        <f>+'ต.ค. '!J260+พ.ย.!J256+ธ.ค.!J256</f>
        <v>0</v>
      </c>
      <c r="K255" s="267">
        <f>+'ต.ค. '!K260+พ.ย.!K256+ธ.ค.!K256</f>
        <v>0</v>
      </c>
      <c r="L255" s="267">
        <f>+'ต.ค. '!L260+พ.ย.!L256+ธ.ค.!L256</f>
        <v>0</v>
      </c>
      <c r="M255" s="267">
        <f>+'ต.ค. '!M260+พ.ย.!M256+ธ.ค.!M256</f>
        <v>0</v>
      </c>
      <c r="N255" s="267"/>
      <c r="O255" s="267">
        <f>+'ต.ค. '!O260+พ.ย.!O256+ธ.ค.!O256</f>
        <v>0</v>
      </c>
      <c r="P255" s="267">
        <f>+'ต.ค. '!P260+พ.ย.!P256+ธ.ค.!P256</f>
        <v>0</v>
      </c>
      <c r="Q255" s="267">
        <f>+'ต.ค. '!Q260+พ.ย.!Q256+ธ.ค.!Q256</f>
        <v>0</v>
      </c>
      <c r="R255" s="267">
        <f>+'ต.ค. '!R260+พ.ย.!R256+ธ.ค.!R256</f>
        <v>0</v>
      </c>
      <c r="S255" s="267">
        <f>+'ต.ค. '!S260+พ.ย.!S256+ธ.ค.!S256</f>
        <v>0</v>
      </c>
      <c r="T255" s="267"/>
      <c r="U255" s="267">
        <f>+'ต.ค. '!U260+พ.ย.!U256+ธ.ค.!U256</f>
        <v>0</v>
      </c>
      <c r="V255" s="267">
        <f>+'ต.ค. '!V260+พ.ย.!V256+ธ.ค.!V256</f>
        <v>0</v>
      </c>
    </row>
    <row r="256" spans="1:24" ht="25.5" customHeight="1">
      <c r="A256" s="20"/>
      <c r="B256" s="186" t="s">
        <v>350</v>
      </c>
      <c r="C256" s="297">
        <v>62000</v>
      </c>
      <c r="D256" s="131"/>
      <c r="E256" s="267">
        <f>+'ต.ค. '!E261+พ.ย.!E257+ธ.ค.!E257</f>
        <v>0</v>
      </c>
      <c r="F256" s="267">
        <f>+'ต.ค. '!F261+พ.ย.!F257+ธ.ค.!F257</f>
        <v>0</v>
      </c>
      <c r="G256" s="267">
        <f>+'ต.ค. '!G261+พ.ย.!G257+ธ.ค.!G257</f>
        <v>0</v>
      </c>
      <c r="H256" s="267">
        <f>+'ต.ค. '!H261+พ.ย.!H257+ธ.ค.!H257</f>
        <v>0</v>
      </c>
      <c r="I256" s="267">
        <f>+'ต.ค. '!I261+พ.ย.!I257+ธ.ค.!I257</f>
        <v>0</v>
      </c>
      <c r="J256" s="267">
        <f>+'ต.ค. '!J261+พ.ย.!J257+ธ.ค.!J257</f>
        <v>0</v>
      </c>
      <c r="K256" s="267">
        <f>+'ต.ค. '!K261+พ.ย.!K257+ธ.ค.!K257</f>
        <v>0</v>
      </c>
      <c r="L256" s="267">
        <f>+'ต.ค. '!L261+พ.ย.!L257+ธ.ค.!L257</f>
        <v>0</v>
      </c>
      <c r="M256" s="267">
        <f>+'ต.ค. '!M261+พ.ย.!M257+ธ.ค.!M257</f>
        <v>0</v>
      </c>
      <c r="N256" s="267">
        <f>+'ต.ค. '!N261+พ.ย.!N257+ธ.ค.!N257</f>
        <v>0</v>
      </c>
      <c r="O256" s="267">
        <f>+'ต.ค. '!O261+พ.ย.!O257+ธ.ค.!O257</f>
        <v>0</v>
      </c>
      <c r="P256" s="267">
        <f>+'ต.ค. '!P261+พ.ย.!P257+ธ.ค.!P257</f>
        <v>0</v>
      </c>
      <c r="Q256" s="267">
        <f>+'ต.ค. '!Q261+พ.ย.!Q257+ธ.ค.!Q257</f>
        <v>0</v>
      </c>
      <c r="R256" s="267">
        <f>+'ต.ค. '!R261+พ.ย.!R257+ธ.ค.!R257</f>
        <v>0</v>
      </c>
      <c r="S256" s="267">
        <f>+'ต.ค. '!S261+พ.ย.!S257+ธ.ค.!S257</f>
        <v>0</v>
      </c>
      <c r="T256" s="267"/>
      <c r="U256" s="267">
        <f>+'ต.ค. '!U261+พ.ย.!U257+ธ.ค.!U257</f>
        <v>0</v>
      </c>
      <c r="V256" s="267">
        <f>+'ต.ค. '!V261+พ.ย.!V257+ธ.ค.!V257</f>
        <v>0</v>
      </c>
    </row>
    <row r="257" spans="1:23" ht="25.5" customHeight="1" thickBot="1">
      <c r="A257" s="24"/>
      <c r="B257" s="45" t="s">
        <v>5</v>
      </c>
      <c r="C257" s="170">
        <f>SUM(C226:C256)</f>
        <v>2383100</v>
      </c>
      <c r="D257" s="255">
        <f>SUM(D226:D256)</f>
        <v>0</v>
      </c>
      <c r="E257" s="254">
        <f t="shared" ref="E257:V257" si="7">SUM(E226:E256)</f>
        <v>0</v>
      </c>
      <c r="F257" s="254">
        <f t="shared" si="7"/>
        <v>0</v>
      </c>
      <c r="G257" s="254">
        <f t="shared" si="7"/>
        <v>0</v>
      </c>
      <c r="H257" s="254">
        <f t="shared" si="7"/>
        <v>0</v>
      </c>
      <c r="I257" s="255">
        <f t="shared" si="7"/>
        <v>0</v>
      </c>
      <c r="J257" s="255">
        <f t="shared" si="7"/>
        <v>0</v>
      </c>
      <c r="K257" s="255">
        <f t="shared" si="7"/>
        <v>0</v>
      </c>
      <c r="L257" s="255">
        <f t="shared" si="7"/>
        <v>0</v>
      </c>
      <c r="M257" s="254">
        <f t="shared" si="7"/>
        <v>0</v>
      </c>
      <c r="N257" s="255">
        <f t="shared" si="7"/>
        <v>406000</v>
      </c>
      <c r="O257" s="255">
        <f t="shared" si="7"/>
        <v>0</v>
      </c>
      <c r="P257" s="255">
        <f t="shared" si="7"/>
        <v>0</v>
      </c>
      <c r="Q257" s="255">
        <f t="shared" si="7"/>
        <v>0</v>
      </c>
      <c r="R257" s="255">
        <f t="shared" si="7"/>
        <v>0</v>
      </c>
      <c r="S257" s="255">
        <f t="shared" si="7"/>
        <v>0</v>
      </c>
      <c r="T257" s="255"/>
      <c r="U257" s="255">
        <f t="shared" si="7"/>
        <v>0</v>
      </c>
      <c r="V257" s="255">
        <f t="shared" si="7"/>
        <v>0</v>
      </c>
      <c r="W257" s="314">
        <f>SUM(D257:V257)</f>
        <v>406000</v>
      </c>
    </row>
    <row r="258" spans="1:23" ht="25.5" customHeight="1" thickTop="1">
      <c r="A258" s="50" t="s">
        <v>149</v>
      </c>
      <c r="B258" s="4"/>
      <c r="C258" s="193"/>
      <c r="D258" s="133"/>
      <c r="E258" s="269"/>
      <c r="F258" s="136"/>
      <c r="G258" s="136"/>
      <c r="H258" s="136"/>
      <c r="I258" s="133"/>
      <c r="J258" s="133"/>
      <c r="K258" s="133"/>
      <c r="L258" s="133"/>
      <c r="M258" s="136"/>
      <c r="N258" s="133"/>
      <c r="O258" s="133"/>
      <c r="P258" s="133"/>
      <c r="Q258" s="133"/>
      <c r="R258" s="258"/>
      <c r="S258" s="259"/>
      <c r="T258" s="259"/>
      <c r="U258" s="258"/>
      <c r="V258" s="258"/>
    </row>
    <row r="259" spans="1:23" ht="25.5" customHeight="1">
      <c r="A259" s="9"/>
      <c r="B259" s="186"/>
      <c r="C259" s="296"/>
      <c r="D259" s="133"/>
      <c r="E259" s="269"/>
      <c r="F259" s="136"/>
      <c r="G259" s="136"/>
      <c r="H259" s="136"/>
      <c r="I259" s="133"/>
      <c r="J259" s="133"/>
      <c r="K259" s="133"/>
      <c r="L259" s="133"/>
      <c r="M259" s="136"/>
      <c r="N259" s="133"/>
      <c r="O259" s="133"/>
      <c r="P259" s="133"/>
      <c r="Q259" s="133"/>
      <c r="R259" s="258"/>
      <c r="S259" s="259"/>
      <c r="T259" s="259"/>
      <c r="U259" s="258"/>
      <c r="V259" s="258"/>
    </row>
    <row r="260" spans="1:23" ht="25.5" customHeight="1">
      <c r="A260" s="9"/>
      <c r="B260" s="186"/>
      <c r="C260" s="296"/>
      <c r="D260" s="133"/>
      <c r="E260" s="269"/>
      <c r="F260" s="136"/>
      <c r="G260" s="136"/>
      <c r="H260" s="136"/>
      <c r="I260" s="133"/>
      <c r="J260" s="133"/>
      <c r="K260" s="133"/>
      <c r="L260" s="133"/>
      <c r="M260" s="136"/>
      <c r="N260" s="133"/>
      <c r="O260" s="133"/>
      <c r="P260" s="133"/>
      <c r="Q260" s="133"/>
      <c r="R260" s="258"/>
      <c r="S260" s="259"/>
      <c r="T260" s="259"/>
      <c r="U260" s="258"/>
      <c r="V260" s="258"/>
    </row>
    <row r="261" spans="1:23" ht="25.5" customHeight="1">
      <c r="A261" s="9"/>
      <c r="B261" s="186"/>
      <c r="C261" s="296"/>
      <c r="D261" s="133"/>
      <c r="E261" s="269"/>
      <c r="F261" s="136"/>
      <c r="G261" s="136"/>
      <c r="H261" s="136"/>
      <c r="I261" s="133"/>
      <c r="J261" s="133"/>
      <c r="K261" s="133"/>
      <c r="L261" s="133"/>
      <c r="M261" s="136"/>
      <c r="N261" s="133"/>
      <c r="O261" s="133"/>
      <c r="P261" s="133"/>
      <c r="Q261" s="133"/>
      <c r="R261" s="258"/>
      <c r="S261" s="259"/>
      <c r="T261" s="259"/>
      <c r="U261" s="258"/>
      <c r="V261" s="258"/>
    </row>
    <row r="262" spans="1:23" ht="25.5" customHeight="1">
      <c r="A262" s="9"/>
      <c r="B262" s="186"/>
      <c r="C262" s="296"/>
      <c r="D262" s="131"/>
      <c r="E262" s="267"/>
      <c r="F262" s="135"/>
      <c r="G262" s="135"/>
      <c r="H262" s="135"/>
      <c r="I262" s="131"/>
      <c r="J262" s="131"/>
      <c r="K262" s="131"/>
      <c r="L262" s="131"/>
      <c r="M262" s="135"/>
      <c r="N262" s="131"/>
      <c r="O262" s="131"/>
      <c r="P262" s="131"/>
      <c r="Q262" s="131"/>
      <c r="R262" s="217"/>
      <c r="S262" s="219"/>
      <c r="T262" s="219"/>
      <c r="U262" s="217"/>
      <c r="V262" s="217"/>
    </row>
    <row r="263" spans="1:23" ht="25.5" customHeight="1">
      <c r="A263" s="9"/>
      <c r="B263" s="186"/>
      <c r="C263" s="296"/>
      <c r="D263" s="131"/>
      <c r="E263" s="267"/>
      <c r="F263" s="135"/>
      <c r="G263" s="135"/>
      <c r="H263" s="135"/>
      <c r="I263" s="131"/>
      <c r="J263" s="131"/>
      <c r="K263" s="131"/>
      <c r="L263" s="131"/>
      <c r="M263" s="135"/>
      <c r="N263" s="131"/>
      <c r="O263" s="131"/>
      <c r="P263" s="131"/>
      <c r="Q263" s="131"/>
      <c r="R263" s="217"/>
      <c r="S263" s="219"/>
      <c r="T263" s="219"/>
      <c r="U263" s="217"/>
      <c r="V263" s="217"/>
    </row>
    <row r="264" spans="1:23" ht="25.5" customHeight="1">
      <c r="A264" s="9"/>
      <c r="B264" s="186"/>
      <c r="C264" s="296"/>
      <c r="D264" s="131"/>
      <c r="E264" s="267"/>
      <c r="F264" s="135"/>
      <c r="G264" s="135"/>
      <c r="H264" s="135"/>
      <c r="I264" s="131"/>
      <c r="J264" s="131"/>
      <c r="K264" s="131"/>
      <c r="L264" s="131"/>
      <c r="M264" s="135"/>
      <c r="N264" s="131"/>
      <c r="O264" s="131"/>
      <c r="P264" s="131"/>
      <c r="Q264" s="131"/>
      <c r="R264" s="217"/>
      <c r="S264" s="219"/>
      <c r="T264" s="219"/>
      <c r="U264" s="217"/>
      <c r="V264" s="217"/>
    </row>
    <row r="265" spans="1:23" ht="25.5" customHeight="1">
      <c r="A265" s="9"/>
      <c r="B265" s="186"/>
      <c r="C265" s="296"/>
      <c r="D265" s="131"/>
      <c r="E265" s="267"/>
      <c r="F265" s="135"/>
      <c r="G265" s="135"/>
      <c r="H265" s="135"/>
      <c r="I265" s="131"/>
      <c r="J265" s="131"/>
      <c r="K265" s="131"/>
      <c r="L265" s="131"/>
      <c r="M265" s="135"/>
      <c r="N265" s="131"/>
      <c r="O265" s="131"/>
      <c r="P265" s="131"/>
      <c r="Q265" s="131"/>
      <c r="R265" s="217"/>
      <c r="S265" s="219"/>
      <c r="T265" s="219"/>
      <c r="U265" s="217"/>
      <c r="V265" s="217"/>
    </row>
    <row r="266" spans="1:23" ht="25.5" customHeight="1">
      <c r="A266" s="9"/>
      <c r="B266" s="186"/>
      <c r="C266" s="296"/>
      <c r="D266" s="131"/>
      <c r="E266" s="267"/>
      <c r="F266" s="135"/>
      <c r="G266" s="135"/>
      <c r="H266" s="135"/>
      <c r="I266" s="131"/>
      <c r="J266" s="131"/>
      <c r="K266" s="131"/>
      <c r="L266" s="131"/>
      <c r="M266" s="135"/>
      <c r="N266" s="131"/>
      <c r="O266" s="131"/>
      <c r="P266" s="131"/>
      <c r="Q266" s="131"/>
      <c r="R266" s="217"/>
      <c r="S266" s="219"/>
      <c r="T266" s="219"/>
      <c r="U266" s="217"/>
      <c r="V266" s="217"/>
    </row>
    <row r="267" spans="1:23" ht="25.5" customHeight="1" thickBot="1">
      <c r="A267" s="15"/>
      <c r="B267" s="14" t="s">
        <v>5</v>
      </c>
      <c r="C267" s="170">
        <f>SUM(C259:C266)</f>
        <v>0</v>
      </c>
      <c r="D267" s="255">
        <f>SUM(D259:D266)</f>
        <v>0</v>
      </c>
      <c r="E267" s="254">
        <f t="shared" ref="E267:V267" si="8">SUM(E259:E266)</f>
        <v>0</v>
      </c>
      <c r="F267" s="254">
        <f t="shared" si="8"/>
        <v>0</v>
      </c>
      <c r="G267" s="254">
        <f t="shared" si="8"/>
        <v>0</v>
      </c>
      <c r="H267" s="254">
        <f t="shared" si="8"/>
        <v>0</v>
      </c>
      <c r="I267" s="255">
        <f t="shared" si="8"/>
        <v>0</v>
      </c>
      <c r="J267" s="255">
        <f t="shared" si="8"/>
        <v>0</v>
      </c>
      <c r="K267" s="255">
        <f t="shared" si="8"/>
        <v>0</v>
      </c>
      <c r="L267" s="255">
        <f t="shared" si="8"/>
        <v>0</v>
      </c>
      <c r="M267" s="254">
        <f t="shared" si="8"/>
        <v>0</v>
      </c>
      <c r="N267" s="255">
        <f t="shared" si="8"/>
        <v>0</v>
      </c>
      <c r="O267" s="255">
        <f t="shared" si="8"/>
        <v>0</v>
      </c>
      <c r="P267" s="255">
        <f t="shared" si="8"/>
        <v>0</v>
      </c>
      <c r="Q267" s="255">
        <f t="shared" si="8"/>
        <v>0</v>
      </c>
      <c r="R267" s="255">
        <f t="shared" si="8"/>
        <v>0</v>
      </c>
      <c r="S267" s="255">
        <f t="shared" si="8"/>
        <v>0</v>
      </c>
      <c r="T267" s="255"/>
      <c r="U267" s="255">
        <f t="shared" si="8"/>
        <v>0</v>
      </c>
      <c r="V267" s="255">
        <f t="shared" si="8"/>
        <v>0</v>
      </c>
      <c r="W267" s="314">
        <f>SUM(D267:V267)</f>
        <v>0</v>
      </c>
    </row>
    <row r="268" spans="1:23" ht="25.5" customHeight="1" thickTop="1">
      <c r="A268" s="20" t="s">
        <v>24</v>
      </c>
      <c r="B268" s="23"/>
      <c r="C268" s="190"/>
      <c r="D268" s="133"/>
      <c r="E268" s="269"/>
      <c r="F268" s="136"/>
      <c r="G268" s="136"/>
      <c r="H268" s="136"/>
      <c r="I268" s="133"/>
      <c r="J268" s="133"/>
      <c r="K268" s="133"/>
      <c r="L268" s="133"/>
      <c r="M268" s="136"/>
      <c r="N268" s="133"/>
      <c r="O268" s="133"/>
      <c r="P268" s="133"/>
      <c r="Q268" s="133"/>
      <c r="R268" s="258"/>
      <c r="S268" s="259"/>
      <c r="T268" s="259"/>
      <c r="U268" s="258"/>
      <c r="V268" s="258"/>
    </row>
    <row r="269" spans="1:23" ht="25.5" customHeight="1">
      <c r="A269" s="20"/>
      <c r="B269" s="130" t="s">
        <v>406</v>
      </c>
      <c r="C269" s="192">
        <v>121500</v>
      </c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20"/>
      <c r="B270" s="130" t="s">
        <v>405</v>
      </c>
      <c r="C270" s="192">
        <v>105000</v>
      </c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 thickBot="1">
      <c r="A271" s="15"/>
      <c r="B271" s="14" t="s">
        <v>5</v>
      </c>
      <c r="C271" s="298">
        <f>SUM(C269:C270)</f>
        <v>226500</v>
      </c>
      <c r="D271" s="255">
        <f>SUM(D269:D270)</f>
        <v>0</v>
      </c>
      <c r="E271" s="254">
        <f t="shared" ref="E271:V271" si="9">SUM(E269:E270)</f>
        <v>0</v>
      </c>
      <c r="F271" s="254">
        <f t="shared" si="9"/>
        <v>0</v>
      </c>
      <c r="G271" s="254">
        <f t="shared" si="9"/>
        <v>0</v>
      </c>
      <c r="H271" s="254">
        <f t="shared" si="9"/>
        <v>0</v>
      </c>
      <c r="I271" s="255">
        <f t="shared" si="9"/>
        <v>0</v>
      </c>
      <c r="J271" s="255">
        <f t="shared" si="9"/>
        <v>0</v>
      </c>
      <c r="K271" s="255">
        <f t="shared" si="9"/>
        <v>0</v>
      </c>
      <c r="L271" s="255">
        <f t="shared" si="9"/>
        <v>0</v>
      </c>
      <c r="M271" s="254">
        <f t="shared" si="9"/>
        <v>0</v>
      </c>
      <c r="N271" s="255">
        <f t="shared" si="9"/>
        <v>0</v>
      </c>
      <c r="O271" s="255">
        <f t="shared" si="9"/>
        <v>0</v>
      </c>
      <c r="P271" s="255">
        <f t="shared" si="9"/>
        <v>0</v>
      </c>
      <c r="Q271" s="255">
        <f t="shared" si="9"/>
        <v>0</v>
      </c>
      <c r="R271" s="255">
        <f t="shared" si="9"/>
        <v>0</v>
      </c>
      <c r="S271" s="255">
        <f t="shared" si="9"/>
        <v>0</v>
      </c>
      <c r="T271" s="255"/>
      <c r="U271" s="255">
        <f t="shared" si="9"/>
        <v>0</v>
      </c>
      <c r="V271" s="255">
        <f t="shared" si="9"/>
        <v>0</v>
      </c>
      <c r="W271" s="314">
        <f>SUM(D271:V271)</f>
        <v>0</v>
      </c>
    </row>
    <row r="272" spans="1:23" ht="25.5" customHeight="1" thickTop="1">
      <c r="A272" s="20" t="s">
        <v>44</v>
      </c>
      <c r="B272" s="23"/>
      <c r="C272" s="193"/>
      <c r="D272" s="133"/>
      <c r="E272" s="269"/>
      <c r="F272" s="136"/>
      <c r="G272" s="136"/>
      <c r="H272" s="136"/>
      <c r="I272" s="133"/>
      <c r="J272" s="133"/>
      <c r="K272" s="133"/>
      <c r="L272" s="133"/>
      <c r="M272" s="136"/>
      <c r="N272" s="133"/>
      <c r="O272" s="133"/>
      <c r="P272" s="133"/>
      <c r="Q272" s="133"/>
      <c r="R272" s="258"/>
      <c r="S272" s="259"/>
      <c r="T272" s="259"/>
      <c r="U272" s="258"/>
      <c r="V272" s="258"/>
    </row>
    <row r="273" spans="1:24" ht="25.5" customHeight="1">
      <c r="A273" s="20"/>
      <c r="B273" s="185" t="s">
        <v>420</v>
      </c>
      <c r="C273" s="192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4" ht="25.5" customHeight="1">
      <c r="A274" s="20"/>
      <c r="B274" s="185"/>
      <c r="C274" s="190"/>
      <c r="D274" s="133"/>
      <c r="E274" s="269"/>
      <c r="F274" s="136"/>
      <c r="G274" s="136"/>
      <c r="H274" s="136"/>
      <c r="I274" s="133"/>
      <c r="J274" s="133"/>
      <c r="K274" s="133"/>
      <c r="L274" s="133"/>
      <c r="M274" s="136"/>
      <c r="N274" s="133"/>
      <c r="O274" s="133"/>
      <c r="P274" s="133"/>
      <c r="Q274" s="133"/>
      <c r="R274" s="258"/>
      <c r="S274" s="259"/>
      <c r="T274" s="259"/>
      <c r="U274" s="258"/>
      <c r="V274" s="258"/>
    </row>
    <row r="275" spans="1:24" ht="25.5" customHeight="1" thickBot="1">
      <c r="A275" s="15"/>
      <c r="B275" s="53" t="s">
        <v>5</v>
      </c>
      <c r="C275" s="105">
        <f>SUM(C273:C274)</f>
        <v>0</v>
      </c>
      <c r="D275" s="255">
        <f>SUM(D273:D274)</f>
        <v>0</v>
      </c>
      <c r="E275" s="254">
        <f t="shared" ref="E275:V275" si="10">SUM(E273:E274)</f>
        <v>0</v>
      </c>
      <c r="F275" s="254">
        <f t="shared" si="10"/>
        <v>0</v>
      </c>
      <c r="G275" s="254">
        <f t="shared" si="10"/>
        <v>0</v>
      </c>
      <c r="H275" s="254">
        <f t="shared" si="10"/>
        <v>0</v>
      </c>
      <c r="I275" s="255">
        <f t="shared" si="10"/>
        <v>0</v>
      </c>
      <c r="J275" s="255">
        <f t="shared" si="10"/>
        <v>0</v>
      </c>
      <c r="K275" s="255">
        <f t="shared" si="10"/>
        <v>0</v>
      </c>
      <c r="L275" s="255">
        <f t="shared" si="10"/>
        <v>0</v>
      </c>
      <c r="M275" s="254">
        <f t="shared" si="10"/>
        <v>0</v>
      </c>
      <c r="N275" s="255">
        <f t="shared" si="10"/>
        <v>0</v>
      </c>
      <c r="O275" s="255">
        <f t="shared" si="10"/>
        <v>0</v>
      </c>
      <c r="P275" s="255">
        <f t="shared" si="10"/>
        <v>0</v>
      </c>
      <c r="Q275" s="255">
        <f t="shared" si="10"/>
        <v>0</v>
      </c>
      <c r="R275" s="255">
        <f t="shared" si="10"/>
        <v>0</v>
      </c>
      <c r="S275" s="255">
        <f t="shared" si="10"/>
        <v>0</v>
      </c>
      <c r="T275" s="255"/>
      <c r="U275" s="255">
        <f t="shared" si="10"/>
        <v>0</v>
      </c>
      <c r="V275" s="255">
        <f t="shared" si="10"/>
        <v>0</v>
      </c>
      <c r="W275" s="314">
        <f>SUM(D275:V275)</f>
        <v>0</v>
      </c>
    </row>
    <row r="276" spans="1:24" ht="25.5" customHeight="1" thickTop="1">
      <c r="A276" s="20" t="s">
        <v>276</v>
      </c>
      <c r="B276" s="23"/>
      <c r="C276" s="193"/>
      <c r="D276" s="133"/>
      <c r="E276" s="269"/>
      <c r="F276" s="136"/>
      <c r="G276" s="136"/>
      <c r="H276" s="136"/>
      <c r="I276" s="133"/>
      <c r="J276" s="133"/>
      <c r="K276" s="133"/>
      <c r="L276" s="133"/>
      <c r="M276" s="136"/>
      <c r="N276" s="133"/>
      <c r="O276" s="133"/>
      <c r="P276" s="133"/>
      <c r="Q276" s="133"/>
      <c r="R276" s="258"/>
      <c r="S276" s="259"/>
      <c r="T276" s="259"/>
      <c r="U276" s="258"/>
      <c r="V276" s="258"/>
    </row>
    <row r="277" spans="1:24" ht="25.5" customHeight="1">
      <c r="A277" s="20"/>
      <c r="B277" s="185" t="s">
        <v>226</v>
      </c>
      <c r="C277" s="192">
        <f>+'ต.ค. '!E284+'ต.ค. '!F284+'ต.ค. '!H284+'ต.ค. '!M284</f>
        <v>37500</v>
      </c>
      <c r="D277" s="133"/>
      <c r="E277" s="136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133"/>
      <c r="S277" s="133"/>
      <c r="T277" s="133"/>
      <c r="U277" s="133"/>
      <c r="V277" s="133"/>
    </row>
    <row r="278" spans="1:24" ht="25.5" customHeight="1">
      <c r="A278" s="20"/>
      <c r="B278" s="185" t="s">
        <v>233</v>
      </c>
      <c r="C278" s="299">
        <v>7500</v>
      </c>
      <c r="D278" s="133"/>
      <c r="E278" s="136"/>
      <c r="F278" s="136"/>
      <c r="G278" s="136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133"/>
      <c r="S278" s="133"/>
      <c r="T278" s="133"/>
      <c r="U278" s="133"/>
      <c r="V278" s="133"/>
    </row>
    <row r="279" spans="1:24" ht="25.5" customHeight="1">
      <c r="A279" s="20"/>
      <c r="B279" s="274" t="s">
        <v>378</v>
      </c>
      <c r="C279" s="299">
        <v>37500</v>
      </c>
      <c r="D279" s="133"/>
      <c r="E279" s="136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133"/>
      <c r="S279" s="133"/>
      <c r="T279" s="133"/>
      <c r="U279" s="133"/>
      <c r="V279" s="133"/>
    </row>
    <row r="280" spans="1:24" ht="25.5" customHeight="1">
      <c r="A280" s="20"/>
      <c r="B280" s="185" t="s">
        <v>379</v>
      </c>
      <c r="C280" s="299">
        <v>10000</v>
      </c>
      <c r="D280" s="133"/>
      <c r="E280" s="136"/>
      <c r="F280" s="136"/>
      <c r="G280" s="136"/>
      <c r="H280" s="136"/>
      <c r="I280" s="133"/>
      <c r="J280" s="133"/>
      <c r="K280" s="133"/>
      <c r="L280" s="133"/>
      <c r="M280" s="136"/>
      <c r="N280" s="133"/>
      <c r="O280" s="133"/>
      <c r="P280" s="133"/>
      <c r="Q280" s="133"/>
      <c r="R280" s="133"/>
      <c r="S280" s="133"/>
      <c r="T280" s="133"/>
      <c r="U280" s="133"/>
      <c r="V280" s="133"/>
    </row>
    <row r="281" spans="1:24" ht="25.5" customHeight="1">
      <c r="A281" s="20"/>
      <c r="B281" s="185" t="s">
        <v>382</v>
      </c>
      <c r="C281" s="299">
        <v>1950</v>
      </c>
      <c r="D281" s="133"/>
      <c r="E281" s="136"/>
      <c r="F281" s="136"/>
      <c r="G281" s="136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133"/>
      <c r="S281" s="133"/>
      <c r="T281" s="133"/>
      <c r="U281" s="133"/>
      <c r="V281" s="133"/>
    </row>
    <row r="282" spans="1:24" ht="25.5" customHeight="1">
      <c r="A282" s="20"/>
      <c r="B282" s="185" t="s">
        <v>380</v>
      </c>
      <c r="C282" s="299">
        <v>4550</v>
      </c>
      <c r="D282" s="133"/>
      <c r="E282" s="136"/>
      <c r="F282" s="136"/>
      <c r="G282" s="136"/>
      <c r="H282" s="136"/>
      <c r="I282" s="133"/>
      <c r="J282" s="133"/>
      <c r="K282" s="133"/>
      <c r="L282" s="133"/>
      <c r="M282" s="136"/>
      <c r="N282" s="133"/>
      <c r="O282" s="133"/>
      <c r="P282" s="133"/>
      <c r="Q282" s="133"/>
      <c r="R282" s="133"/>
      <c r="S282" s="133"/>
      <c r="T282" s="133"/>
      <c r="U282" s="133"/>
      <c r="V282" s="133"/>
    </row>
    <row r="283" spans="1:24" ht="25.5" customHeight="1">
      <c r="A283" s="20"/>
      <c r="B283" s="185" t="s">
        <v>386</v>
      </c>
      <c r="C283" s="192">
        <v>409940.96</v>
      </c>
      <c r="D283" s="133"/>
      <c r="E283" s="136"/>
      <c r="F283" s="136"/>
      <c r="G283" s="136"/>
      <c r="H283" s="136"/>
      <c r="I283" s="133"/>
      <c r="J283" s="133"/>
      <c r="K283" s="133"/>
      <c r="L283" s="133"/>
      <c r="M283" s="136"/>
      <c r="N283" s="133"/>
      <c r="O283" s="133"/>
      <c r="P283" s="133"/>
      <c r="Q283" s="133"/>
      <c r="R283" s="133"/>
      <c r="S283" s="133"/>
      <c r="T283" s="133"/>
      <c r="U283" s="133"/>
      <c r="V283" s="133"/>
    </row>
    <row r="284" spans="1:24" ht="25.5" customHeight="1">
      <c r="A284" s="20"/>
      <c r="B284" s="185" t="s">
        <v>387</v>
      </c>
      <c r="C284" s="192">
        <v>40000</v>
      </c>
      <c r="D284" s="133"/>
      <c r="E284" s="136"/>
      <c r="F284" s="136"/>
      <c r="G284" s="136"/>
      <c r="H284" s="136"/>
      <c r="I284" s="133"/>
      <c r="J284" s="133"/>
      <c r="K284" s="133"/>
      <c r="L284" s="133"/>
      <c r="M284" s="136"/>
      <c r="N284" s="133"/>
      <c r="O284" s="133"/>
      <c r="P284" s="133"/>
      <c r="Q284" s="133"/>
      <c r="R284" s="133"/>
      <c r="S284" s="133"/>
      <c r="T284" s="133"/>
      <c r="U284" s="133"/>
      <c r="V284" s="133"/>
    </row>
    <row r="285" spans="1:24" ht="25.5" customHeight="1">
      <c r="A285" s="20"/>
      <c r="B285" s="347" t="s">
        <v>409</v>
      </c>
      <c r="C285" s="192">
        <v>175000</v>
      </c>
      <c r="D285" s="131"/>
      <c r="E285" s="135"/>
      <c r="F285" s="135"/>
      <c r="G285" s="135"/>
      <c r="H285" s="135"/>
      <c r="I285" s="131"/>
      <c r="J285" s="131"/>
      <c r="K285" s="131"/>
      <c r="L285" s="131"/>
      <c r="M285" s="135"/>
      <c r="N285" s="131"/>
      <c r="O285" s="131"/>
      <c r="P285" s="131"/>
      <c r="Q285" s="131"/>
      <c r="R285" s="131"/>
      <c r="S285" s="131"/>
      <c r="T285" s="131"/>
      <c r="U285" s="131"/>
      <c r="V285" s="131"/>
    </row>
    <row r="286" spans="1:24" ht="25.5" customHeight="1">
      <c r="A286" s="20"/>
      <c r="B286" s="348"/>
      <c r="C286" s="350"/>
      <c r="D286" s="345"/>
      <c r="E286" s="346"/>
      <c r="F286" s="346"/>
      <c r="G286" s="346"/>
      <c r="H286" s="346"/>
      <c r="I286" s="345"/>
      <c r="J286" s="345"/>
      <c r="K286" s="345"/>
      <c r="L286" s="345"/>
      <c r="M286" s="346"/>
      <c r="N286" s="345"/>
      <c r="O286" s="345"/>
      <c r="P286" s="345"/>
      <c r="Q286" s="345"/>
      <c r="R286" s="345"/>
      <c r="S286" s="345"/>
      <c r="T286" s="345"/>
      <c r="U286" s="345"/>
      <c r="V286" s="345"/>
    </row>
    <row r="287" spans="1:24" ht="25.5" customHeight="1" thickBot="1">
      <c r="A287" s="15"/>
      <c r="B287" s="53" t="s">
        <v>5</v>
      </c>
      <c r="C287" s="105">
        <f>SUM(C277:C286)</f>
        <v>723940.96</v>
      </c>
      <c r="D287" s="132">
        <f>SUM(D277:D284)</f>
        <v>0</v>
      </c>
      <c r="E287" s="137">
        <f>SUM(E277:E284)</f>
        <v>0</v>
      </c>
      <c r="F287" s="137">
        <f>SUM(F277:F284)</f>
        <v>0</v>
      </c>
      <c r="G287" s="137">
        <f t="shared" ref="G287:V287" si="11">SUM(G277:G284)</f>
        <v>0</v>
      </c>
      <c r="H287" s="137">
        <f>SUM(H277:H284)</f>
        <v>0</v>
      </c>
      <c r="I287" s="132">
        <f>SUM(I277:I284)</f>
        <v>0</v>
      </c>
      <c r="J287" s="132">
        <f t="shared" si="11"/>
        <v>0</v>
      </c>
      <c r="K287" s="132">
        <f t="shared" si="11"/>
        <v>0</v>
      </c>
      <c r="L287" s="132">
        <f t="shared" si="11"/>
        <v>0</v>
      </c>
      <c r="M287" s="137">
        <f>SUM(M277:M284)</f>
        <v>0</v>
      </c>
      <c r="N287" s="132">
        <f>SUM(N277:N286)</f>
        <v>0</v>
      </c>
      <c r="O287" s="132">
        <f t="shared" si="11"/>
        <v>0</v>
      </c>
      <c r="P287" s="132">
        <f t="shared" si="11"/>
        <v>0</v>
      </c>
      <c r="Q287" s="132">
        <f t="shared" si="11"/>
        <v>0</v>
      </c>
      <c r="R287" s="132">
        <f t="shared" si="11"/>
        <v>0</v>
      </c>
      <c r="S287" s="132">
        <f t="shared" si="11"/>
        <v>0</v>
      </c>
      <c r="T287" s="132"/>
      <c r="U287" s="132">
        <f t="shared" si="11"/>
        <v>0</v>
      </c>
      <c r="V287" s="132">
        <f t="shared" si="11"/>
        <v>0</v>
      </c>
      <c r="W287" s="318">
        <f>SUM(D287:V287)</f>
        <v>0</v>
      </c>
    </row>
    <row r="288" spans="1:24" ht="25.5" customHeight="1" thickTop="1" thickBot="1">
      <c r="A288" s="16"/>
      <c r="B288" s="52" t="s">
        <v>49</v>
      </c>
      <c r="C288" s="229">
        <f>+C267+C257+C220+C209+C203++C48+C38+C21+C175+C28+C223</f>
        <v>39148280</v>
      </c>
      <c r="D288" s="229">
        <f t="shared" ref="D288:V288" si="12">+D267+D257+D220+D209+D203++D48+D38+D21+D175+D28+D223</f>
        <v>760964</v>
      </c>
      <c r="E288" s="229">
        <f t="shared" si="12"/>
        <v>812952.07000000007</v>
      </c>
      <c r="F288" s="229">
        <f t="shared" si="12"/>
        <v>179197</v>
      </c>
      <c r="G288" s="229">
        <f t="shared" si="12"/>
        <v>8168</v>
      </c>
      <c r="H288" s="229">
        <f t="shared" si="12"/>
        <v>431965.17</v>
      </c>
      <c r="I288" s="229">
        <f t="shared" si="12"/>
        <v>326881.24</v>
      </c>
      <c r="J288" s="229">
        <f t="shared" si="12"/>
        <v>0</v>
      </c>
      <c r="K288" s="229">
        <f t="shared" si="12"/>
        <v>0</v>
      </c>
      <c r="L288" s="229">
        <f t="shared" si="12"/>
        <v>0</v>
      </c>
      <c r="M288" s="229">
        <f t="shared" si="12"/>
        <v>209412.8</v>
      </c>
      <c r="N288" s="229">
        <f t="shared" si="12"/>
        <v>406000</v>
      </c>
      <c r="O288" s="229">
        <f t="shared" si="12"/>
        <v>0</v>
      </c>
      <c r="P288" s="229">
        <f t="shared" si="12"/>
        <v>3600</v>
      </c>
      <c r="Q288" s="229">
        <f t="shared" si="12"/>
        <v>0</v>
      </c>
      <c r="R288" s="229">
        <f t="shared" si="12"/>
        <v>0</v>
      </c>
      <c r="S288" s="229">
        <f t="shared" si="12"/>
        <v>1000</v>
      </c>
      <c r="T288" s="229"/>
      <c r="U288" s="229">
        <f t="shared" si="12"/>
        <v>0</v>
      </c>
      <c r="V288" s="51">
        <f t="shared" si="12"/>
        <v>0</v>
      </c>
      <c r="W288" s="353">
        <f>SUM(D288:V288)</f>
        <v>3140140.2800000003</v>
      </c>
      <c r="X288" s="34"/>
    </row>
    <row r="289" spans="1:24" ht="25.5" customHeight="1" thickTop="1" thickBot="1">
      <c r="A289" s="16"/>
      <c r="B289" s="41" t="s">
        <v>25</v>
      </c>
      <c r="C289" s="260">
        <f>+C287+C275+C271+C267+C257+C223+C220+C209+C175+C48+C28+C21+C38++C203</f>
        <v>40098720.960000001</v>
      </c>
      <c r="D289" s="260">
        <f>+D287+D275+D271+D267+D257+D223+D220+D209+D175+D48+D28+D21+D38++D203</f>
        <v>760964</v>
      </c>
      <c r="E289" s="260">
        <f t="shared" ref="E289:V289" si="13">+E287+E275+E271+E267+E257+E223+E220+E209+E175+E48+E28+E21+E38++E203</f>
        <v>812952.07000000007</v>
      </c>
      <c r="F289" s="260">
        <f t="shared" si="13"/>
        <v>179197</v>
      </c>
      <c r="G289" s="260">
        <f t="shared" si="13"/>
        <v>8168</v>
      </c>
      <c r="H289" s="260">
        <f t="shared" si="13"/>
        <v>431965.17</v>
      </c>
      <c r="I289" s="260">
        <f t="shared" si="13"/>
        <v>326881.24</v>
      </c>
      <c r="J289" s="260">
        <f t="shared" si="13"/>
        <v>0</v>
      </c>
      <c r="K289" s="260">
        <f t="shared" si="13"/>
        <v>0</v>
      </c>
      <c r="L289" s="260">
        <f t="shared" si="13"/>
        <v>0</v>
      </c>
      <c r="M289" s="260">
        <f t="shared" si="13"/>
        <v>209412.8</v>
      </c>
      <c r="N289" s="260">
        <f t="shared" si="13"/>
        <v>406000</v>
      </c>
      <c r="O289" s="260">
        <f t="shared" si="13"/>
        <v>0</v>
      </c>
      <c r="P289" s="260">
        <f t="shared" si="13"/>
        <v>3600</v>
      </c>
      <c r="Q289" s="260">
        <f t="shared" si="13"/>
        <v>0</v>
      </c>
      <c r="R289" s="260">
        <f t="shared" si="13"/>
        <v>0</v>
      </c>
      <c r="S289" s="260">
        <f t="shared" si="13"/>
        <v>1000</v>
      </c>
      <c r="T289" s="260"/>
      <c r="U289" s="260">
        <f t="shared" si="13"/>
        <v>0</v>
      </c>
      <c r="V289" s="309">
        <f t="shared" si="13"/>
        <v>0</v>
      </c>
      <c r="W289" s="354">
        <f>SUM(D289:V289)</f>
        <v>3140140.2800000003</v>
      </c>
      <c r="X289" s="34"/>
    </row>
    <row r="290" spans="1:24" ht="25.5" customHeight="1" thickTop="1">
      <c r="B290" s="246" t="s">
        <v>273</v>
      </c>
      <c r="C290" s="182"/>
      <c r="D290" s="300"/>
      <c r="E290" s="301"/>
      <c r="F290" s="302"/>
      <c r="G290" s="302"/>
      <c r="H290" s="302"/>
      <c r="I290" s="300"/>
      <c r="J290" s="300"/>
      <c r="K290" s="300"/>
      <c r="L290" s="300"/>
      <c r="M290" s="302"/>
      <c r="N290" s="300"/>
      <c r="O290" s="300"/>
      <c r="P290" s="300"/>
      <c r="Q290" s="300"/>
      <c r="R290" s="303"/>
      <c r="S290" s="304"/>
      <c r="T290" s="304"/>
      <c r="U290" s="303"/>
      <c r="V290" s="303"/>
      <c r="W290" s="355"/>
      <c r="X290" s="34"/>
    </row>
    <row r="291" spans="1:24" ht="25.5" customHeight="1">
      <c r="C291" s="182"/>
      <c r="D291" s="35"/>
      <c r="E291" s="266"/>
      <c r="F291" s="134"/>
      <c r="G291" s="134"/>
      <c r="H291" s="134"/>
      <c r="I291" s="35"/>
      <c r="J291" s="35"/>
      <c r="K291" s="35"/>
      <c r="L291" s="35"/>
      <c r="M291" s="134"/>
      <c r="N291" s="35"/>
      <c r="O291" s="35"/>
      <c r="P291" s="35"/>
      <c r="Q291" s="35"/>
      <c r="R291" s="34"/>
      <c r="S291" s="171"/>
      <c r="T291" s="171"/>
      <c r="U291" s="34"/>
      <c r="V291" s="34"/>
      <c r="W291" s="34"/>
      <c r="X291" s="34"/>
    </row>
    <row r="292" spans="1:24" ht="25.5" customHeight="1">
      <c r="C292" s="182"/>
      <c r="D292" s="35"/>
      <c r="E292" s="266"/>
      <c r="F292" s="134"/>
      <c r="G292" s="134"/>
      <c r="H292" s="134"/>
      <c r="I292" s="35"/>
      <c r="J292" s="35"/>
      <c r="K292" s="35"/>
      <c r="L292" s="35"/>
      <c r="M292" s="134"/>
      <c r="N292" s="35"/>
      <c r="O292" s="35"/>
      <c r="P292" s="35"/>
      <c r="Q292" s="35"/>
      <c r="R292" s="34"/>
      <c r="S292" s="171"/>
      <c r="T292" s="171"/>
      <c r="U292" s="34"/>
      <c r="V292" s="34"/>
      <c r="W292" s="253">
        <f>39148280-C288</f>
        <v>0</v>
      </c>
    </row>
    <row r="293" spans="1:24" ht="25.5" customHeight="1">
      <c r="B293" s="253">
        <f>39148280-C288</f>
        <v>0</v>
      </c>
      <c r="C293" s="182"/>
      <c r="D293" s="181"/>
      <c r="E293" s="272"/>
      <c r="F293" s="265"/>
      <c r="G293" s="265"/>
      <c r="H293" s="265"/>
      <c r="I293" s="181"/>
      <c r="J293" s="181"/>
      <c r="K293" s="181"/>
      <c r="L293" s="181"/>
      <c r="M293" s="265"/>
      <c r="N293" s="181"/>
      <c r="O293" s="181"/>
      <c r="P293" s="181"/>
      <c r="Q293" s="181"/>
      <c r="R293" s="221"/>
      <c r="S293" s="234"/>
      <c r="T293" s="234"/>
      <c r="U293" s="221"/>
      <c r="V293" s="221"/>
      <c r="W293" s="322">
        <v>3070422.84</v>
      </c>
    </row>
    <row r="294" spans="1:24" ht="25.5" customHeight="1">
      <c r="C294" s="182"/>
      <c r="D294" s="181"/>
      <c r="E294" s="272"/>
      <c r="F294" s="265"/>
      <c r="G294" s="265"/>
      <c r="H294" s="265"/>
      <c r="I294" s="181"/>
      <c r="J294" s="181"/>
      <c r="K294" s="181"/>
      <c r="L294" s="181"/>
      <c r="M294" s="265"/>
      <c r="N294" s="181"/>
      <c r="O294" s="181"/>
      <c r="P294" s="181"/>
      <c r="Q294" s="181"/>
      <c r="R294" s="221"/>
      <c r="S294" s="234"/>
      <c r="T294" s="234"/>
      <c r="U294" s="221"/>
      <c r="V294" s="221"/>
      <c r="W294" s="328">
        <v>3070422.84</v>
      </c>
    </row>
    <row r="295" spans="1:24" ht="25.5" customHeight="1">
      <c r="C295" s="182"/>
      <c r="D295" s="181"/>
      <c r="E295" s="272"/>
      <c r="F295" s="265"/>
      <c r="G295" s="265"/>
      <c r="H295" s="265"/>
      <c r="I295" s="181"/>
      <c r="J295" s="181"/>
      <c r="K295" s="181"/>
      <c r="L295" s="181"/>
      <c r="M295" s="265"/>
      <c r="N295" s="181"/>
      <c r="O295" s="181"/>
      <c r="P295" s="181"/>
      <c r="Q295" s="181"/>
      <c r="R295" s="221"/>
      <c r="S295" s="234"/>
      <c r="T295" s="234"/>
      <c r="U295" s="221"/>
      <c r="V295" s="221"/>
      <c r="W295" s="321"/>
    </row>
    <row r="296" spans="1:24" ht="25.5" customHeight="1">
      <c r="D296" s="181"/>
      <c r="E296" s="272"/>
      <c r="F296" s="265"/>
      <c r="G296" s="265"/>
      <c r="H296" s="265"/>
      <c r="I296" s="181"/>
      <c r="J296" s="181"/>
      <c r="K296" s="181"/>
      <c r="L296" s="181"/>
      <c r="M296" s="265"/>
      <c r="N296" s="181"/>
      <c r="O296" s="181"/>
      <c r="P296" s="181"/>
      <c r="Q296" s="181"/>
      <c r="R296" s="221"/>
      <c r="S296" s="234"/>
      <c r="T296" s="234"/>
      <c r="U296" s="221"/>
      <c r="V296" s="221"/>
      <c r="W296" s="321"/>
    </row>
    <row r="297" spans="1:24" ht="25.5" customHeight="1">
      <c r="D297" s="181"/>
      <c r="E297" s="272"/>
      <c r="F297" s="265"/>
      <c r="G297" s="265"/>
      <c r="H297" s="265"/>
      <c r="I297" s="181"/>
      <c r="J297" s="181"/>
      <c r="K297" s="181"/>
      <c r="L297" s="181"/>
      <c r="M297" s="265"/>
      <c r="N297" s="181"/>
      <c r="O297" s="181"/>
      <c r="P297" s="181"/>
      <c r="Q297" s="181"/>
      <c r="R297" s="221"/>
      <c r="S297" s="234"/>
      <c r="T297" s="234"/>
      <c r="U297" s="221"/>
      <c r="V297" s="221"/>
    </row>
    <row r="298" spans="1:24" ht="25.5" customHeight="1"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</row>
    <row r="299" spans="1:24" ht="25.5" customHeight="1"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</row>
    <row r="300" spans="1:24" ht="25.5" customHeight="1"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</row>
    <row r="301" spans="1:24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</row>
    <row r="302" spans="1:24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4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4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1:24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1:24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1:24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1:24" s="310" customFormat="1" ht="25.5" customHeight="1">
      <c r="A308"/>
      <c r="B308"/>
      <c r="C308" s="282"/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  <c r="X308"/>
    </row>
    <row r="309" spans="1:24" s="310" customFormat="1" ht="25.5" customHeight="1">
      <c r="A309"/>
      <c r="B309"/>
      <c r="C309" s="282"/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  <c r="X309"/>
    </row>
    <row r="310" spans="1:24" s="310" customFormat="1" ht="25.5" customHeight="1">
      <c r="A310"/>
      <c r="B310"/>
      <c r="C310" s="282"/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  <c r="X310"/>
    </row>
    <row r="311" spans="1:24" s="310" customFormat="1" ht="25.5" customHeight="1">
      <c r="A311"/>
      <c r="B311"/>
      <c r="C311" s="282"/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  <c r="X311"/>
    </row>
    <row r="312" spans="1:24" s="310" customFormat="1" ht="25.5" customHeight="1">
      <c r="A312"/>
      <c r="B312"/>
      <c r="C312" s="282"/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  <c r="X312"/>
    </row>
    <row r="313" spans="1:24" s="310" customFormat="1" ht="25.5" customHeight="1">
      <c r="A313"/>
      <c r="B313"/>
      <c r="C313" s="282"/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  <c r="X313"/>
    </row>
    <row r="314" spans="1:24" s="310" customFormat="1" ht="25.5" customHeight="1">
      <c r="A314"/>
      <c r="B314"/>
      <c r="C314" s="282"/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  <c r="X314"/>
    </row>
    <row r="315" spans="1:24" s="310" customFormat="1" ht="25.5" customHeight="1">
      <c r="A315"/>
      <c r="B315"/>
      <c r="C315" s="282"/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  <c r="X315"/>
    </row>
    <row r="316" spans="1:24" s="310" customFormat="1" ht="25.5" customHeight="1">
      <c r="A316"/>
      <c r="B316"/>
      <c r="C316" s="282"/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  <c r="X316"/>
    </row>
    <row r="317" spans="1:24" s="310" customFormat="1" ht="25.5" customHeight="1">
      <c r="A317"/>
      <c r="B317"/>
      <c r="C317" s="282"/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  <c r="X317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/>
    </row>
  </sheetData>
  <mergeCells count="32">
    <mergeCell ref="P7:P8"/>
    <mergeCell ref="Q7:Q8"/>
    <mergeCell ref="R7:R8"/>
    <mergeCell ref="S7:S8"/>
    <mergeCell ref="U7:U8"/>
    <mergeCell ref="V7:V8"/>
    <mergeCell ref="I7:I8"/>
    <mergeCell ref="J7:J8"/>
    <mergeCell ref="K7:K8"/>
    <mergeCell ref="M7:M8"/>
    <mergeCell ref="N7:N8"/>
    <mergeCell ref="O7:O8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</mergeCells>
  <pageMargins left="0.17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X381"/>
  <sheetViews>
    <sheetView workbookViewId="0">
      <pane ySplit="8" topLeftCell="A23" activePane="bottomLeft" state="frozen"/>
      <selection activeCell="J212" sqref="J212"/>
      <selection pane="bottomLeft" activeCell="U76" sqref="U76"/>
    </sheetView>
  </sheetViews>
  <sheetFormatPr defaultRowHeight="25.5" customHeight="1"/>
  <cols>
    <col min="1" max="1" width="1.140625" customWidth="1"/>
    <col min="2" max="2" width="31.85546875" customWidth="1"/>
    <col min="3" max="3" width="11.28515625" style="282" customWidth="1"/>
    <col min="4" max="4" width="9.7109375" style="33" customWidth="1"/>
    <col min="5" max="5" width="9.5703125" style="273" customWidth="1"/>
    <col min="6" max="6" width="8.85546875" style="138" customWidth="1"/>
    <col min="7" max="7" width="8" style="138" customWidth="1"/>
    <col min="8" max="8" width="10.42578125" style="138" customWidth="1"/>
    <col min="9" max="9" width="9.7109375" style="33" customWidth="1"/>
    <col min="10" max="12" width="1" style="33" customWidth="1"/>
    <col min="13" max="13" width="9.140625" style="138" customWidth="1"/>
    <col min="14" max="14" width="8.42578125" style="33" customWidth="1"/>
    <col min="15" max="15" width="0.7109375" style="33" customWidth="1"/>
    <col min="16" max="16" width="8.140625" style="33" customWidth="1"/>
    <col min="17" max="17" width="1" style="33" customWidth="1"/>
    <col min="18" max="18" width="8" customWidth="1"/>
    <col min="19" max="20" width="8.85546875" style="168" customWidth="1"/>
    <col min="21" max="22" width="7.140625" customWidth="1"/>
    <col min="23" max="23" width="21.285156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427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425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410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f>+เม.ย.!D10+พ.ค.!D10+มิ.ย.!D10</f>
        <v>38742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f>+เม.ย.!D11+พ.ค.!D11+มิ.ย.!D11</f>
        <v>3420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f>+เม.ย.!D12+พ.ค.!D12+มิ.ย.!D12</f>
        <v>1582600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f>+เม.ย.!D13+พ.ค.!D13+มิ.ย.!D13</f>
        <v>4500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f>+เม.ย.!D14+พ.ค.!D14+มิ.ย.!D14</f>
        <v>596000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>
        <f>+เม.ย.!D15+พ.ค.!D15+มิ.ย.!D15</f>
        <v>0</v>
      </c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>
        <f>+เม.ย.!D16+พ.ค.!D16+มิ.ย.!D16</f>
        <v>0</v>
      </c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>
        <f>+เม.ย.!D17+พ.ค.!D17+มิ.ย.!D17</f>
        <v>216399</v>
      </c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>
        <f>+เม.ย.!D18+พ.ค.!D18+มิ.ย.!D18</f>
        <v>0</v>
      </c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228" t="s">
        <v>81</v>
      </c>
      <c r="C19" s="285">
        <f>344150-20000</f>
        <v>324150</v>
      </c>
      <c r="D19" s="131">
        <f>+เม.ย.!D19+พ.ค.!D19+มิ.ย.!D19</f>
        <v>20310</v>
      </c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198" t="s">
        <v>424</v>
      </c>
      <c r="C20" s="290">
        <v>70650</v>
      </c>
      <c r="D20" s="131">
        <f>+เม.ย.!D20+พ.ค.!D20+มิ.ย.!D20</f>
        <v>70650</v>
      </c>
      <c r="E20" s="267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SUM(C10:C20)</f>
        <v>10137432</v>
      </c>
      <c r="D21" s="40">
        <f>SUM(D10:D20)</f>
        <v>2532621</v>
      </c>
      <c r="E21" s="35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2532621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f>+เม.ย.!E23+พ.ค.!E23+มิ.ย.!E23</f>
        <v>162617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f>+เม.ย.!E24+พ.ค.!E24+มิ.ย.!E24</f>
        <v>27774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f>+เม.ย.!E25+พ.ค.!E25+มิ.ย.!E25</f>
        <v>27774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f>+เม.ย.!E26+พ.ค.!E26+มิ.ย.!E26</f>
        <v>49680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1283280-10000-14000-48300</f>
        <v>1210980</v>
      </c>
      <c r="D27" s="131"/>
      <c r="E27" s="267">
        <f>+เม.ย.!E27+พ.ค.!E27+มิ.ย.!E27</f>
        <v>289202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2345220</v>
      </c>
      <c r="D28" s="132">
        <f>SUM(D23:D27)</f>
        <v>0</v>
      </c>
      <c r="E28" s="268">
        <f>SUM(E23:E27)</f>
        <v>557047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557047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3188820+1300000+884640+1648500-100000-22000-19000-60000-184500-25100-50000-100000-20000-50000-64500-70650-40000-53200-40000-15000</f>
        <v>6108010</v>
      </c>
      <c r="D30" s="133"/>
      <c r="E30" s="269">
        <f>+เม.ย.!E30+พ.ค.!E30+มิ.ย.!E30</f>
        <v>654420</v>
      </c>
      <c r="F30" s="269">
        <f>+เม.ย.!F30+พ.ค.!F30+มิ.ย.!F30</f>
        <v>234450</v>
      </c>
      <c r="G30" s="269">
        <f>+เม.ย.!G30+พ.ค.!G30+มิ.ย.!G30</f>
        <v>0</v>
      </c>
      <c r="H30" s="269">
        <f>+เม.ย.!H30+พ.ค.!H30+มิ.ย.!H30</f>
        <v>223980</v>
      </c>
      <c r="I30" s="269">
        <f>+เม.ย.!I30+พ.ค.!I30+มิ.ย.!I30</f>
        <v>0</v>
      </c>
      <c r="J30" s="269">
        <f>+เม.ย.!J30+พ.ค.!J30+มิ.ย.!J30</f>
        <v>0</v>
      </c>
      <c r="K30" s="269">
        <f>+เม.ย.!K30+พ.ค.!K30+มิ.ย.!K30</f>
        <v>0</v>
      </c>
      <c r="L30" s="269">
        <f>+เม.ย.!L30+พ.ค.!L30+มิ.ย.!L30</f>
        <v>0</v>
      </c>
      <c r="M30" s="269">
        <f>+เม.ย.!M30+พ.ค.!M30+มิ.ย.!M30</f>
        <v>330270</v>
      </c>
      <c r="N30" s="269">
        <f>+เม.ย.!N30+พ.ค.!N30+มิ.ย.!N30</f>
        <v>0</v>
      </c>
      <c r="O30" s="269">
        <f>+เม.ย.!O30+พ.ค.!O30+มิ.ย.!O30</f>
        <v>0</v>
      </c>
      <c r="P30" s="269">
        <f>+เม.ย.!P30+พ.ค.!P30+มิ.ย.!P30</f>
        <v>0</v>
      </c>
      <c r="Q30" s="269">
        <f>+เม.ย.!Q30+พ.ค.!Q30+มิ.ย.!Q30</f>
        <v>0</v>
      </c>
      <c r="R30" s="269">
        <f>+เม.ย.!R30+พ.ค.!R30+มิ.ย.!R30</f>
        <v>0</v>
      </c>
      <c r="S30" s="269">
        <f>+เม.ย.!S30+พ.ค.!S30+มิ.ย.!S30</f>
        <v>0</v>
      </c>
      <c r="T30" s="269"/>
      <c r="U30" s="269">
        <f>+เม.ย.!U30+พ.ค.!U30+มิ.ย.!U30</f>
        <v>0</v>
      </c>
      <c r="V30" s="269">
        <f>+เม.ย.!V30+พ.ค.!V30+มิ.ย.!V30</f>
        <v>0</v>
      </c>
    </row>
    <row r="31" spans="1:23" ht="25.5" customHeight="1">
      <c r="A31" s="20"/>
      <c r="B31" s="130" t="s">
        <v>239</v>
      </c>
      <c r="C31" s="32">
        <v>1899600</v>
      </c>
      <c r="D31" s="133"/>
      <c r="E31" s="269">
        <f>+เม.ย.!E31+พ.ค.!E31+มิ.ย.!E31</f>
        <v>0</v>
      </c>
      <c r="F31" s="269">
        <f>+เม.ย.!F31+พ.ค.!F31+มิ.ย.!F31</f>
        <v>0</v>
      </c>
      <c r="G31" s="269">
        <f>+เม.ย.!G31+พ.ค.!G31+มิ.ย.!G31</f>
        <v>0</v>
      </c>
      <c r="H31" s="269">
        <f>+เม.ย.!H31+พ.ค.!H31+มิ.ย.!H31</f>
        <v>473760</v>
      </c>
      <c r="I31" s="269">
        <f>+เม.ย.!I31+พ.ค.!I31+มิ.ย.!I31</f>
        <v>0</v>
      </c>
      <c r="J31" s="269">
        <f>+เม.ย.!J31+พ.ค.!J31+มิ.ย.!J31</f>
        <v>0</v>
      </c>
      <c r="K31" s="269">
        <f>+เม.ย.!K31+พ.ค.!K31+มิ.ย.!K31</f>
        <v>0</v>
      </c>
      <c r="L31" s="269">
        <f>+เม.ย.!L31+พ.ค.!L31+มิ.ย.!L31</f>
        <v>0</v>
      </c>
      <c r="M31" s="269">
        <f>+เม.ย.!M31+พ.ค.!M31+มิ.ย.!M31</f>
        <v>0</v>
      </c>
      <c r="N31" s="269">
        <f>+เม.ย.!N31+พ.ค.!N31+มิ.ย.!N31</f>
        <v>0</v>
      </c>
      <c r="O31" s="269">
        <f>+เม.ย.!O31+พ.ค.!O31+มิ.ย.!O31</f>
        <v>0</v>
      </c>
      <c r="P31" s="269">
        <f>+เม.ย.!P31+พ.ค.!P31+มิ.ย.!P31</f>
        <v>0</v>
      </c>
      <c r="Q31" s="269">
        <f>+เม.ย.!Q31+พ.ค.!Q31+มิ.ย.!Q31</f>
        <v>0</v>
      </c>
      <c r="R31" s="269">
        <f>+เม.ย.!R31+พ.ค.!R31+มิ.ย.!R31</f>
        <v>0</v>
      </c>
      <c r="S31" s="269">
        <f>+เม.ย.!S31+พ.ค.!S31+มิ.ย.!S31</f>
        <v>0</v>
      </c>
      <c r="T31" s="269"/>
      <c r="U31" s="269">
        <f>+เม.ย.!U31+พ.ค.!U31+มิ.ย.!U31</f>
        <v>0</v>
      </c>
      <c r="V31" s="269">
        <f>+เม.ย.!V31+พ.ค.!V31+มิ.ย.!V31</f>
        <v>0</v>
      </c>
    </row>
    <row r="32" spans="1:23" ht="25.5" customHeight="1">
      <c r="A32" s="20"/>
      <c r="B32" s="130" t="s">
        <v>47</v>
      </c>
      <c r="C32" s="32">
        <v>10580</v>
      </c>
      <c r="D32" s="133"/>
      <c r="E32" s="269">
        <f>+เม.ย.!E32+พ.ค.!E32+มิ.ย.!E32</f>
        <v>1320</v>
      </c>
      <c r="F32" s="269">
        <f>+เม.ย.!F32+พ.ค.!F32+มิ.ย.!F32</f>
        <v>0</v>
      </c>
      <c r="G32" s="269">
        <f>+เม.ย.!G32+พ.ค.!G32+มิ.ย.!G32</f>
        <v>0</v>
      </c>
      <c r="H32" s="269">
        <f>+เม.ย.!H32+พ.ค.!H32+มิ.ย.!H32</f>
        <v>0</v>
      </c>
      <c r="I32" s="269">
        <f>+เม.ย.!I32+พ.ค.!I32+มิ.ย.!I32</f>
        <v>0</v>
      </c>
      <c r="J32" s="269">
        <f>+เม.ย.!J32+พ.ค.!J32+มิ.ย.!J32</f>
        <v>0</v>
      </c>
      <c r="K32" s="269">
        <f>+เม.ย.!K32+พ.ค.!K32+มิ.ย.!K32</f>
        <v>0</v>
      </c>
      <c r="L32" s="269">
        <f>+เม.ย.!L32+พ.ค.!L32+มิ.ย.!L32</f>
        <v>0</v>
      </c>
      <c r="M32" s="269">
        <f>+เม.ย.!M32+พ.ค.!M32+มิ.ย.!M32</f>
        <v>0</v>
      </c>
      <c r="N32" s="269">
        <f>+เม.ย.!N32+พ.ค.!N32+มิ.ย.!N32</f>
        <v>0</v>
      </c>
      <c r="O32" s="269">
        <f>+เม.ย.!O32+พ.ค.!O32+มิ.ย.!O32</f>
        <v>0</v>
      </c>
      <c r="P32" s="269">
        <f>+เม.ย.!P32+พ.ค.!P32+มิ.ย.!P32</f>
        <v>0</v>
      </c>
      <c r="Q32" s="269">
        <f>+เม.ย.!Q32+พ.ค.!Q32+มิ.ย.!Q32</f>
        <v>0</v>
      </c>
      <c r="R32" s="269">
        <f>+เม.ย.!R32+พ.ค.!R32+มิ.ย.!R32</f>
        <v>0</v>
      </c>
      <c r="S32" s="269">
        <f>+เม.ย.!S32+พ.ค.!S32+มิ.ย.!S32</f>
        <v>0</v>
      </c>
      <c r="T32" s="269"/>
      <c r="U32" s="269">
        <f>+เม.ย.!U32+พ.ค.!U32+มิ.ย.!U32</f>
        <v>0</v>
      </c>
      <c r="V32" s="269">
        <f>+เม.ย.!V32+พ.ค.!V32+มิ.ย.!V32</f>
        <v>0</v>
      </c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f>+เม.ย.!E33+พ.ค.!E33+มิ.ย.!E33</f>
        <v>33000</v>
      </c>
      <c r="F33" s="269">
        <f>+เม.ย.!F33+พ.ค.!F33+มิ.ย.!F33</f>
        <v>0</v>
      </c>
      <c r="G33" s="269">
        <f>+เม.ย.!G33+พ.ค.!G33+มิ.ย.!G33</f>
        <v>0</v>
      </c>
      <c r="H33" s="269">
        <f>+เม.ย.!H33+พ.ค.!H33+มิ.ย.!H33</f>
        <v>10500</v>
      </c>
      <c r="I33" s="269">
        <f>+เม.ย.!I33+พ.ค.!I33+มิ.ย.!I33</f>
        <v>0</v>
      </c>
      <c r="J33" s="269">
        <f>+เม.ย.!J33+พ.ค.!J33+มิ.ย.!J33</f>
        <v>0</v>
      </c>
      <c r="K33" s="269">
        <f>+เม.ย.!K33+พ.ค.!K33+มิ.ย.!K33</f>
        <v>0</v>
      </c>
      <c r="L33" s="269">
        <f>+เม.ย.!L33+พ.ค.!L33+มิ.ย.!L33</f>
        <v>0</v>
      </c>
      <c r="M33" s="269">
        <f>+เม.ย.!M33+พ.ค.!M33+มิ.ย.!M33</f>
        <v>10500</v>
      </c>
      <c r="N33" s="269">
        <f>+เม.ย.!N33+พ.ค.!N33+มิ.ย.!N33</f>
        <v>0</v>
      </c>
      <c r="O33" s="269">
        <f>+เม.ย.!O33+พ.ค.!O33+มิ.ย.!O33</f>
        <v>0</v>
      </c>
      <c r="P33" s="269">
        <f>+เม.ย.!P33+พ.ค.!P33+มิ.ย.!P33</f>
        <v>0</v>
      </c>
      <c r="Q33" s="269">
        <f>+เม.ย.!Q33+พ.ค.!Q33+มิ.ย.!Q33</f>
        <v>0</v>
      </c>
      <c r="R33" s="269">
        <f>+เม.ย.!R33+พ.ค.!R33+มิ.ย.!R33</f>
        <v>0</v>
      </c>
      <c r="S33" s="269">
        <f>+เม.ย.!S33+พ.ค.!S33+มิ.ย.!S33</f>
        <v>0</v>
      </c>
      <c r="T33" s="269"/>
      <c r="U33" s="269">
        <f>+เม.ย.!U33+พ.ค.!U33+มิ.ย.!U33</f>
        <v>0</v>
      </c>
      <c r="V33" s="269">
        <f>+เม.ย.!V33+พ.ค.!V33+มิ.ย.!V33</f>
        <v>0</v>
      </c>
    </row>
    <row r="34" spans="1:23" ht="25.5" customHeight="1">
      <c r="A34" s="9"/>
      <c r="B34" s="130" t="s">
        <v>186</v>
      </c>
      <c r="C34" s="31">
        <f>787000+589000+559480+350880+100000+184500+153000-9400</f>
        <v>2714460</v>
      </c>
      <c r="D34" s="131"/>
      <c r="E34" s="269">
        <f>+เม.ย.!E34+พ.ค.!E34+มิ.ย.!E34</f>
        <v>255990</v>
      </c>
      <c r="F34" s="269">
        <f>+เม.ย.!F34+พ.ค.!F34+มิ.ย.!F34</f>
        <v>174390</v>
      </c>
      <c r="G34" s="269">
        <f>+เม.ย.!G34+พ.ค.!G34+มิ.ย.!G34</f>
        <v>0</v>
      </c>
      <c r="H34" s="269">
        <f>+เม.ย.!H34+พ.ค.!H34+มิ.ย.!H34</f>
        <v>194730</v>
      </c>
      <c r="I34" s="269">
        <f>+เม.ย.!I34+พ.ค.!I34+มิ.ย.!I34</f>
        <v>0</v>
      </c>
      <c r="J34" s="269">
        <f>+เม.ย.!J34+พ.ค.!J34+มิ.ย.!J34</f>
        <v>0</v>
      </c>
      <c r="K34" s="269">
        <f>+เม.ย.!K34+พ.ค.!K34+มิ.ย.!K34</f>
        <v>0</v>
      </c>
      <c r="L34" s="269">
        <f>+เม.ย.!L34+พ.ค.!L34+มิ.ย.!L34</f>
        <v>0</v>
      </c>
      <c r="M34" s="269">
        <f>+เม.ย.!M34+พ.ค.!M34+มิ.ย.!M34</f>
        <v>87720</v>
      </c>
      <c r="N34" s="269">
        <f>+เม.ย.!N34+พ.ค.!N34+มิ.ย.!N34</f>
        <v>0</v>
      </c>
      <c r="O34" s="269">
        <f>+เม.ย.!O34+พ.ค.!O34+มิ.ย.!O34</f>
        <v>0</v>
      </c>
      <c r="P34" s="269">
        <f>+เม.ย.!P34+พ.ค.!P34+มิ.ย.!P34</f>
        <v>0</v>
      </c>
      <c r="Q34" s="269">
        <f>+เม.ย.!Q34+พ.ค.!Q34+มิ.ย.!Q34</f>
        <v>0</v>
      </c>
      <c r="R34" s="269">
        <f>+เม.ย.!R34+พ.ค.!R34+มิ.ย.!R34</f>
        <v>0</v>
      </c>
      <c r="S34" s="269">
        <f>+เม.ย.!S34+พ.ค.!S34+มิ.ย.!S34</f>
        <v>0</v>
      </c>
      <c r="T34" s="269"/>
      <c r="U34" s="269">
        <f>+เม.ย.!U34+พ.ค.!U34+มิ.ย.!U34</f>
        <v>0</v>
      </c>
      <c r="V34" s="269">
        <f>+เม.ย.!V34+พ.ค.!V34+มิ.ย.!V34</f>
        <v>0</v>
      </c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f>+เม.ย.!E35+พ.ค.!E35+มิ.ย.!E35</f>
        <v>0</v>
      </c>
      <c r="F35" s="269">
        <f>+เม.ย.!F35+พ.ค.!F35+มิ.ย.!F35</f>
        <v>0</v>
      </c>
      <c r="G35" s="269">
        <f>+เม.ย.!G35+พ.ค.!G35+มิ.ย.!G35</f>
        <v>0</v>
      </c>
      <c r="H35" s="269">
        <f>+เม.ย.!H35+พ.ค.!H35+มิ.ย.!H35</f>
        <v>62910</v>
      </c>
      <c r="I35" s="269">
        <f>+เม.ย.!I35+พ.ค.!I35+มิ.ย.!I35</f>
        <v>0</v>
      </c>
      <c r="J35" s="269">
        <f>+เม.ย.!J35+พ.ค.!J35+มิ.ย.!J35</f>
        <v>0</v>
      </c>
      <c r="K35" s="269">
        <f>+เม.ย.!K35+พ.ค.!K35+มิ.ย.!K35</f>
        <v>0</v>
      </c>
      <c r="L35" s="269">
        <f>+เม.ย.!L35+พ.ค.!L35+มิ.ย.!L35</f>
        <v>0</v>
      </c>
      <c r="M35" s="269">
        <f>+เม.ย.!M35+พ.ค.!M35+มิ.ย.!M35</f>
        <v>0</v>
      </c>
      <c r="N35" s="269">
        <f>+เม.ย.!N35+พ.ค.!N35+มิ.ย.!N35</f>
        <v>0</v>
      </c>
      <c r="O35" s="269">
        <f>+เม.ย.!O35+พ.ค.!O35+มิ.ย.!O35</f>
        <v>0</v>
      </c>
      <c r="P35" s="269">
        <f>+เม.ย.!P35+พ.ค.!P35+มิ.ย.!P35</f>
        <v>0</v>
      </c>
      <c r="Q35" s="269">
        <f>+เม.ย.!Q35+พ.ค.!Q35+มิ.ย.!Q35</f>
        <v>0</v>
      </c>
      <c r="R35" s="269">
        <f>+เม.ย.!R35+พ.ค.!R35+มิ.ย.!R35</f>
        <v>0</v>
      </c>
      <c r="S35" s="269">
        <f>+เม.ย.!S35+พ.ค.!S35+มิ.ย.!S35</f>
        <v>0</v>
      </c>
      <c r="T35" s="269"/>
      <c r="U35" s="269">
        <f>+เม.ย.!U35+พ.ค.!U35+มิ.ย.!U35</f>
        <v>0</v>
      </c>
      <c r="V35" s="269">
        <f>+เม.ย.!V35+พ.ค.!V35+มิ.ย.!V35</f>
        <v>0</v>
      </c>
      <c r="W35" s="315"/>
    </row>
    <row r="36" spans="1:23" ht="25.5" customHeight="1">
      <c r="A36" s="9"/>
      <c r="B36" s="130" t="s">
        <v>91</v>
      </c>
      <c r="C36" s="288">
        <f>76000+72000+84000+22000+25100+11000-5700</f>
        <v>284400</v>
      </c>
      <c r="D36" s="131"/>
      <c r="E36" s="269">
        <f>+เม.ย.!E36+พ.ค.!E36+มิ.ย.!E36</f>
        <v>27480</v>
      </c>
      <c r="F36" s="269">
        <f>+เม.ย.!F36+พ.ค.!F36+มิ.ย.!F36</f>
        <v>19065</v>
      </c>
      <c r="G36" s="269">
        <f>+เม.ย.!G36+พ.ค.!G36+มิ.ย.!G36</f>
        <v>0</v>
      </c>
      <c r="H36" s="269">
        <f>+เม.ย.!H36+พ.ค.!H36+มิ.ย.!H36</f>
        <v>25500</v>
      </c>
      <c r="I36" s="269">
        <f>+เม.ย.!I36+พ.ค.!I36+มิ.ย.!I36</f>
        <v>0</v>
      </c>
      <c r="J36" s="269">
        <f>+เม.ย.!J36+พ.ค.!J36+มิ.ย.!J36</f>
        <v>0</v>
      </c>
      <c r="K36" s="269">
        <f>+เม.ย.!K36+พ.ค.!K36+มิ.ย.!K36</f>
        <v>0</v>
      </c>
      <c r="L36" s="269">
        <f>+เม.ย.!L36+พ.ค.!L36+มิ.ย.!L36</f>
        <v>0</v>
      </c>
      <c r="M36" s="269">
        <f>+เม.ย.!M36+พ.ค.!M36+มิ.ย.!M36</f>
        <v>0</v>
      </c>
      <c r="N36" s="269">
        <f>+เม.ย.!N36+พ.ค.!N36+มิ.ย.!N36</f>
        <v>0</v>
      </c>
      <c r="O36" s="269">
        <f>+เม.ย.!O36+พ.ค.!O36+มิ.ย.!O36</f>
        <v>0</v>
      </c>
      <c r="P36" s="269">
        <f>+เม.ย.!P36+พ.ค.!P36+มิ.ย.!P36</f>
        <v>0</v>
      </c>
      <c r="Q36" s="269">
        <f>+เม.ย.!Q36+พ.ค.!Q36+มิ.ย.!Q36</f>
        <v>0</v>
      </c>
      <c r="R36" s="269">
        <f>+เม.ย.!R36+พ.ค.!R36+มิ.ย.!R36</f>
        <v>0</v>
      </c>
      <c r="S36" s="269">
        <f>+เม.ย.!S36+พ.ค.!S36+มิ.ย.!S36</f>
        <v>0</v>
      </c>
      <c r="T36" s="269"/>
      <c r="U36" s="269">
        <f>+เม.ย.!U36+พ.ค.!U36+มิ.ย.!U36</f>
        <v>0</v>
      </c>
      <c r="V36" s="269">
        <f>+เม.ย.!V36+พ.ค.!V36+มิ.ย.!V36</f>
        <v>0</v>
      </c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f>+เม.ย.!E37+พ.ค.!E37+มิ.ย.!E37</f>
        <v>0</v>
      </c>
      <c r="F37" s="269">
        <f>+เม.ย.!F37+พ.ค.!F37+มิ.ย.!F37</f>
        <v>0</v>
      </c>
      <c r="G37" s="269">
        <f>+เม.ย.!G37+พ.ค.!G37+มิ.ย.!G37</f>
        <v>0</v>
      </c>
      <c r="H37" s="269">
        <f>+เม.ย.!H37+พ.ค.!H37+มิ.ย.!H37</f>
        <v>5490</v>
      </c>
      <c r="I37" s="269">
        <f>+เม.ย.!I37+พ.ค.!I37+มิ.ย.!I37</f>
        <v>0</v>
      </c>
      <c r="J37" s="269">
        <f>+เม.ย.!J37+พ.ค.!J37+มิ.ย.!J37</f>
        <v>0</v>
      </c>
      <c r="K37" s="269">
        <f>+เม.ย.!K37+พ.ค.!K37+มิ.ย.!K37</f>
        <v>0</v>
      </c>
      <c r="L37" s="269">
        <f>+เม.ย.!L37+พ.ค.!L37+มิ.ย.!L37</f>
        <v>0</v>
      </c>
      <c r="M37" s="269">
        <f>+เม.ย.!M37+พ.ค.!M37+มิ.ย.!M37</f>
        <v>0</v>
      </c>
      <c r="N37" s="269">
        <f>+เม.ย.!N37+พ.ค.!N37+มิ.ย.!N37</f>
        <v>0</v>
      </c>
      <c r="O37" s="269">
        <f>+เม.ย.!O37+พ.ค.!O37+มิ.ย.!O37</f>
        <v>0</v>
      </c>
      <c r="P37" s="269">
        <f>+เม.ย.!P37+พ.ค.!P37+มิ.ย.!P37</f>
        <v>0</v>
      </c>
      <c r="Q37" s="269">
        <f>+เม.ย.!Q37+พ.ค.!Q37+มิ.ย.!Q37</f>
        <v>0</v>
      </c>
      <c r="R37" s="269">
        <f>+เม.ย.!R37+พ.ค.!R37+มิ.ย.!R37</f>
        <v>0</v>
      </c>
      <c r="S37" s="269">
        <f>+เม.ย.!S37+พ.ค.!S37+มิ.ย.!S37</f>
        <v>0</v>
      </c>
      <c r="T37" s="269"/>
      <c r="U37" s="269">
        <f>+เม.ย.!U37+พ.ค.!U37+มิ.ย.!U37</f>
        <v>0</v>
      </c>
      <c r="V37" s="269">
        <f>+เม.ย.!V37+พ.ค.!V37+มิ.ย.!V37</f>
        <v>0</v>
      </c>
      <c r="W37" s="315"/>
    </row>
    <row r="38" spans="1:23" ht="25.5" customHeight="1">
      <c r="A38" s="9"/>
      <c r="B38" s="6"/>
      <c r="C38" s="499"/>
      <c r="D38" s="195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315"/>
    </row>
    <row r="39" spans="1:23" ht="25.5" customHeight="1" thickBot="1">
      <c r="A39" s="46"/>
      <c r="B39" s="47" t="s">
        <v>5</v>
      </c>
      <c r="C39" s="289">
        <f>SUM(C30:C37)</f>
        <v>11534650</v>
      </c>
      <c r="D39" s="255">
        <f>SUM(D30:D37)</f>
        <v>0</v>
      </c>
      <c r="E39" s="254">
        <f>SUM(E30:E37)</f>
        <v>972210</v>
      </c>
      <c r="F39" s="254">
        <f>SUM(F30:F37)</f>
        <v>427905</v>
      </c>
      <c r="G39" s="254">
        <f t="shared" ref="G39:V39" si="2">SUM(G30:G37)</f>
        <v>0</v>
      </c>
      <c r="H39" s="254">
        <f>SUM(H30:H37)</f>
        <v>996870</v>
      </c>
      <c r="I39" s="255">
        <f t="shared" si="2"/>
        <v>0</v>
      </c>
      <c r="J39" s="255">
        <f t="shared" si="2"/>
        <v>0</v>
      </c>
      <c r="K39" s="255">
        <f t="shared" si="2"/>
        <v>0</v>
      </c>
      <c r="L39" s="255">
        <f t="shared" si="2"/>
        <v>0</v>
      </c>
      <c r="M39" s="254">
        <f>SUM(M30:M37)</f>
        <v>428490</v>
      </c>
      <c r="N39" s="255">
        <f t="shared" si="2"/>
        <v>0</v>
      </c>
      <c r="O39" s="255">
        <f t="shared" si="2"/>
        <v>0</v>
      </c>
      <c r="P39" s="255">
        <f t="shared" si="2"/>
        <v>0</v>
      </c>
      <c r="Q39" s="255">
        <f t="shared" si="2"/>
        <v>0</v>
      </c>
      <c r="R39" s="255">
        <f t="shared" si="2"/>
        <v>0</v>
      </c>
      <c r="S39" s="255">
        <f t="shared" si="2"/>
        <v>0</v>
      </c>
      <c r="T39" s="255"/>
      <c r="U39" s="255">
        <f t="shared" si="2"/>
        <v>0</v>
      </c>
      <c r="V39" s="255">
        <f t="shared" si="2"/>
        <v>0</v>
      </c>
      <c r="W39" s="316">
        <f>SUM(D39:V39)</f>
        <v>2825475</v>
      </c>
    </row>
    <row r="40" spans="1:23" ht="25.5" customHeight="1" thickTop="1">
      <c r="A40" s="5" t="s">
        <v>98</v>
      </c>
      <c r="B40" s="6"/>
      <c r="C40" s="190"/>
      <c r="D40" s="133"/>
      <c r="E40" s="269"/>
      <c r="F40" s="136"/>
      <c r="G40" s="136"/>
      <c r="H40" s="136"/>
      <c r="I40" s="133"/>
      <c r="J40" s="133"/>
      <c r="K40" s="133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7"/>
    </row>
    <row r="41" spans="1:23" ht="25.5" customHeight="1">
      <c r="A41" s="9"/>
      <c r="B41" s="130" t="s">
        <v>93</v>
      </c>
      <c r="C41" s="216">
        <v>5000</v>
      </c>
      <c r="D41" s="133"/>
      <c r="E41" s="269">
        <f>+เม.ย.!E40+พ.ค.!E40+มิ.ย.!E40</f>
        <v>0</v>
      </c>
      <c r="F41" s="269">
        <f>+เม.ย.!F40+พ.ค.!F40+มิ.ย.!F40</f>
        <v>0</v>
      </c>
      <c r="G41" s="269">
        <f>+เม.ย.!G40+พ.ค.!G40+มิ.ย.!G40</f>
        <v>0</v>
      </c>
      <c r="H41" s="269">
        <f>+เม.ย.!H40+พ.ค.!H40+มิ.ย.!H40</f>
        <v>0</v>
      </c>
      <c r="I41" s="269">
        <f>+เม.ย.!I40+พ.ค.!I40+มิ.ย.!I40</f>
        <v>0</v>
      </c>
      <c r="J41" s="269">
        <f>+เม.ย.!J40+พ.ค.!J40+มิ.ย.!J40</f>
        <v>0</v>
      </c>
      <c r="K41" s="269">
        <f>+เม.ย.!K40+พ.ค.!K40+มิ.ย.!K40</f>
        <v>0</v>
      </c>
      <c r="L41" s="269">
        <f>+เม.ย.!L40+พ.ค.!L40+มิ.ย.!L40</f>
        <v>0</v>
      </c>
      <c r="M41" s="269">
        <f>+เม.ย.!M40+พ.ค.!M40+มิ.ย.!M40</f>
        <v>0</v>
      </c>
      <c r="N41" s="269">
        <f>+เม.ย.!N40+พ.ค.!N40+มิ.ย.!N40</f>
        <v>0</v>
      </c>
      <c r="O41" s="269">
        <f>+เม.ย.!O40+พ.ค.!O40+มิ.ย.!O40</f>
        <v>0</v>
      </c>
      <c r="P41" s="269">
        <f>+เม.ย.!P40+พ.ค.!P40+มิ.ย.!P40</f>
        <v>0</v>
      </c>
      <c r="Q41" s="269">
        <f>+เม.ย.!Q40+พ.ค.!Q40+มิ.ย.!Q40</f>
        <v>0</v>
      </c>
      <c r="R41" s="269">
        <f>+เม.ย.!R40+พ.ค.!R40+มิ.ย.!R40</f>
        <v>0</v>
      </c>
      <c r="S41" s="269">
        <f>+เม.ย.!S40+พ.ค.!S40+มิ.ย.!S40</f>
        <v>0</v>
      </c>
      <c r="T41" s="269"/>
      <c r="U41" s="269">
        <f>+เม.ย.!U40+พ.ค.!U40+มิ.ย.!U40</f>
        <v>0</v>
      </c>
      <c r="V41" s="269">
        <f>+เม.ย.!V40+พ.ค.!V40+มิ.ย.!V40</f>
        <v>0</v>
      </c>
      <c r="W41" s="315"/>
    </row>
    <row r="42" spans="1:23" ht="25.5" customHeight="1">
      <c r="A42" s="9"/>
      <c r="B42" s="130" t="s">
        <v>205</v>
      </c>
      <c r="C42" s="285">
        <v>10000</v>
      </c>
      <c r="D42" s="131"/>
      <c r="E42" s="269">
        <f>+เม.ย.!E41+พ.ค.!E41+มิ.ย.!E41</f>
        <v>0</v>
      </c>
      <c r="F42" s="269">
        <f>+เม.ย.!F41+พ.ค.!F41+มิ.ย.!F41</f>
        <v>0</v>
      </c>
      <c r="G42" s="269">
        <f>+เม.ย.!G41+พ.ค.!G41+มิ.ย.!G41</f>
        <v>0</v>
      </c>
      <c r="H42" s="269">
        <f>+เม.ย.!H41+พ.ค.!H41+มิ.ย.!H41</f>
        <v>0</v>
      </c>
      <c r="I42" s="269">
        <f>+เม.ย.!I41+พ.ค.!I41+มิ.ย.!I41</f>
        <v>0</v>
      </c>
      <c r="J42" s="269">
        <f>+เม.ย.!J41+พ.ค.!J41+มิ.ย.!J41</f>
        <v>0</v>
      </c>
      <c r="K42" s="269">
        <f>+เม.ย.!K41+พ.ค.!K41+มิ.ย.!K41</f>
        <v>0</v>
      </c>
      <c r="L42" s="269">
        <f>+เม.ย.!L41+พ.ค.!L41+มิ.ย.!L41</f>
        <v>0</v>
      </c>
      <c r="M42" s="269">
        <f>+เม.ย.!M41+พ.ค.!M41+มิ.ย.!M41</f>
        <v>0</v>
      </c>
      <c r="N42" s="269">
        <f>+เม.ย.!N41+พ.ค.!N41+มิ.ย.!N41</f>
        <v>0</v>
      </c>
      <c r="O42" s="269">
        <f>+เม.ย.!O41+พ.ค.!O41+มิ.ย.!O41</f>
        <v>0</v>
      </c>
      <c r="P42" s="269">
        <f>+เม.ย.!P41+พ.ค.!P41+มิ.ย.!P41</f>
        <v>0</v>
      </c>
      <c r="Q42" s="269">
        <f>+เม.ย.!Q41+พ.ค.!Q41+มิ.ย.!Q41</f>
        <v>0</v>
      </c>
      <c r="R42" s="269">
        <f>+เม.ย.!R41+พ.ค.!R41+มิ.ย.!R41</f>
        <v>0</v>
      </c>
      <c r="S42" s="269">
        <f>+เม.ย.!S41+พ.ค.!S41+มิ.ย.!S41</f>
        <v>0</v>
      </c>
      <c r="T42" s="269"/>
      <c r="U42" s="269">
        <f>+เม.ย.!U41+พ.ค.!U41+มิ.ย.!U41</f>
        <v>0</v>
      </c>
      <c r="V42" s="269">
        <f>+เม.ย.!V41+พ.ค.!V41+มิ.ย.!V41</f>
        <v>0</v>
      </c>
      <c r="W42" s="315"/>
    </row>
    <row r="43" spans="1:23" ht="25.5" customHeight="1">
      <c r="A43" s="9"/>
      <c r="B43" s="130" t="s">
        <v>94</v>
      </c>
      <c r="C43" s="285">
        <f>10000-10000</f>
        <v>0</v>
      </c>
      <c r="D43" s="131"/>
      <c r="E43" s="269">
        <f>+เม.ย.!E42+พ.ค.!E42+มิ.ย.!E42</f>
        <v>0</v>
      </c>
      <c r="F43" s="269">
        <f>+เม.ย.!F42+พ.ค.!F42+มิ.ย.!F42</f>
        <v>0</v>
      </c>
      <c r="G43" s="269">
        <f>+เม.ย.!G42+พ.ค.!G42+มิ.ย.!G42</f>
        <v>0</v>
      </c>
      <c r="H43" s="269">
        <f>+เม.ย.!H42+พ.ค.!H42+มิ.ย.!H42</f>
        <v>0</v>
      </c>
      <c r="I43" s="269">
        <f>+เม.ย.!I42+พ.ค.!I42+มิ.ย.!I42</f>
        <v>0</v>
      </c>
      <c r="J43" s="269">
        <f>+เม.ย.!J42+พ.ค.!J42+มิ.ย.!J42</f>
        <v>0</v>
      </c>
      <c r="K43" s="269">
        <f>+เม.ย.!K42+พ.ค.!K42+มิ.ย.!K42</f>
        <v>0</v>
      </c>
      <c r="L43" s="269">
        <f>+เม.ย.!L42+พ.ค.!L42+มิ.ย.!L42</f>
        <v>0</v>
      </c>
      <c r="M43" s="269">
        <f>+เม.ย.!M42+พ.ค.!M42+มิ.ย.!M42</f>
        <v>0</v>
      </c>
      <c r="N43" s="269">
        <f>+เม.ย.!N42+พ.ค.!N42+มิ.ย.!N42</f>
        <v>0</v>
      </c>
      <c r="O43" s="269">
        <f>+เม.ย.!O42+พ.ค.!O42+มิ.ย.!O42</f>
        <v>0</v>
      </c>
      <c r="P43" s="269">
        <f>+เม.ย.!P42+พ.ค.!P42+มิ.ย.!P42</f>
        <v>0</v>
      </c>
      <c r="Q43" s="269">
        <f>+เม.ย.!Q42+พ.ค.!Q42+มิ.ย.!Q42</f>
        <v>0</v>
      </c>
      <c r="R43" s="269">
        <f>+เม.ย.!R42+พ.ค.!R42+มิ.ย.!R42</f>
        <v>0</v>
      </c>
      <c r="S43" s="269">
        <f>+เม.ย.!S42+พ.ค.!S42+มิ.ย.!S42</f>
        <v>0</v>
      </c>
      <c r="T43" s="269"/>
      <c r="U43" s="269">
        <f>+เม.ย.!U42+พ.ค.!U42+มิ.ย.!U42</f>
        <v>0</v>
      </c>
      <c r="V43" s="269">
        <f>+เม.ย.!V42+พ.ค.!V42+มิ.ย.!V42</f>
        <v>0</v>
      </c>
      <c r="W43" s="311"/>
    </row>
    <row r="44" spans="1:23" ht="25.5" customHeight="1">
      <c r="A44" s="9"/>
      <c r="B44" s="130" t="s">
        <v>95</v>
      </c>
      <c r="C44" s="192">
        <v>5000</v>
      </c>
      <c r="D44" s="131"/>
      <c r="E44" s="269">
        <f>+เม.ย.!E43+พ.ค.!E43+มิ.ย.!E43</f>
        <v>0</v>
      </c>
      <c r="F44" s="269">
        <f>+เม.ย.!F43+พ.ค.!F43+มิ.ย.!F43</f>
        <v>0</v>
      </c>
      <c r="G44" s="269">
        <f>+เม.ย.!G43+พ.ค.!G43+มิ.ย.!G43</f>
        <v>0</v>
      </c>
      <c r="H44" s="269">
        <f>+เม.ย.!H43+พ.ค.!H43+มิ.ย.!H43</f>
        <v>0</v>
      </c>
      <c r="I44" s="269">
        <f>+เม.ย.!I43+พ.ค.!I43+มิ.ย.!I43</f>
        <v>0</v>
      </c>
      <c r="J44" s="269">
        <f>+เม.ย.!J43+พ.ค.!J43+มิ.ย.!J43</f>
        <v>0</v>
      </c>
      <c r="K44" s="269">
        <f>+เม.ย.!K43+พ.ค.!K43+มิ.ย.!K43</f>
        <v>0</v>
      </c>
      <c r="L44" s="269">
        <f>+เม.ย.!L43+พ.ค.!L43+มิ.ย.!L43</f>
        <v>0</v>
      </c>
      <c r="M44" s="269">
        <f>+เม.ย.!M43+พ.ค.!M43+มิ.ย.!M43</f>
        <v>0</v>
      </c>
      <c r="N44" s="269">
        <f>+เม.ย.!N43+พ.ค.!N43+มิ.ย.!N43</f>
        <v>0</v>
      </c>
      <c r="O44" s="269">
        <f>+เม.ย.!O43+พ.ค.!O43+มิ.ย.!O43</f>
        <v>0</v>
      </c>
      <c r="P44" s="269">
        <f>+เม.ย.!P43+พ.ค.!P43+มิ.ย.!P43</f>
        <v>0</v>
      </c>
      <c r="Q44" s="269">
        <f>+เม.ย.!Q43+พ.ค.!Q43+มิ.ย.!Q43</f>
        <v>0</v>
      </c>
      <c r="R44" s="269">
        <f>+เม.ย.!R43+พ.ค.!R43+มิ.ย.!R43</f>
        <v>0</v>
      </c>
      <c r="S44" s="269">
        <f>+เม.ย.!S43+พ.ค.!S43+มิ.ย.!S43</f>
        <v>0</v>
      </c>
      <c r="T44" s="269"/>
      <c r="U44" s="269">
        <f>+เม.ย.!U43+พ.ค.!U43+มิ.ย.!U43</f>
        <v>0</v>
      </c>
      <c r="V44" s="269">
        <f>+เม.ย.!V43+พ.ค.!V43+มิ.ย.!V43</f>
        <v>0</v>
      </c>
    </row>
    <row r="45" spans="1:23" ht="25.5" customHeight="1">
      <c r="A45" s="9"/>
      <c r="B45" s="130" t="s">
        <v>96</v>
      </c>
      <c r="C45" s="192">
        <v>5000</v>
      </c>
      <c r="D45" s="131"/>
      <c r="E45" s="269">
        <f>+เม.ย.!E44+พ.ค.!E44+มิ.ย.!E44</f>
        <v>0</v>
      </c>
      <c r="F45" s="269">
        <f>+เม.ย.!F44+พ.ค.!F44+มิ.ย.!F44</f>
        <v>0</v>
      </c>
      <c r="G45" s="269">
        <f>+เม.ย.!G44+พ.ค.!G44+มิ.ย.!G44</f>
        <v>0</v>
      </c>
      <c r="H45" s="269">
        <f>+เม.ย.!H44+พ.ค.!H44+มิ.ย.!H44</f>
        <v>0</v>
      </c>
      <c r="I45" s="269">
        <f>+เม.ย.!I44+พ.ค.!I44+มิ.ย.!I44</f>
        <v>0</v>
      </c>
      <c r="J45" s="269">
        <f>+เม.ย.!J44+พ.ค.!J44+มิ.ย.!J44</f>
        <v>0</v>
      </c>
      <c r="K45" s="269">
        <f>+เม.ย.!K44+พ.ค.!K44+มิ.ย.!K44</f>
        <v>0</v>
      </c>
      <c r="L45" s="269">
        <f>+เม.ย.!L44+พ.ค.!L44+มิ.ย.!L44</f>
        <v>0</v>
      </c>
      <c r="M45" s="269">
        <f>+เม.ย.!M44+พ.ค.!M44+มิ.ย.!M44</f>
        <v>0</v>
      </c>
      <c r="N45" s="269">
        <f>+เม.ย.!N44+พ.ค.!N44+มิ.ย.!N44</f>
        <v>0</v>
      </c>
      <c r="O45" s="269">
        <f>+เม.ย.!O44+พ.ค.!O44+มิ.ย.!O44</f>
        <v>0</v>
      </c>
      <c r="P45" s="269">
        <f>+เม.ย.!P44+พ.ค.!P44+มิ.ย.!P44</f>
        <v>0</v>
      </c>
      <c r="Q45" s="269">
        <f>+เม.ย.!Q44+พ.ค.!Q44+มิ.ย.!Q44</f>
        <v>0</v>
      </c>
      <c r="R45" s="269">
        <f>+เม.ย.!R44+พ.ค.!R44+มิ.ย.!R44</f>
        <v>0</v>
      </c>
      <c r="S45" s="269">
        <f>+เม.ย.!S44+พ.ค.!S44+มิ.ย.!S44</f>
        <v>0</v>
      </c>
      <c r="T45" s="269"/>
      <c r="U45" s="269">
        <f>+เม.ย.!U44+พ.ค.!U44+มิ.ย.!U44</f>
        <v>0</v>
      </c>
      <c r="V45" s="269">
        <f>+เม.ย.!V44+พ.ค.!V44+มิ.ย.!V44</f>
        <v>0</v>
      </c>
    </row>
    <row r="46" spans="1:23" ht="25.5" customHeight="1">
      <c r="A46" s="9"/>
      <c r="B46" s="130" t="s">
        <v>10</v>
      </c>
      <c r="C46" s="216">
        <f>144000+36000+78000+78000-15500</f>
        <v>320500</v>
      </c>
      <c r="D46" s="133"/>
      <c r="E46" s="269">
        <f>+เม.ย.!E45+พ.ค.!E45+มิ.ย.!E45</f>
        <v>30000</v>
      </c>
      <c r="F46" s="269">
        <f>+เม.ย.!F45+พ.ค.!F45+มิ.ย.!F45</f>
        <v>9000</v>
      </c>
      <c r="G46" s="269">
        <f>+เม.ย.!G45+พ.ค.!G45+มิ.ย.!G45</f>
        <v>0</v>
      </c>
      <c r="H46" s="269">
        <f>+เม.ย.!H45+พ.ค.!H45+มิ.ย.!H45</f>
        <v>19500</v>
      </c>
      <c r="I46" s="269">
        <f>+เม.ย.!I45+พ.ค.!I45+มิ.ย.!I45</f>
        <v>0</v>
      </c>
      <c r="J46" s="269">
        <f>+เม.ย.!J45+พ.ค.!J45+มิ.ย.!J45</f>
        <v>0</v>
      </c>
      <c r="K46" s="269">
        <f>+เม.ย.!K45+พ.ค.!K45+มิ.ย.!K45</f>
        <v>0</v>
      </c>
      <c r="L46" s="269">
        <f>+เม.ย.!L45+พ.ค.!L45+มิ.ย.!L45</f>
        <v>0</v>
      </c>
      <c r="M46" s="269">
        <f>+เม.ย.!M45+พ.ค.!M45+มิ.ย.!M45</f>
        <v>19500</v>
      </c>
      <c r="N46" s="269">
        <f>+เม.ย.!N45+พ.ค.!N45+มิ.ย.!N45</f>
        <v>0</v>
      </c>
      <c r="O46" s="269">
        <f>+เม.ย.!O45+พ.ค.!O45+มิ.ย.!O45</f>
        <v>0</v>
      </c>
      <c r="P46" s="269">
        <f>+เม.ย.!P45+พ.ค.!P45+มิ.ย.!P45</f>
        <v>0</v>
      </c>
      <c r="Q46" s="269">
        <f>+เม.ย.!Q45+พ.ค.!Q45+มิ.ย.!Q45</f>
        <v>0</v>
      </c>
      <c r="R46" s="269">
        <f>+เม.ย.!R45+พ.ค.!R45+มิ.ย.!R45</f>
        <v>0</v>
      </c>
      <c r="S46" s="269">
        <f>+เม.ย.!S45+พ.ค.!S45+มิ.ย.!S45</f>
        <v>0</v>
      </c>
      <c r="T46" s="269"/>
      <c r="U46" s="269">
        <f>+เม.ย.!U45+พ.ค.!U45+มิ.ย.!U45</f>
        <v>0</v>
      </c>
      <c r="V46" s="269">
        <f>+เม.ย.!V45+พ.ค.!V45+มิ.ย.!V45</f>
        <v>0</v>
      </c>
    </row>
    <row r="47" spans="1:23" ht="25.5" customHeight="1">
      <c r="A47" s="9"/>
      <c r="B47" s="130" t="s">
        <v>9</v>
      </c>
      <c r="C47" s="216">
        <f>25000+10000+30000+20000</f>
        <v>85000</v>
      </c>
      <c r="D47" s="131"/>
      <c r="E47" s="269">
        <f>+เม.ย.!E46+พ.ค.!E46+มิ.ย.!E46</f>
        <v>0</v>
      </c>
      <c r="F47" s="269">
        <f>+เม.ย.!F46+พ.ค.!F46+มิ.ย.!F46</f>
        <v>0</v>
      </c>
      <c r="G47" s="269">
        <f>+เม.ย.!G46+พ.ค.!G46+มิ.ย.!G46</f>
        <v>0</v>
      </c>
      <c r="H47" s="269">
        <f>+เม.ย.!H46+พ.ค.!H46+มิ.ย.!H46</f>
        <v>4800</v>
      </c>
      <c r="I47" s="269">
        <f>+เม.ย.!I46+พ.ค.!I46+มิ.ย.!I46</f>
        <v>0</v>
      </c>
      <c r="J47" s="269">
        <f>+เม.ย.!J46+พ.ค.!J46+มิ.ย.!J46</f>
        <v>0</v>
      </c>
      <c r="K47" s="269">
        <f>+เม.ย.!K46+พ.ค.!K46+มิ.ย.!K46</f>
        <v>0</v>
      </c>
      <c r="L47" s="269">
        <f>+เม.ย.!L46+พ.ค.!L46+มิ.ย.!L46</f>
        <v>0</v>
      </c>
      <c r="M47" s="269">
        <f>+เม.ย.!M46+พ.ค.!M46+มิ.ย.!M46</f>
        <v>0</v>
      </c>
      <c r="N47" s="269">
        <f>+เม.ย.!N46+พ.ค.!N46+มิ.ย.!N46</f>
        <v>0</v>
      </c>
      <c r="O47" s="269">
        <f>+เม.ย.!O46+พ.ค.!O46+มิ.ย.!O46</f>
        <v>0</v>
      </c>
      <c r="P47" s="269">
        <f>+เม.ย.!P46+พ.ค.!P46+มิ.ย.!P46</f>
        <v>0</v>
      </c>
      <c r="Q47" s="269">
        <f>+เม.ย.!Q46+พ.ค.!Q46+มิ.ย.!Q46</f>
        <v>0</v>
      </c>
      <c r="R47" s="269">
        <f>+เม.ย.!R46+พ.ค.!R46+มิ.ย.!R46</f>
        <v>0</v>
      </c>
      <c r="S47" s="269">
        <f>+เม.ย.!S46+พ.ค.!S46+มิ.ย.!S46</f>
        <v>0</v>
      </c>
      <c r="T47" s="269"/>
      <c r="U47" s="269">
        <f>+เม.ย.!U46+พ.ค.!U46+มิ.ย.!U46</f>
        <v>0</v>
      </c>
      <c r="V47" s="269">
        <f>+เม.ย.!V46+พ.ค.!V46+มิ.ย.!V46</f>
        <v>0</v>
      </c>
    </row>
    <row r="48" spans="1:23" ht="25.5" customHeight="1">
      <c r="A48" s="197"/>
      <c r="B48" s="198" t="s">
        <v>241</v>
      </c>
      <c r="C48" s="286">
        <v>44200</v>
      </c>
      <c r="D48" s="131"/>
      <c r="E48" s="269">
        <f>+เม.ย.!E47+พ.ค.!E47+มิ.ย.!E47</f>
        <v>0</v>
      </c>
      <c r="F48" s="269">
        <f>+เม.ย.!F47+พ.ค.!F47+มิ.ย.!F47</f>
        <v>0</v>
      </c>
      <c r="G48" s="269">
        <f>+เม.ย.!G47+พ.ค.!G47+มิ.ย.!G47</f>
        <v>0</v>
      </c>
      <c r="H48" s="269">
        <f>+เม.ย.!H47+พ.ค.!H47+มิ.ย.!H47</f>
        <v>0</v>
      </c>
      <c r="I48" s="269">
        <f>+เม.ย.!I47+พ.ค.!I47+มิ.ย.!I47</f>
        <v>0</v>
      </c>
      <c r="J48" s="269">
        <f>+เม.ย.!J47+พ.ค.!J47+มิ.ย.!J47</f>
        <v>0</v>
      </c>
      <c r="K48" s="269">
        <f>+เม.ย.!K47+พ.ค.!K47+มิ.ย.!K47</f>
        <v>0</v>
      </c>
      <c r="L48" s="269">
        <f>+เม.ย.!L47+พ.ค.!L47+มิ.ย.!L47</f>
        <v>0</v>
      </c>
      <c r="M48" s="269">
        <f>+เม.ย.!M47+พ.ค.!M47+มิ.ย.!M47</f>
        <v>0</v>
      </c>
      <c r="N48" s="269">
        <f>+เม.ย.!N47+พ.ค.!N47+มิ.ย.!N47</f>
        <v>0</v>
      </c>
      <c r="O48" s="269">
        <f>+เม.ย.!O47+พ.ค.!O47+มิ.ย.!O47</f>
        <v>0</v>
      </c>
      <c r="P48" s="269">
        <f>+เม.ย.!P47+พ.ค.!P47+มิ.ย.!P47</f>
        <v>0</v>
      </c>
      <c r="Q48" s="269">
        <f>+เม.ย.!Q47+พ.ค.!Q47+มิ.ย.!Q47</f>
        <v>0</v>
      </c>
      <c r="R48" s="269">
        <f>+เม.ย.!R47+พ.ค.!R47+มิ.ย.!R47</f>
        <v>0</v>
      </c>
      <c r="S48" s="269">
        <f>+เม.ย.!S47+พ.ค.!S47+มิ.ย.!S47</f>
        <v>0</v>
      </c>
      <c r="T48" s="269"/>
      <c r="U48" s="269">
        <f>+เม.ย.!U47+พ.ค.!U47+มิ.ย.!U47</f>
        <v>0</v>
      </c>
      <c r="V48" s="269">
        <f>+เม.ย.!V47+พ.ค.!V47+มิ.ย.!V47</f>
        <v>0</v>
      </c>
    </row>
    <row r="49" spans="1:24" ht="25.5" customHeight="1" thickBot="1">
      <c r="A49" s="46"/>
      <c r="B49" s="47" t="s">
        <v>5</v>
      </c>
      <c r="C49" s="289">
        <f>SUM(C41:C48)</f>
        <v>474700</v>
      </c>
      <c r="D49" s="255">
        <f>SUM(D41:D48)</f>
        <v>0</v>
      </c>
      <c r="E49" s="254">
        <f>SUM(E41:E48)</f>
        <v>30000</v>
      </c>
      <c r="F49" s="254">
        <f>SUM(F41:F48)</f>
        <v>9000</v>
      </c>
      <c r="G49" s="254">
        <f t="shared" ref="G49:V49" si="3">SUM(G41:G48)</f>
        <v>0</v>
      </c>
      <c r="H49" s="254">
        <f>SUM(H41:H48)</f>
        <v>24300</v>
      </c>
      <c r="I49" s="255">
        <f t="shared" si="3"/>
        <v>0</v>
      </c>
      <c r="J49" s="255">
        <f t="shared" si="3"/>
        <v>0</v>
      </c>
      <c r="K49" s="255">
        <f t="shared" si="3"/>
        <v>0</v>
      </c>
      <c r="L49" s="255">
        <f t="shared" si="3"/>
        <v>0</v>
      </c>
      <c r="M49" s="254">
        <f>SUM(M41:M48)</f>
        <v>19500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82800</v>
      </c>
    </row>
    <row r="50" spans="1:24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3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4" s="310" customFormat="1" ht="25.5" customHeight="1">
      <c r="A51" s="5"/>
      <c r="B51" s="130" t="s">
        <v>100</v>
      </c>
      <c r="C51" s="281">
        <f>15000+7000+20000+15000</f>
        <v>57000</v>
      </c>
      <c r="D51" s="133"/>
      <c r="E51" s="269">
        <f>+เม.ย.!E50+พ.ค.!E50+มิ.ย.!E50</f>
        <v>550</v>
      </c>
      <c r="F51" s="269">
        <f>+เม.ย.!F50+พ.ค.!F50+มิ.ย.!F50</f>
        <v>0</v>
      </c>
      <c r="G51" s="269">
        <f>+เม.ย.!G50+พ.ค.!G50+มิ.ย.!G50</f>
        <v>0</v>
      </c>
      <c r="H51" s="269">
        <f>+เม.ย.!H50+พ.ค.!H50+มิ.ย.!H50</f>
        <v>28700</v>
      </c>
      <c r="I51" s="269">
        <f>+เม.ย.!I50+พ.ค.!I50+มิ.ย.!I50</f>
        <v>0</v>
      </c>
      <c r="J51" s="269">
        <f>+เม.ย.!J50+พ.ค.!J50+มิ.ย.!J50</f>
        <v>0</v>
      </c>
      <c r="K51" s="269">
        <f>+เม.ย.!K50+พ.ค.!K50+มิ.ย.!K50</f>
        <v>0</v>
      </c>
      <c r="L51" s="269">
        <f>+เม.ย.!L50+พ.ค.!L50+มิ.ย.!L50</f>
        <v>0</v>
      </c>
      <c r="M51" s="269">
        <f>+เม.ย.!M50+พ.ค.!M50+มิ.ย.!M50</f>
        <v>0</v>
      </c>
      <c r="N51" s="269">
        <f>+เม.ย.!N50+พ.ค.!N50+มิ.ย.!N50</f>
        <v>0</v>
      </c>
      <c r="O51" s="269">
        <f>+เม.ย.!O50+พ.ค.!O50+มิ.ย.!O50</f>
        <v>0</v>
      </c>
      <c r="P51" s="269">
        <f>+เม.ย.!P50+พ.ค.!P50+มิ.ย.!P50</f>
        <v>0</v>
      </c>
      <c r="Q51" s="269">
        <f>+เม.ย.!Q50+พ.ค.!Q50+มิ.ย.!Q50</f>
        <v>0</v>
      </c>
      <c r="R51" s="269">
        <f>+เม.ย.!R50+พ.ค.!R50+มิ.ย.!R50</f>
        <v>0</v>
      </c>
      <c r="S51" s="269">
        <f>+เม.ย.!S50+พ.ค.!S50+มิ.ย.!S50</f>
        <v>0</v>
      </c>
      <c r="T51" s="269"/>
      <c r="U51" s="269">
        <f>+เม.ย.!U50+พ.ค.!U50+มิ.ย.!U50</f>
        <v>0</v>
      </c>
      <c r="V51" s="269">
        <f>+เม.ย.!V50+พ.ค.!V50+มิ.ย.!V50</f>
        <v>0</v>
      </c>
      <c r="X51"/>
    </row>
    <row r="52" spans="1:24" s="310" customFormat="1" ht="25.5" customHeight="1">
      <c r="A52" s="5"/>
      <c r="B52" s="130" t="s">
        <v>226</v>
      </c>
      <c r="C52" s="281">
        <f>1044000+124000+384000+296000-47000+10000+156000+65000+50000+64500-15000+20000+48300+53200+5700+9400+10000+15500+10000+6400</f>
        <v>2310000</v>
      </c>
      <c r="D52" s="133"/>
      <c r="E52" s="269">
        <f>+เม.ย.!E51+พ.ค.!E51+มิ.ย.!E51</f>
        <v>384000</v>
      </c>
      <c r="F52" s="269">
        <f>+เม.ย.!F51+พ.ค.!F51+มิ.ย.!F51</f>
        <v>21000</v>
      </c>
      <c r="G52" s="269">
        <f>+เม.ย.!G51+พ.ค.!G51+มิ.ย.!G51</f>
        <v>0</v>
      </c>
      <c r="H52" s="269">
        <f>+เม.ย.!H51+พ.ค.!H51+มิ.ย.!H51</f>
        <v>141967</v>
      </c>
      <c r="I52" s="269">
        <f>+เม.ย.!I51+พ.ค.!I51+มิ.ย.!I51</f>
        <v>0</v>
      </c>
      <c r="J52" s="269">
        <f>+เม.ย.!J51+พ.ค.!J51+มิ.ย.!J51</f>
        <v>0</v>
      </c>
      <c r="K52" s="269">
        <f>+เม.ย.!K51+พ.ค.!K51+มิ.ย.!K51</f>
        <v>0</v>
      </c>
      <c r="L52" s="269">
        <f>+เม.ย.!L51+พ.ค.!L51+มิ.ย.!L51</f>
        <v>0</v>
      </c>
      <c r="M52" s="269">
        <f>+เม.ย.!M51+พ.ค.!M51+มิ.ย.!M51</f>
        <v>112500</v>
      </c>
      <c r="N52" s="269">
        <f>+เม.ย.!N51+พ.ค.!N51+มิ.ย.!N51</f>
        <v>0</v>
      </c>
      <c r="O52" s="269">
        <f>+เม.ย.!O51+พ.ค.!O51+มิ.ย.!O51</f>
        <v>0</v>
      </c>
      <c r="P52" s="269">
        <f>+เม.ย.!P51+พ.ค.!P51+มิ.ย.!P51</f>
        <v>0</v>
      </c>
      <c r="Q52" s="269">
        <f>+เม.ย.!Q51+พ.ค.!Q51+มิ.ย.!Q51</f>
        <v>0</v>
      </c>
      <c r="R52" s="269">
        <f>+เม.ย.!R51+พ.ค.!R51+มิ.ย.!R51</f>
        <v>0</v>
      </c>
      <c r="S52" s="269">
        <f>+เม.ย.!S51+พ.ค.!S51+มิ.ย.!S51</f>
        <v>0</v>
      </c>
      <c r="T52" s="269"/>
      <c r="U52" s="269">
        <f>+เม.ย.!U51+พ.ค.!U51+มิ.ย.!U51</f>
        <v>0</v>
      </c>
      <c r="V52" s="269">
        <f>+เม.ย.!V51+พ.ค.!V51+มิ.ย.!V51</f>
        <v>0</v>
      </c>
      <c r="X52"/>
    </row>
    <row r="53" spans="1:24" s="310" customFormat="1" ht="25.5" customHeight="1">
      <c r="A53" s="5"/>
      <c r="B53" s="130" t="s">
        <v>223</v>
      </c>
      <c r="C53" s="281">
        <v>200000</v>
      </c>
      <c r="D53" s="133"/>
      <c r="E53" s="269">
        <f>+เม.ย.!E52+พ.ค.!E52+มิ.ย.!E52</f>
        <v>50000</v>
      </c>
      <c r="F53" s="269">
        <f>+เม.ย.!F52+พ.ค.!F52+มิ.ย.!F52</f>
        <v>0</v>
      </c>
      <c r="G53" s="269">
        <f>+เม.ย.!G52+พ.ค.!G52+มิ.ย.!G52</f>
        <v>0</v>
      </c>
      <c r="H53" s="269">
        <f>+เม.ย.!H52+พ.ค.!H52+มิ.ย.!H52</f>
        <v>0</v>
      </c>
      <c r="I53" s="269">
        <f>+เม.ย.!I52+พ.ค.!I52+มิ.ย.!I52</f>
        <v>0</v>
      </c>
      <c r="J53" s="269">
        <f>+เม.ย.!J52+พ.ค.!J52+มิ.ย.!J52</f>
        <v>0</v>
      </c>
      <c r="K53" s="269">
        <f>+เม.ย.!K52+พ.ค.!K52+มิ.ย.!K52</f>
        <v>0</v>
      </c>
      <c r="L53" s="269">
        <f>+เม.ย.!L52+พ.ค.!L52+มิ.ย.!L52</f>
        <v>0</v>
      </c>
      <c r="M53" s="269">
        <f>+เม.ย.!M52+พ.ค.!M52+มิ.ย.!M52</f>
        <v>0</v>
      </c>
      <c r="N53" s="269">
        <f>+เม.ย.!N52+พ.ค.!N52+มิ.ย.!N52</f>
        <v>0</v>
      </c>
      <c r="O53" s="269">
        <f>+เม.ย.!O52+พ.ค.!O52+มิ.ย.!O52</f>
        <v>0</v>
      </c>
      <c r="P53" s="269">
        <f>+เม.ย.!P52+พ.ค.!P52+มิ.ย.!P52</f>
        <v>0</v>
      </c>
      <c r="Q53" s="269">
        <f>+เม.ย.!Q52+พ.ค.!Q52+มิ.ย.!Q52</f>
        <v>0</v>
      </c>
      <c r="R53" s="269">
        <f>+เม.ย.!R52+พ.ค.!R52+มิ.ย.!R52</f>
        <v>0</v>
      </c>
      <c r="S53" s="269">
        <f>+เม.ย.!S52+พ.ค.!S52+มิ.ย.!S52</f>
        <v>0</v>
      </c>
      <c r="T53" s="269"/>
      <c r="U53" s="269">
        <f>+เม.ย.!U52+พ.ค.!U52+มิ.ย.!U52</f>
        <v>0</v>
      </c>
      <c r="V53" s="269">
        <f>+เม.ย.!V52+พ.ค.!V52+มิ.ย.!V52</f>
        <v>0</v>
      </c>
      <c r="X53"/>
    </row>
    <row r="54" spans="1:24" s="310" customFormat="1" ht="25.5" customHeight="1">
      <c r="A54" s="5"/>
      <c r="B54" s="130" t="s">
        <v>224</v>
      </c>
      <c r="C54" s="281">
        <v>20000</v>
      </c>
      <c r="D54" s="133"/>
      <c r="E54" s="269">
        <f>+เม.ย.!E53+พ.ค.!E53+มิ.ย.!E53</f>
        <v>0</v>
      </c>
      <c r="F54" s="269">
        <f>+เม.ย.!F53+พ.ค.!F53+มิ.ย.!F53</f>
        <v>0</v>
      </c>
      <c r="G54" s="269">
        <f>+เม.ย.!G53+พ.ค.!G53+มิ.ย.!G53</f>
        <v>0</v>
      </c>
      <c r="H54" s="269">
        <f>+เม.ย.!H53+พ.ค.!H53+มิ.ย.!H53</f>
        <v>0</v>
      </c>
      <c r="I54" s="269">
        <f>+เม.ย.!I53+พ.ค.!I53+มิ.ย.!I53</f>
        <v>0</v>
      </c>
      <c r="J54" s="269">
        <f>+เม.ย.!J53+พ.ค.!J53+มิ.ย.!J53</f>
        <v>0</v>
      </c>
      <c r="K54" s="269">
        <f>+เม.ย.!K53+พ.ค.!K53+มิ.ย.!K53</f>
        <v>0</v>
      </c>
      <c r="L54" s="269">
        <f>+เม.ย.!L53+พ.ค.!L53+มิ.ย.!L53</f>
        <v>0</v>
      </c>
      <c r="M54" s="269">
        <f>+เม.ย.!M53+พ.ค.!M53+มิ.ย.!M53</f>
        <v>0</v>
      </c>
      <c r="N54" s="269">
        <f>+เม.ย.!N53+พ.ค.!N53+มิ.ย.!N53</f>
        <v>0</v>
      </c>
      <c r="O54" s="269">
        <f>+เม.ย.!O53+พ.ค.!O53+มิ.ย.!O53</f>
        <v>0</v>
      </c>
      <c r="P54" s="269">
        <f>+เม.ย.!P53+พ.ค.!P53+มิ.ย.!P53</f>
        <v>0</v>
      </c>
      <c r="Q54" s="269">
        <f>+เม.ย.!Q53+พ.ค.!Q53+มิ.ย.!Q53</f>
        <v>0</v>
      </c>
      <c r="R54" s="269">
        <f>+เม.ย.!R53+พ.ค.!R53+มิ.ย.!R53</f>
        <v>0</v>
      </c>
      <c r="S54" s="269">
        <f>+เม.ย.!S53+พ.ค.!S53+มิ.ย.!S53</f>
        <v>0</v>
      </c>
      <c r="T54" s="269"/>
      <c r="U54" s="269">
        <f>+เม.ย.!U53+พ.ค.!U53+มิ.ย.!U53</f>
        <v>0</v>
      </c>
      <c r="V54" s="269">
        <f>+เม.ย.!V53+พ.ค.!V53+มิ.ย.!V53</f>
        <v>0</v>
      </c>
      <c r="X54"/>
    </row>
    <row r="55" spans="1:24" s="310" customFormat="1" ht="25.5" customHeight="1">
      <c r="A55" s="5"/>
      <c r="B55" s="130" t="s">
        <v>225</v>
      </c>
      <c r="C55" s="281">
        <f>10000+14000</f>
        <v>24000</v>
      </c>
      <c r="D55" s="133"/>
      <c r="E55" s="269">
        <f>+เม.ย.!E54+พ.ค.!E54+มิ.ย.!E54</f>
        <v>8250</v>
      </c>
      <c r="F55" s="269">
        <f>+เม.ย.!F54+พ.ค.!F54+มิ.ย.!F54</f>
        <v>0</v>
      </c>
      <c r="G55" s="269">
        <f>+เม.ย.!G54+พ.ค.!G54+มิ.ย.!G54</f>
        <v>0</v>
      </c>
      <c r="H55" s="269">
        <f>+เม.ย.!H54+พ.ค.!H54+มิ.ย.!H54</f>
        <v>0</v>
      </c>
      <c r="I55" s="269">
        <f>+เม.ย.!I54+พ.ค.!I54+มิ.ย.!I54</f>
        <v>0</v>
      </c>
      <c r="J55" s="269">
        <f>+เม.ย.!J54+พ.ค.!J54+มิ.ย.!J54</f>
        <v>0</v>
      </c>
      <c r="K55" s="269">
        <f>+เม.ย.!K54+พ.ค.!K54+มิ.ย.!K54</f>
        <v>0</v>
      </c>
      <c r="L55" s="269">
        <f>+เม.ย.!L54+พ.ค.!L54+มิ.ย.!L54</f>
        <v>0</v>
      </c>
      <c r="M55" s="269">
        <f>+เม.ย.!M54+พ.ค.!M54+มิ.ย.!M54</f>
        <v>0</v>
      </c>
      <c r="N55" s="269">
        <f>+เม.ย.!N54+พ.ค.!N54+มิ.ย.!N54</f>
        <v>0</v>
      </c>
      <c r="O55" s="269">
        <f>+เม.ย.!O54+พ.ค.!O54+มิ.ย.!O54</f>
        <v>0</v>
      </c>
      <c r="P55" s="269">
        <f>+เม.ย.!P54+พ.ค.!P54+มิ.ย.!P54</f>
        <v>0</v>
      </c>
      <c r="Q55" s="269">
        <f>+เม.ย.!Q54+พ.ค.!Q54+มิ.ย.!Q54</f>
        <v>0</v>
      </c>
      <c r="R55" s="269">
        <f>+เม.ย.!R54+พ.ค.!R54+มิ.ย.!R54</f>
        <v>0</v>
      </c>
      <c r="S55" s="269">
        <f>+เม.ย.!S54+พ.ค.!S54+มิ.ย.!S54</f>
        <v>0</v>
      </c>
      <c r="T55" s="269"/>
      <c r="U55" s="269">
        <f>+เม.ย.!U54+พ.ค.!U54+มิ.ย.!U54</f>
        <v>0</v>
      </c>
      <c r="V55" s="269">
        <f>+เม.ย.!V54+พ.ค.!V54+มิ.ย.!V54</f>
        <v>0</v>
      </c>
      <c r="X55"/>
    </row>
    <row r="56" spans="1:24" s="310" customFormat="1" ht="25.5" customHeight="1">
      <c r="A56" s="5"/>
      <c r="B56" s="130" t="s">
        <v>227</v>
      </c>
      <c r="C56" s="281">
        <v>40000</v>
      </c>
      <c r="D56" s="133"/>
      <c r="E56" s="269">
        <f>+เม.ย.!E55+พ.ค.!E55+มิ.ย.!E55</f>
        <v>0</v>
      </c>
      <c r="F56" s="269">
        <f>+เม.ย.!F55+พ.ค.!F55+มิ.ย.!F55</f>
        <v>0</v>
      </c>
      <c r="G56" s="269">
        <f>+เม.ย.!G55+พ.ค.!G55+มิ.ย.!G55</f>
        <v>0</v>
      </c>
      <c r="H56" s="269">
        <f>+เม.ย.!H55+พ.ค.!H55+มิ.ย.!H55</f>
        <v>0</v>
      </c>
      <c r="I56" s="269">
        <f>+เม.ย.!I55+พ.ค.!I55+มิ.ย.!I55</f>
        <v>0</v>
      </c>
      <c r="J56" s="269">
        <f>+เม.ย.!J55+พ.ค.!J55+มิ.ย.!J55</f>
        <v>0</v>
      </c>
      <c r="K56" s="269">
        <f>+เม.ย.!K55+พ.ค.!K55+มิ.ย.!K55</f>
        <v>0</v>
      </c>
      <c r="L56" s="269">
        <f>+เม.ย.!L55+พ.ค.!L55+มิ.ย.!L55</f>
        <v>0</v>
      </c>
      <c r="M56" s="269">
        <f>+เม.ย.!M55+พ.ค.!M55+มิ.ย.!M55</f>
        <v>0</v>
      </c>
      <c r="N56" s="269">
        <f>+เม.ย.!N55+พ.ค.!N55+มิ.ย.!N55</f>
        <v>0</v>
      </c>
      <c r="O56" s="269">
        <f>+เม.ย.!O55+พ.ค.!O55+มิ.ย.!O55</f>
        <v>0</v>
      </c>
      <c r="P56" s="269">
        <f>+เม.ย.!P55+พ.ค.!P55+มิ.ย.!P55</f>
        <v>0</v>
      </c>
      <c r="Q56" s="269">
        <f>+เม.ย.!Q55+พ.ค.!Q55+มิ.ย.!Q55</f>
        <v>0</v>
      </c>
      <c r="R56" s="269">
        <f>+เม.ย.!R55+พ.ค.!R55+มิ.ย.!R55</f>
        <v>0</v>
      </c>
      <c r="S56" s="269">
        <f>+เม.ย.!S55+พ.ค.!S55+มิ.ย.!S55</f>
        <v>0</v>
      </c>
      <c r="T56" s="269"/>
      <c r="U56" s="269">
        <f>+เม.ย.!U55+พ.ค.!U55+มิ.ย.!U55</f>
        <v>0</v>
      </c>
      <c r="V56" s="269">
        <f>+เม.ย.!V55+พ.ค.!V55+มิ.ย.!V55</f>
        <v>0</v>
      </c>
      <c r="X56"/>
    </row>
    <row r="57" spans="1:24" s="310" customFormat="1" ht="25.5" customHeight="1">
      <c r="A57" s="5"/>
      <c r="B57" s="130" t="s">
        <v>228</v>
      </c>
      <c r="C57" s="281">
        <v>9000</v>
      </c>
      <c r="D57" s="133"/>
      <c r="E57" s="269">
        <f>+เม.ย.!E56+พ.ค.!E56+มิ.ย.!E56</f>
        <v>0</v>
      </c>
      <c r="F57" s="269">
        <f>+เม.ย.!F56+พ.ค.!F56+มิ.ย.!F56</f>
        <v>0</v>
      </c>
      <c r="G57" s="269">
        <f>+เม.ย.!G56+พ.ค.!G56+มิ.ย.!G56</f>
        <v>0</v>
      </c>
      <c r="H57" s="269">
        <f>+เม.ย.!H56+พ.ค.!H56+มิ.ย.!H56</f>
        <v>0</v>
      </c>
      <c r="I57" s="269">
        <f>+เม.ย.!I56+พ.ค.!I56+มิ.ย.!I56</f>
        <v>0</v>
      </c>
      <c r="J57" s="269">
        <f>+เม.ย.!J56+พ.ค.!J56+มิ.ย.!J56</f>
        <v>0</v>
      </c>
      <c r="K57" s="269">
        <f>+เม.ย.!K56+พ.ค.!K56+มิ.ย.!K56</f>
        <v>0</v>
      </c>
      <c r="L57" s="269">
        <f>+เม.ย.!L56+พ.ค.!L56+มิ.ย.!L56</f>
        <v>0</v>
      </c>
      <c r="M57" s="269">
        <f>+เม.ย.!M56+พ.ค.!M56+มิ.ย.!M56</f>
        <v>0</v>
      </c>
      <c r="N57" s="269">
        <f>+เม.ย.!N56+พ.ค.!N56+มิ.ย.!N56</f>
        <v>0</v>
      </c>
      <c r="O57" s="269">
        <f>+เม.ย.!O56+พ.ค.!O56+มิ.ย.!O56</f>
        <v>0</v>
      </c>
      <c r="P57" s="269">
        <f>+เม.ย.!P56+พ.ค.!P56+มิ.ย.!P56</f>
        <v>0</v>
      </c>
      <c r="Q57" s="269">
        <f>+เม.ย.!Q56+พ.ค.!Q56+มิ.ย.!Q56</f>
        <v>0</v>
      </c>
      <c r="R57" s="269">
        <f>+เม.ย.!R56+พ.ค.!R56+มิ.ย.!R56</f>
        <v>0</v>
      </c>
      <c r="S57" s="269">
        <f>+เม.ย.!S56+พ.ค.!S56+มิ.ย.!S56</f>
        <v>0</v>
      </c>
      <c r="T57" s="269"/>
      <c r="U57" s="269">
        <f>+เม.ย.!U56+พ.ค.!U56+มิ.ย.!U56</f>
        <v>0</v>
      </c>
      <c r="V57" s="269">
        <f>+เม.ย.!V56+พ.ค.!V56+มิ.ย.!V56</f>
        <v>0</v>
      </c>
      <c r="X57"/>
    </row>
    <row r="58" spans="1:24" s="310" customFormat="1" ht="25.5" customHeight="1">
      <c r="A58" s="5"/>
      <c r="B58" s="130" t="s">
        <v>11</v>
      </c>
      <c r="C58" s="281">
        <f>10000+60000+20000</f>
        <v>90000</v>
      </c>
      <c r="D58" s="133"/>
      <c r="E58" s="269">
        <f>+เม.ย.!E57+พ.ค.!E57+มิ.ย.!E57</f>
        <v>2980</v>
      </c>
      <c r="F58" s="269">
        <f>+เม.ย.!F57+พ.ค.!F57+มิ.ย.!F57</f>
        <v>0</v>
      </c>
      <c r="G58" s="269">
        <f>+เม.ย.!G57+พ.ค.!G57+มิ.ย.!G57</f>
        <v>0</v>
      </c>
      <c r="H58" s="269">
        <f>+เม.ย.!H57+พ.ค.!H57+มิ.ย.!H57</f>
        <v>0</v>
      </c>
      <c r="I58" s="269">
        <f>+เม.ย.!I57+พ.ค.!I57+มิ.ย.!I57</f>
        <v>0</v>
      </c>
      <c r="J58" s="269">
        <f>+เม.ย.!J57+พ.ค.!J57+มิ.ย.!J57</f>
        <v>0</v>
      </c>
      <c r="K58" s="269">
        <f>+เม.ย.!K57+พ.ค.!K57+มิ.ย.!K57</f>
        <v>0</v>
      </c>
      <c r="L58" s="269">
        <f>+เม.ย.!L57+พ.ค.!L57+มิ.ย.!L57</f>
        <v>0</v>
      </c>
      <c r="M58" s="269">
        <f>+เม.ย.!M57+พ.ค.!M57+มิ.ย.!M57</f>
        <v>0</v>
      </c>
      <c r="N58" s="269">
        <f>+เม.ย.!N57+พ.ค.!N57+มิ.ย.!N57</f>
        <v>0</v>
      </c>
      <c r="O58" s="269">
        <f>+เม.ย.!O57+พ.ค.!O57+มิ.ย.!O57</f>
        <v>0</v>
      </c>
      <c r="P58" s="269">
        <f>+เม.ย.!P57+พ.ค.!P57+มิ.ย.!P57</f>
        <v>0</v>
      </c>
      <c r="Q58" s="269">
        <f>+เม.ย.!Q57+พ.ค.!Q57+มิ.ย.!Q57</f>
        <v>0</v>
      </c>
      <c r="R58" s="269">
        <f>+เม.ย.!R57+พ.ค.!R57+มิ.ย.!R57</f>
        <v>0</v>
      </c>
      <c r="S58" s="269">
        <f>+เม.ย.!S57+พ.ค.!S57+มิ.ย.!S57</f>
        <v>0</v>
      </c>
      <c r="T58" s="269"/>
      <c r="U58" s="269">
        <f>+เม.ย.!U57+พ.ค.!U57+มิ.ย.!U57</f>
        <v>0</v>
      </c>
      <c r="V58" s="269">
        <f>+เม.ย.!V57+พ.ค.!V57+มิ.ย.!V57</f>
        <v>0</v>
      </c>
      <c r="X58"/>
    </row>
    <row r="59" spans="1:24" s="310" customFormat="1" ht="25.5" customHeight="1">
      <c r="A59" s="5"/>
      <c r="B59" s="130" t="s">
        <v>229</v>
      </c>
      <c r="C59" s="281">
        <v>10000</v>
      </c>
      <c r="D59" s="133"/>
      <c r="E59" s="269">
        <f>+เม.ย.!E58+พ.ค.!E58+มิ.ย.!E58</f>
        <v>2835</v>
      </c>
      <c r="F59" s="269">
        <f>+เม.ย.!F58+พ.ค.!F58+มิ.ย.!F58</f>
        <v>0</v>
      </c>
      <c r="G59" s="269">
        <f>+เม.ย.!G58+พ.ค.!G58+มิ.ย.!G58</f>
        <v>0</v>
      </c>
      <c r="H59" s="269">
        <f>+เม.ย.!H58+พ.ค.!H58+มิ.ย.!H58</f>
        <v>0</v>
      </c>
      <c r="I59" s="269">
        <f>+เม.ย.!I58+พ.ค.!I58+มิ.ย.!I58</f>
        <v>0</v>
      </c>
      <c r="J59" s="269">
        <f>+เม.ย.!J58+พ.ค.!J58+มิ.ย.!J58</f>
        <v>0</v>
      </c>
      <c r="K59" s="269">
        <f>+เม.ย.!K58+พ.ค.!K58+มิ.ย.!K58</f>
        <v>0</v>
      </c>
      <c r="L59" s="269">
        <f>+เม.ย.!L58+พ.ค.!L58+มิ.ย.!L58</f>
        <v>0</v>
      </c>
      <c r="M59" s="269">
        <f>+เม.ย.!M58+พ.ค.!M58+มิ.ย.!M58</f>
        <v>0</v>
      </c>
      <c r="N59" s="269">
        <f>+เม.ย.!N58+พ.ค.!N58+มิ.ย.!N58</f>
        <v>0</v>
      </c>
      <c r="O59" s="269">
        <f>+เม.ย.!O58+พ.ค.!O58+มิ.ย.!O58</f>
        <v>0</v>
      </c>
      <c r="P59" s="269">
        <f>+เม.ย.!P58+พ.ค.!P58+มิ.ย.!P58</f>
        <v>0</v>
      </c>
      <c r="Q59" s="269">
        <f>+เม.ย.!Q58+พ.ค.!Q58+มิ.ย.!Q58</f>
        <v>0</v>
      </c>
      <c r="R59" s="269">
        <f>+เม.ย.!R58+พ.ค.!R58+มิ.ย.!R58</f>
        <v>0</v>
      </c>
      <c r="S59" s="269">
        <f>+เม.ย.!S58+พ.ค.!S58+มิ.ย.!S58</f>
        <v>0</v>
      </c>
      <c r="T59" s="269"/>
      <c r="U59" s="269">
        <f>+เม.ย.!U58+พ.ค.!U58+มิ.ย.!U58</f>
        <v>0</v>
      </c>
      <c r="V59" s="269">
        <f>+เม.ย.!V58+พ.ค.!V58+มิ.ย.!V58</f>
        <v>0</v>
      </c>
      <c r="X59"/>
    </row>
    <row r="60" spans="1:24" s="310" customFormat="1" ht="25.5" customHeight="1">
      <c r="A60" s="5"/>
      <c r="B60" s="130" t="s">
        <v>230</v>
      </c>
      <c r="C60" s="281">
        <v>20000</v>
      </c>
      <c r="D60" s="133"/>
      <c r="E60" s="269">
        <f>+เม.ย.!E59+พ.ค.!E59+มิ.ย.!E59</f>
        <v>0</v>
      </c>
      <c r="F60" s="269">
        <f>+เม.ย.!F59+พ.ค.!F59+มิ.ย.!F59</f>
        <v>0</v>
      </c>
      <c r="G60" s="269">
        <f>+เม.ย.!G59+พ.ค.!G59+มิ.ย.!G59</f>
        <v>0</v>
      </c>
      <c r="H60" s="269">
        <f>+เม.ย.!H59+พ.ค.!H59+มิ.ย.!H59</f>
        <v>0</v>
      </c>
      <c r="I60" s="269">
        <f>+เม.ย.!I59+พ.ค.!I59+มิ.ย.!I59</f>
        <v>0</v>
      </c>
      <c r="J60" s="269">
        <f>+เม.ย.!J59+พ.ค.!J59+มิ.ย.!J59</f>
        <v>0</v>
      </c>
      <c r="K60" s="269">
        <f>+เม.ย.!K59+พ.ค.!K59+มิ.ย.!K59</f>
        <v>0</v>
      </c>
      <c r="L60" s="269">
        <f>+เม.ย.!L59+พ.ค.!L59+มิ.ย.!L59</f>
        <v>0</v>
      </c>
      <c r="M60" s="269">
        <f>+เม.ย.!M59+พ.ค.!M59+มิ.ย.!M59</f>
        <v>0</v>
      </c>
      <c r="N60" s="269">
        <f>+เม.ย.!N59+พ.ค.!N59+มิ.ย.!N59</f>
        <v>0</v>
      </c>
      <c r="O60" s="269">
        <f>+เม.ย.!O59+พ.ค.!O59+มิ.ย.!O59</f>
        <v>0</v>
      </c>
      <c r="P60" s="269">
        <f>+เม.ย.!P59+พ.ค.!P59+มิ.ย.!P59</f>
        <v>0</v>
      </c>
      <c r="Q60" s="269">
        <f>+เม.ย.!Q59+พ.ค.!Q59+มิ.ย.!Q59</f>
        <v>0</v>
      </c>
      <c r="R60" s="269">
        <f>+เม.ย.!R59+พ.ค.!R59+มิ.ย.!R59</f>
        <v>0</v>
      </c>
      <c r="S60" s="269">
        <f>+เม.ย.!S59+พ.ค.!S59+มิ.ย.!S59</f>
        <v>0</v>
      </c>
      <c r="T60" s="269"/>
      <c r="U60" s="269">
        <f>+เม.ย.!U59+พ.ค.!U59+มิ.ย.!U59</f>
        <v>0</v>
      </c>
      <c r="V60" s="269">
        <f>+เม.ย.!V59+พ.ค.!V59+มิ.ย.!V59</f>
        <v>0</v>
      </c>
      <c r="X60"/>
    </row>
    <row r="61" spans="1:24" s="310" customFormat="1" ht="25.5" customHeight="1">
      <c r="A61" s="9"/>
      <c r="B61" s="130" t="s">
        <v>50</v>
      </c>
      <c r="C61" s="280">
        <f>10000-10000</f>
        <v>0</v>
      </c>
      <c r="D61" s="133"/>
      <c r="E61" s="269">
        <f>+เม.ย.!E60+พ.ค.!E60+มิ.ย.!E60</f>
        <v>0</v>
      </c>
      <c r="F61" s="269">
        <f>+เม.ย.!F60+พ.ค.!F60+มิ.ย.!F60</f>
        <v>0</v>
      </c>
      <c r="G61" s="269">
        <f>+เม.ย.!G60+พ.ค.!G60+มิ.ย.!G60</f>
        <v>0</v>
      </c>
      <c r="H61" s="269">
        <f>+เม.ย.!H60+พ.ค.!H60+มิ.ย.!H60</f>
        <v>0</v>
      </c>
      <c r="I61" s="269">
        <f>+เม.ย.!I60+พ.ค.!I60+มิ.ย.!I60</f>
        <v>0</v>
      </c>
      <c r="J61" s="269">
        <f>+เม.ย.!J60+พ.ค.!J60+มิ.ย.!J60</f>
        <v>0</v>
      </c>
      <c r="K61" s="269">
        <f>+เม.ย.!K60+พ.ค.!K60+มิ.ย.!K60</f>
        <v>0</v>
      </c>
      <c r="L61" s="269">
        <f>+เม.ย.!L60+พ.ค.!L60+มิ.ย.!L60</f>
        <v>0</v>
      </c>
      <c r="M61" s="269">
        <f>+เม.ย.!M60+พ.ค.!M60+มิ.ย.!M60</f>
        <v>0</v>
      </c>
      <c r="N61" s="269">
        <f>+เม.ย.!N60+พ.ค.!N60+มิ.ย.!N60</f>
        <v>0</v>
      </c>
      <c r="O61" s="269">
        <f>+เม.ย.!O60+พ.ค.!O60+มิ.ย.!O60</f>
        <v>0</v>
      </c>
      <c r="P61" s="269">
        <f>+เม.ย.!P60+พ.ค.!P60+มิ.ย.!P60</f>
        <v>0</v>
      </c>
      <c r="Q61" s="269">
        <f>+เม.ย.!Q60+พ.ค.!Q60+มิ.ย.!Q60</f>
        <v>0</v>
      </c>
      <c r="R61" s="269">
        <f>+เม.ย.!R60+พ.ค.!R60+มิ.ย.!R60</f>
        <v>0</v>
      </c>
      <c r="S61" s="269">
        <f>+เม.ย.!S60+พ.ค.!S60+มิ.ย.!S60</f>
        <v>0</v>
      </c>
      <c r="T61" s="269"/>
      <c r="U61" s="269">
        <f>+เม.ย.!U60+พ.ค.!U60+มิ.ย.!U60</f>
        <v>0</v>
      </c>
      <c r="V61" s="269">
        <f>+เม.ย.!V60+พ.ค.!V60+มิ.ย.!V60</f>
        <v>0</v>
      </c>
      <c r="X61"/>
    </row>
    <row r="62" spans="1:24" s="310" customFormat="1" ht="25.5" customHeight="1">
      <c r="A62" s="9"/>
      <c r="B62" s="130" t="s">
        <v>103</v>
      </c>
      <c r="C62" s="280">
        <v>10000</v>
      </c>
      <c r="D62" s="131"/>
      <c r="E62" s="269">
        <f>+เม.ย.!E61+พ.ค.!E61+มิ.ย.!E61</f>
        <v>0</v>
      </c>
      <c r="F62" s="269">
        <f>+เม.ย.!F61+พ.ค.!F61+มิ.ย.!F61</f>
        <v>0</v>
      </c>
      <c r="G62" s="269">
        <f>+เม.ย.!G61+พ.ค.!G61+มิ.ย.!G61</f>
        <v>0</v>
      </c>
      <c r="H62" s="269">
        <f>+เม.ย.!H61+พ.ค.!H61+มิ.ย.!H61</f>
        <v>0</v>
      </c>
      <c r="I62" s="269">
        <f>+เม.ย.!I61+พ.ค.!I61+มิ.ย.!I61</f>
        <v>0</v>
      </c>
      <c r="J62" s="269">
        <f>+เม.ย.!J61+พ.ค.!J61+มิ.ย.!J61</f>
        <v>0</v>
      </c>
      <c r="K62" s="269">
        <f>+เม.ย.!K61+พ.ค.!K61+มิ.ย.!K61</f>
        <v>0</v>
      </c>
      <c r="L62" s="269">
        <f>+เม.ย.!L61+พ.ค.!L61+มิ.ย.!L61</f>
        <v>0</v>
      </c>
      <c r="M62" s="269">
        <f>+เม.ย.!M61+พ.ค.!M61+มิ.ย.!M61</f>
        <v>0</v>
      </c>
      <c r="N62" s="269">
        <f>+เม.ย.!N61+พ.ค.!N61+มิ.ย.!N61</f>
        <v>0</v>
      </c>
      <c r="O62" s="269">
        <f>+เม.ย.!O61+พ.ค.!O61+มิ.ย.!O61</f>
        <v>0</v>
      </c>
      <c r="P62" s="269">
        <f>+เม.ย.!P61+พ.ค.!P61+มิ.ย.!P61</f>
        <v>0</v>
      </c>
      <c r="Q62" s="269">
        <f>+เม.ย.!Q61+พ.ค.!Q61+มิ.ย.!Q61</f>
        <v>0</v>
      </c>
      <c r="R62" s="269">
        <f>+เม.ย.!R61+พ.ค.!R61+มิ.ย.!R61</f>
        <v>0</v>
      </c>
      <c r="S62" s="269">
        <f>+เม.ย.!S61+พ.ค.!S61+มิ.ย.!S61</f>
        <v>0</v>
      </c>
      <c r="T62" s="269"/>
      <c r="U62" s="269">
        <f>+เม.ย.!U61+พ.ค.!U61+มิ.ย.!U61</f>
        <v>0</v>
      </c>
      <c r="V62" s="269">
        <f>+เม.ย.!V61+พ.ค.!V61+มิ.ย.!V61</f>
        <v>0</v>
      </c>
      <c r="X62"/>
    </row>
    <row r="63" spans="1:24" s="310" customFormat="1" ht="25.5" customHeight="1">
      <c r="A63" s="9"/>
      <c r="B63" s="187" t="s">
        <v>106</v>
      </c>
      <c r="C63" s="283">
        <f>200000+30000+30000+80000+19000+1000+10000+2500+2500+2500+2500+20000+15000+5000</f>
        <v>420000</v>
      </c>
      <c r="D63" s="131"/>
      <c r="E63" s="269">
        <f>+เม.ย.!E62+พ.ค.!E62+มิ.ย.!E62</f>
        <v>103655</v>
      </c>
      <c r="F63" s="269">
        <f>+เม.ย.!F62+พ.ค.!F62+มิ.ย.!F62</f>
        <v>16880</v>
      </c>
      <c r="G63" s="269">
        <f>+เม.ย.!G62+พ.ค.!G62+มิ.ย.!G62</f>
        <v>0</v>
      </c>
      <c r="H63" s="269">
        <f>+เม.ย.!H62+พ.ค.!H62+มิ.ย.!H62</f>
        <v>45994</v>
      </c>
      <c r="I63" s="269">
        <f>+เม.ย.!I62+พ.ค.!I62+มิ.ย.!I62</f>
        <v>0</v>
      </c>
      <c r="J63" s="269">
        <f>+เม.ย.!J62+พ.ค.!J62+มิ.ย.!J62</f>
        <v>0</v>
      </c>
      <c r="K63" s="269">
        <f>+เม.ย.!K62+พ.ค.!K62+มิ.ย.!K62</f>
        <v>0</v>
      </c>
      <c r="L63" s="269">
        <f>+เม.ย.!L62+พ.ค.!L62+มิ.ย.!L62</f>
        <v>0</v>
      </c>
      <c r="M63" s="269">
        <f>+เม.ย.!M62+พ.ค.!M62+มิ.ย.!M62</f>
        <v>8400</v>
      </c>
      <c r="N63" s="269">
        <f>+เม.ย.!N62+พ.ค.!N62+มิ.ย.!N62</f>
        <v>0</v>
      </c>
      <c r="O63" s="269">
        <f>+เม.ย.!O62+พ.ค.!O62+มิ.ย.!O62</f>
        <v>0</v>
      </c>
      <c r="P63" s="269">
        <f>+เม.ย.!P62+พ.ค.!P62+มิ.ย.!P62</f>
        <v>0</v>
      </c>
      <c r="Q63" s="269">
        <f>+เม.ย.!Q62+พ.ค.!Q62+มิ.ย.!Q62</f>
        <v>0</v>
      </c>
      <c r="R63" s="269">
        <f>+เม.ย.!R62+พ.ค.!R62+มิ.ย.!R62</f>
        <v>0</v>
      </c>
      <c r="S63" s="269">
        <f>+เม.ย.!S62+พ.ค.!S62+มิ.ย.!S62</f>
        <v>0</v>
      </c>
      <c r="T63" s="269"/>
      <c r="U63" s="269">
        <f>+เม.ย.!U62+พ.ค.!U62+มิ.ย.!U62</f>
        <v>0</v>
      </c>
      <c r="V63" s="269">
        <f>+เม.ย.!V62+พ.ค.!V62+มิ.ย.!V62</f>
        <v>0</v>
      </c>
      <c r="X63"/>
    </row>
    <row r="64" spans="1:24" s="310" customFormat="1" ht="25.5" customHeight="1">
      <c r="A64" s="9"/>
      <c r="B64" s="187" t="s">
        <v>231</v>
      </c>
      <c r="C64" s="283">
        <f>5000+8900</f>
        <v>13900</v>
      </c>
      <c r="D64" s="131"/>
      <c r="E64" s="269">
        <f>+เม.ย.!E63+พ.ค.!E63+มิ.ย.!E63</f>
        <v>0</v>
      </c>
      <c r="F64" s="269">
        <f>+เม.ย.!F63+พ.ค.!F63+มิ.ย.!F63</f>
        <v>0</v>
      </c>
      <c r="G64" s="269">
        <f>+เม.ย.!G63+พ.ค.!G63+มิ.ย.!G63</f>
        <v>0</v>
      </c>
      <c r="H64" s="269">
        <f>+เม.ย.!H63+พ.ค.!H63+มิ.ย.!H63</f>
        <v>0</v>
      </c>
      <c r="I64" s="269">
        <f>+เม.ย.!I63+พ.ค.!I63+มิ.ย.!I63</f>
        <v>0</v>
      </c>
      <c r="J64" s="269">
        <f>+เม.ย.!J63+พ.ค.!J63+มิ.ย.!J63</f>
        <v>0</v>
      </c>
      <c r="K64" s="269">
        <f>+เม.ย.!K63+พ.ค.!K63+มิ.ย.!K63</f>
        <v>0</v>
      </c>
      <c r="L64" s="269">
        <f>+เม.ย.!L63+พ.ค.!L63+มิ.ย.!L63</f>
        <v>0</v>
      </c>
      <c r="M64" s="269">
        <f>+เม.ย.!M63+พ.ค.!M63+มิ.ย.!M63</f>
        <v>0</v>
      </c>
      <c r="N64" s="269">
        <f>+เม.ย.!N63+พ.ค.!N63+มิ.ย.!N63</f>
        <v>0</v>
      </c>
      <c r="O64" s="269">
        <f>+เม.ย.!O63+พ.ค.!O63+มิ.ย.!O63</f>
        <v>0</v>
      </c>
      <c r="P64" s="269">
        <f>+เม.ย.!P63+พ.ค.!P63+มิ.ย.!P63</f>
        <v>0</v>
      </c>
      <c r="Q64" s="269">
        <f>+เม.ย.!Q63+พ.ค.!Q63+มิ.ย.!Q63</f>
        <v>0</v>
      </c>
      <c r="R64" s="269">
        <f>+เม.ย.!R63+พ.ค.!R63+มิ.ย.!R63</f>
        <v>0</v>
      </c>
      <c r="S64" s="269">
        <f>+เม.ย.!S63+พ.ค.!S63+มิ.ย.!S63</f>
        <v>0</v>
      </c>
      <c r="T64" s="269"/>
      <c r="U64" s="269">
        <f>+เม.ย.!U63+พ.ค.!U63+มิ.ย.!U63</f>
        <v>0</v>
      </c>
      <c r="V64" s="269">
        <f>+เม.ย.!V63+พ.ค.!V63+มิ.ย.!V63</f>
        <v>0</v>
      </c>
      <c r="X64"/>
    </row>
    <row r="65" spans="1:24" s="310" customFormat="1" ht="25.5" customHeight="1">
      <c r="A65" s="9"/>
      <c r="B65" s="187" t="s">
        <v>204</v>
      </c>
      <c r="C65" s="283">
        <v>5000</v>
      </c>
      <c r="D65" s="131"/>
      <c r="E65" s="269">
        <f>+เม.ย.!E64+พ.ค.!E64+มิ.ย.!E64</f>
        <v>0</v>
      </c>
      <c r="F65" s="269">
        <f>+เม.ย.!F64+พ.ค.!F64+มิ.ย.!F64</f>
        <v>0</v>
      </c>
      <c r="G65" s="269">
        <f>+เม.ย.!G64+พ.ค.!G64+มิ.ย.!G64</f>
        <v>0</v>
      </c>
      <c r="H65" s="269">
        <f>+เม.ย.!H64+พ.ค.!H64+มิ.ย.!H64</f>
        <v>0</v>
      </c>
      <c r="I65" s="269">
        <f>+เม.ย.!I64+พ.ค.!I64+มิ.ย.!I64</f>
        <v>0</v>
      </c>
      <c r="J65" s="269">
        <f>+เม.ย.!J64+พ.ค.!J64+มิ.ย.!J64</f>
        <v>0</v>
      </c>
      <c r="K65" s="269">
        <f>+เม.ย.!K64+พ.ค.!K64+มิ.ย.!K64</f>
        <v>0</v>
      </c>
      <c r="L65" s="269">
        <f>+เม.ย.!L64+พ.ค.!L64+มิ.ย.!L64</f>
        <v>0</v>
      </c>
      <c r="M65" s="269">
        <f>+เม.ย.!M64+พ.ค.!M64+มิ.ย.!M64</f>
        <v>0</v>
      </c>
      <c r="N65" s="269">
        <f>+เม.ย.!N64+พ.ค.!N64+มิ.ย.!N64</f>
        <v>0</v>
      </c>
      <c r="O65" s="269">
        <f>+เม.ย.!O64+พ.ค.!O64+มิ.ย.!O64</f>
        <v>0</v>
      </c>
      <c r="P65" s="269">
        <f>+เม.ย.!P64+พ.ค.!P64+มิ.ย.!P64</f>
        <v>0</v>
      </c>
      <c r="Q65" s="269">
        <f>+เม.ย.!Q64+พ.ค.!Q64+มิ.ย.!Q64</f>
        <v>0</v>
      </c>
      <c r="R65" s="269">
        <f>+เม.ย.!R64+พ.ค.!R64+มิ.ย.!R64</f>
        <v>0</v>
      </c>
      <c r="S65" s="269">
        <f>+เม.ย.!S64+พ.ค.!S64+มิ.ย.!S64</f>
        <v>0</v>
      </c>
      <c r="T65" s="269"/>
      <c r="U65" s="269">
        <f>+เม.ย.!U64+พ.ค.!U64+มิ.ย.!U64</f>
        <v>0</v>
      </c>
      <c r="V65" s="269">
        <f>+เม.ย.!V64+พ.ค.!V64+มิ.ย.!V64</f>
        <v>0</v>
      </c>
      <c r="X65"/>
    </row>
    <row r="66" spans="1:24" s="310" customFormat="1" ht="25.5" customHeight="1">
      <c r="A66" s="9"/>
      <c r="B66" s="187" t="s">
        <v>232</v>
      </c>
      <c r="C66" s="283">
        <f>120000+100000-6400</f>
        <v>213600</v>
      </c>
      <c r="D66" s="131"/>
      <c r="E66" s="269">
        <f>+เม.ย.!E65+พ.ค.!E65+มิ.ย.!E65</f>
        <v>56000</v>
      </c>
      <c r="F66" s="269">
        <f>+เม.ย.!F65+พ.ค.!F65+มิ.ย.!F65</f>
        <v>0</v>
      </c>
      <c r="G66" s="269">
        <f>+เม.ย.!G65+พ.ค.!G65+มิ.ย.!G65</f>
        <v>0</v>
      </c>
      <c r="H66" s="269">
        <f>+เม.ย.!H65+พ.ค.!H65+มิ.ย.!H65</f>
        <v>0</v>
      </c>
      <c r="I66" s="269">
        <f>+เม.ย.!I65+พ.ค.!I65+มิ.ย.!I65</f>
        <v>0</v>
      </c>
      <c r="J66" s="269">
        <f>+เม.ย.!J65+พ.ค.!J65+มิ.ย.!J65</f>
        <v>0</v>
      </c>
      <c r="K66" s="269">
        <f>+เม.ย.!K65+พ.ค.!K65+มิ.ย.!K65</f>
        <v>0</v>
      </c>
      <c r="L66" s="269">
        <f>+เม.ย.!L65+พ.ค.!L65+มิ.ย.!L65</f>
        <v>0</v>
      </c>
      <c r="M66" s="269">
        <f>+เม.ย.!M65+พ.ค.!M65+มิ.ย.!M65</f>
        <v>0</v>
      </c>
      <c r="N66" s="269">
        <f>+เม.ย.!N65+พ.ค.!N65+มิ.ย.!N65</f>
        <v>0</v>
      </c>
      <c r="O66" s="269">
        <f>+เม.ย.!O65+พ.ค.!O65+มิ.ย.!O65</f>
        <v>0</v>
      </c>
      <c r="P66" s="269">
        <f>+เม.ย.!P65+พ.ค.!P65+มิ.ย.!P65</f>
        <v>0</v>
      </c>
      <c r="Q66" s="269">
        <f>+เม.ย.!Q65+พ.ค.!Q65+มิ.ย.!Q65</f>
        <v>0</v>
      </c>
      <c r="R66" s="269">
        <f>+เม.ย.!R65+พ.ค.!R65+มิ.ย.!R65</f>
        <v>0</v>
      </c>
      <c r="S66" s="269">
        <f>+เม.ย.!S65+พ.ค.!S65+มิ.ย.!S65</f>
        <v>0</v>
      </c>
      <c r="T66" s="269"/>
      <c r="U66" s="269">
        <f>+เม.ย.!U65+พ.ค.!U65+มิ.ย.!U65</f>
        <v>0</v>
      </c>
      <c r="V66" s="269">
        <f>+เม.ย.!V65+พ.ค.!V65+มิ.ย.!V65</f>
        <v>0</v>
      </c>
      <c r="X66"/>
    </row>
    <row r="67" spans="1:24" s="310" customFormat="1" ht="25.5" customHeight="1">
      <c r="A67" s="9"/>
      <c r="B67" s="187" t="s">
        <v>233</v>
      </c>
      <c r="C67" s="283">
        <f>125000-8900-16100</f>
        <v>100000</v>
      </c>
      <c r="D67" s="131"/>
      <c r="E67" s="269">
        <f>+เม.ย.!E66+พ.ค.!E66+มิ.ย.!E66</f>
        <v>0</v>
      </c>
      <c r="F67" s="269">
        <f>+เม.ย.!F66+พ.ค.!F66+มิ.ย.!F66</f>
        <v>0</v>
      </c>
      <c r="G67" s="269">
        <f>+เม.ย.!G66+พ.ค.!G66+มิ.ย.!G66</f>
        <v>0</v>
      </c>
      <c r="H67" s="269">
        <f>+เม.ย.!H66+พ.ค.!H66+มิ.ย.!H66</f>
        <v>0</v>
      </c>
      <c r="I67" s="269">
        <f>+เม.ย.!I66+พ.ค.!I66+มิ.ย.!I66</f>
        <v>0</v>
      </c>
      <c r="J67" s="269">
        <f>+เม.ย.!J66+พ.ค.!J66+มิ.ย.!J66</f>
        <v>0</v>
      </c>
      <c r="K67" s="269">
        <f>+เม.ย.!K66+พ.ค.!K66+มิ.ย.!K66</f>
        <v>0</v>
      </c>
      <c r="L67" s="269">
        <f>+เม.ย.!L66+พ.ค.!L66+มิ.ย.!L66</f>
        <v>0</v>
      </c>
      <c r="M67" s="269">
        <f>+เม.ย.!M66+พ.ค.!M66+มิ.ย.!M66</f>
        <v>0</v>
      </c>
      <c r="N67" s="269">
        <f>+เม.ย.!N66+พ.ค.!N66+มิ.ย.!N66</f>
        <v>0</v>
      </c>
      <c r="O67" s="269">
        <f>+เม.ย.!O66+พ.ค.!O66+มิ.ย.!O66</f>
        <v>0</v>
      </c>
      <c r="P67" s="269">
        <f>+เม.ย.!P66+พ.ค.!P66+มิ.ย.!P66</f>
        <v>0</v>
      </c>
      <c r="Q67" s="269">
        <f>+เม.ย.!Q66+พ.ค.!Q66+มิ.ย.!Q66</f>
        <v>0</v>
      </c>
      <c r="R67" s="269">
        <f>+เม.ย.!R66+พ.ค.!R66+มิ.ย.!R66</f>
        <v>0</v>
      </c>
      <c r="S67" s="269">
        <f>+เม.ย.!S66+พ.ค.!S66+มิ.ย.!S66</f>
        <v>0</v>
      </c>
      <c r="T67" s="269"/>
      <c r="U67" s="269">
        <f>+เม.ย.!U66+พ.ค.!U66+มิ.ย.!U66</f>
        <v>0</v>
      </c>
      <c r="V67" s="269">
        <f>+เม.ย.!V66+พ.ค.!V66+มิ.ย.!V66</f>
        <v>0</v>
      </c>
      <c r="X67"/>
    </row>
    <row r="68" spans="1:24" s="310" customFormat="1" ht="25.5" customHeight="1">
      <c r="A68" s="9"/>
      <c r="B68" s="187" t="s">
        <v>234</v>
      </c>
      <c r="C68" s="283">
        <v>5000</v>
      </c>
      <c r="D68" s="131"/>
      <c r="E68" s="269">
        <f>+เม.ย.!E67+พ.ค.!E67+มิ.ย.!E67</f>
        <v>0</v>
      </c>
      <c r="F68" s="269">
        <f>+เม.ย.!F67+พ.ค.!F67+มิ.ย.!F67</f>
        <v>0</v>
      </c>
      <c r="G68" s="269">
        <f>+เม.ย.!G67+พ.ค.!G67+มิ.ย.!G67</f>
        <v>0</v>
      </c>
      <c r="H68" s="269">
        <f>+เม.ย.!H67+พ.ค.!H67+มิ.ย.!H67</f>
        <v>0</v>
      </c>
      <c r="I68" s="269">
        <f>+เม.ย.!I67+พ.ค.!I67+มิ.ย.!I67</f>
        <v>0</v>
      </c>
      <c r="J68" s="269">
        <f>+เม.ย.!J67+พ.ค.!J67+มิ.ย.!J67</f>
        <v>0</v>
      </c>
      <c r="K68" s="269">
        <f>+เม.ย.!K67+พ.ค.!K67+มิ.ย.!K67</f>
        <v>0</v>
      </c>
      <c r="L68" s="269">
        <f>+เม.ย.!L67+พ.ค.!L67+มิ.ย.!L67</f>
        <v>0</v>
      </c>
      <c r="M68" s="269">
        <f>+เม.ย.!M67+พ.ค.!M67+มิ.ย.!M67</f>
        <v>0</v>
      </c>
      <c r="N68" s="269">
        <f>+เม.ย.!N67+พ.ค.!N67+มิ.ย.!N67</f>
        <v>0</v>
      </c>
      <c r="O68" s="269">
        <f>+เม.ย.!O67+พ.ค.!O67+มิ.ย.!O67</f>
        <v>0</v>
      </c>
      <c r="P68" s="269">
        <f>+เม.ย.!P67+พ.ค.!P67+มิ.ย.!P67</f>
        <v>0</v>
      </c>
      <c r="Q68" s="269">
        <f>+เม.ย.!Q67+พ.ค.!Q67+มิ.ย.!Q67</f>
        <v>0</v>
      </c>
      <c r="R68" s="269">
        <f>+เม.ย.!R67+พ.ค.!R67+มิ.ย.!R67</f>
        <v>0</v>
      </c>
      <c r="S68" s="269">
        <f>+เม.ย.!S67+พ.ค.!S67+มิ.ย.!S67</f>
        <v>0</v>
      </c>
      <c r="T68" s="269"/>
      <c r="U68" s="269">
        <f>+เม.ย.!U67+พ.ค.!U67+มิ.ย.!U67</f>
        <v>0</v>
      </c>
      <c r="V68" s="269">
        <f>+เม.ย.!V67+พ.ค.!V67+มิ.ย.!V67</f>
        <v>0</v>
      </c>
      <c r="X68"/>
    </row>
    <row r="69" spans="1:24" s="310" customFormat="1" ht="25.5" customHeight="1">
      <c r="A69" s="9"/>
      <c r="B69" s="187" t="s">
        <v>235</v>
      </c>
      <c r="C69" s="283">
        <v>90000</v>
      </c>
      <c r="D69" s="131"/>
      <c r="E69" s="269">
        <f>+เม.ย.!E68+พ.ค.!E68+มิ.ย.!E68</f>
        <v>59500</v>
      </c>
      <c r="F69" s="269">
        <f>+เม.ย.!F68+พ.ค.!F68+มิ.ย.!F68</f>
        <v>0</v>
      </c>
      <c r="G69" s="269">
        <f>+เม.ย.!G68+พ.ค.!G68+มิ.ย.!G68</f>
        <v>0</v>
      </c>
      <c r="H69" s="269">
        <f>+เม.ย.!H68+พ.ค.!H68+มิ.ย.!H68</f>
        <v>0</v>
      </c>
      <c r="I69" s="269">
        <f>+เม.ย.!I68+พ.ค.!I68+มิ.ย.!I68</f>
        <v>0</v>
      </c>
      <c r="J69" s="269">
        <f>+เม.ย.!J68+พ.ค.!J68+มิ.ย.!J68</f>
        <v>0</v>
      </c>
      <c r="K69" s="269">
        <f>+เม.ย.!K68+พ.ค.!K68+มิ.ย.!K68</f>
        <v>0</v>
      </c>
      <c r="L69" s="269">
        <f>+เม.ย.!L68+พ.ค.!L68+มิ.ย.!L68</f>
        <v>0</v>
      </c>
      <c r="M69" s="269">
        <f>+เม.ย.!M68+พ.ค.!M68+มิ.ย.!M68</f>
        <v>0</v>
      </c>
      <c r="N69" s="269">
        <f>+เม.ย.!N68+พ.ค.!N68+มิ.ย.!N68</f>
        <v>0</v>
      </c>
      <c r="O69" s="269">
        <f>+เม.ย.!O68+พ.ค.!O68+มิ.ย.!O68</f>
        <v>0</v>
      </c>
      <c r="P69" s="269">
        <f>+เม.ย.!P68+พ.ค.!P68+มิ.ย.!P68</f>
        <v>0</v>
      </c>
      <c r="Q69" s="269">
        <f>+เม.ย.!Q68+พ.ค.!Q68+มิ.ย.!Q68</f>
        <v>0</v>
      </c>
      <c r="R69" s="269">
        <f>+เม.ย.!R68+พ.ค.!R68+มิ.ย.!R68</f>
        <v>0</v>
      </c>
      <c r="S69" s="269">
        <f>+เม.ย.!S68+พ.ค.!S68+มิ.ย.!S68</f>
        <v>0</v>
      </c>
      <c r="T69" s="269"/>
      <c r="U69" s="269">
        <f>+เม.ย.!U68+พ.ค.!U68+มิ.ย.!U68</f>
        <v>0</v>
      </c>
      <c r="V69" s="269">
        <f>+เม.ย.!V68+พ.ค.!V68+มิ.ย.!V68</f>
        <v>0</v>
      </c>
      <c r="X69"/>
    </row>
    <row r="70" spans="1:24" s="310" customFormat="1" ht="25.5" customHeight="1">
      <c r="A70" s="9"/>
      <c r="B70" s="187" t="s">
        <v>236</v>
      </c>
      <c r="C70" s="283">
        <v>5000</v>
      </c>
      <c r="D70" s="131"/>
      <c r="E70" s="269">
        <f>+เม.ย.!E69+พ.ค.!E69+มิ.ย.!E69</f>
        <v>0</v>
      </c>
      <c r="F70" s="269">
        <f>+เม.ย.!F69+พ.ค.!F69+มิ.ย.!F69</f>
        <v>0</v>
      </c>
      <c r="G70" s="269">
        <f>+เม.ย.!G69+พ.ค.!G69+มิ.ย.!G69</f>
        <v>0</v>
      </c>
      <c r="H70" s="269">
        <f>+เม.ย.!H69+พ.ค.!H69+มิ.ย.!H69</f>
        <v>0</v>
      </c>
      <c r="I70" s="269">
        <f>+เม.ย.!I69+พ.ค.!I69+มิ.ย.!I69</f>
        <v>0</v>
      </c>
      <c r="J70" s="269">
        <f>+เม.ย.!J69+พ.ค.!J69+มิ.ย.!J69</f>
        <v>0</v>
      </c>
      <c r="K70" s="269">
        <f>+เม.ย.!K69+พ.ค.!K69+มิ.ย.!K69</f>
        <v>0</v>
      </c>
      <c r="L70" s="269">
        <f>+เม.ย.!L69+พ.ค.!L69+มิ.ย.!L69</f>
        <v>0</v>
      </c>
      <c r="M70" s="269">
        <f>+เม.ย.!M69+พ.ค.!M69+มิ.ย.!M69</f>
        <v>0</v>
      </c>
      <c r="N70" s="269">
        <f>+เม.ย.!N69+พ.ค.!N69+มิ.ย.!N69</f>
        <v>0</v>
      </c>
      <c r="O70" s="269">
        <f>+เม.ย.!O69+พ.ค.!O69+มิ.ย.!O69</f>
        <v>0</v>
      </c>
      <c r="P70" s="269">
        <f>+เม.ย.!P69+พ.ค.!P69+มิ.ย.!P69</f>
        <v>0</v>
      </c>
      <c r="Q70" s="269">
        <f>+เม.ย.!Q69+พ.ค.!Q69+มิ.ย.!Q69</f>
        <v>0</v>
      </c>
      <c r="R70" s="269">
        <f>+เม.ย.!R69+พ.ค.!R69+มิ.ย.!R69</f>
        <v>0</v>
      </c>
      <c r="S70" s="269">
        <f>+เม.ย.!S69+พ.ค.!S69+มิ.ย.!S69</f>
        <v>0</v>
      </c>
      <c r="T70" s="269"/>
      <c r="U70" s="269">
        <f>+เม.ย.!U69+พ.ค.!U69+มิ.ย.!U69</f>
        <v>0</v>
      </c>
      <c r="V70" s="269">
        <f>+เม.ย.!V69+พ.ค.!V69+มิ.ย.!V69</f>
        <v>0</v>
      </c>
      <c r="X70"/>
    </row>
    <row r="71" spans="1:24" s="310" customFormat="1" ht="25.5" customHeight="1">
      <c r="A71" s="9"/>
      <c r="B71" s="187" t="s">
        <v>237</v>
      </c>
      <c r="C71" s="283">
        <v>5000</v>
      </c>
      <c r="D71" s="131"/>
      <c r="E71" s="269">
        <f>+เม.ย.!E70+พ.ค.!E70+มิ.ย.!E70</f>
        <v>0</v>
      </c>
      <c r="F71" s="269">
        <f>+เม.ย.!F70+พ.ค.!F70+มิ.ย.!F70</f>
        <v>0</v>
      </c>
      <c r="G71" s="269">
        <f>+เม.ย.!G70+พ.ค.!G70+มิ.ย.!G70</f>
        <v>0</v>
      </c>
      <c r="H71" s="269">
        <f>+เม.ย.!H70+พ.ค.!H70+มิ.ย.!H70</f>
        <v>0</v>
      </c>
      <c r="I71" s="269">
        <f>+เม.ย.!I70+พ.ค.!I70+มิ.ย.!I70</f>
        <v>0</v>
      </c>
      <c r="J71" s="269">
        <f>+เม.ย.!J70+พ.ค.!J70+มิ.ย.!J70</f>
        <v>0</v>
      </c>
      <c r="K71" s="269">
        <f>+เม.ย.!K70+พ.ค.!K70+มิ.ย.!K70</f>
        <v>0</v>
      </c>
      <c r="L71" s="269">
        <f>+เม.ย.!L70+พ.ค.!L70+มิ.ย.!L70</f>
        <v>0</v>
      </c>
      <c r="M71" s="269">
        <f>+เม.ย.!M70+พ.ค.!M70+มิ.ย.!M70</f>
        <v>0</v>
      </c>
      <c r="N71" s="269">
        <f>+เม.ย.!N70+พ.ค.!N70+มิ.ย.!N70</f>
        <v>0</v>
      </c>
      <c r="O71" s="269">
        <f>+เม.ย.!O70+พ.ค.!O70+มิ.ย.!O70</f>
        <v>0</v>
      </c>
      <c r="P71" s="269">
        <f>+เม.ย.!P70+พ.ค.!P70+มิ.ย.!P70</f>
        <v>0</v>
      </c>
      <c r="Q71" s="269">
        <f>+เม.ย.!Q70+พ.ค.!Q70+มิ.ย.!Q70</f>
        <v>0</v>
      </c>
      <c r="R71" s="269">
        <f>+เม.ย.!R70+พ.ค.!R70+มิ.ย.!R70</f>
        <v>0</v>
      </c>
      <c r="S71" s="269">
        <f>+เม.ย.!S70+พ.ค.!S70+มิ.ย.!S70</f>
        <v>0</v>
      </c>
      <c r="T71" s="269"/>
      <c r="U71" s="269">
        <f>+เม.ย.!U70+พ.ค.!U70+มิ.ย.!U70</f>
        <v>0</v>
      </c>
      <c r="V71" s="269">
        <f>+เม.ย.!V70+พ.ค.!V70+มิ.ย.!V70</f>
        <v>0</v>
      </c>
      <c r="X71"/>
    </row>
    <row r="72" spans="1:24" s="310" customFormat="1" ht="25.5" customHeight="1">
      <c r="A72" s="165"/>
      <c r="B72" s="226" t="s">
        <v>277</v>
      </c>
      <c r="C72" s="279">
        <v>5000</v>
      </c>
      <c r="D72" s="131"/>
      <c r="E72" s="269">
        <f>+เม.ย.!E71+พ.ค.!E71+มิ.ย.!E71</f>
        <v>0</v>
      </c>
      <c r="F72" s="269">
        <f>+เม.ย.!F71+พ.ค.!F71+มิ.ย.!F71</f>
        <v>0</v>
      </c>
      <c r="G72" s="269">
        <f>+เม.ย.!G71+พ.ค.!G71+มิ.ย.!G71</f>
        <v>0</v>
      </c>
      <c r="H72" s="269">
        <f>+เม.ย.!H71+พ.ค.!H71+มิ.ย.!H71</f>
        <v>0</v>
      </c>
      <c r="I72" s="269">
        <f>+เม.ย.!I71+พ.ค.!I71+มิ.ย.!I71</f>
        <v>0</v>
      </c>
      <c r="J72" s="269">
        <f>+เม.ย.!J71+พ.ค.!J71+มิ.ย.!J71</f>
        <v>0</v>
      </c>
      <c r="K72" s="269">
        <f>+เม.ย.!K71+พ.ค.!K71+มิ.ย.!K71</f>
        <v>0</v>
      </c>
      <c r="L72" s="269">
        <f>+เม.ย.!L71+พ.ค.!L71+มิ.ย.!L71</f>
        <v>0</v>
      </c>
      <c r="M72" s="269">
        <f>+เม.ย.!M71+พ.ค.!M71+มิ.ย.!M71</f>
        <v>0</v>
      </c>
      <c r="N72" s="269">
        <f>+เม.ย.!N71+พ.ค.!N71+มิ.ย.!N71</f>
        <v>0</v>
      </c>
      <c r="O72" s="269">
        <f>+เม.ย.!O71+พ.ค.!O71+มิ.ย.!O71</f>
        <v>0</v>
      </c>
      <c r="P72" s="269">
        <f>+เม.ย.!P71+พ.ค.!P71+มิ.ย.!P71</f>
        <v>0</v>
      </c>
      <c r="Q72" s="269">
        <f>+เม.ย.!Q71+พ.ค.!Q71+มิ.ย.!Q71</f>
        <v>0</v>
      </c>
      <c r="R72" s="269">
        <f>+เม.ย.!R71+พ.ค.!R71+มิ.ย.!R71</f>
        <v>0</v>
      </c>
      <c r="S72" s="269">
        <f>+เม.ย.!S71+พ.ค.!S71+มิ.ย.!S71</f>
        <v>0</v>
      </c>
      <c r="T72" s="269"/>
      <c r="U72" s="269">
        <f>+เม.ย.!U71+พ.ค.!U71+มิ.ย.!U71</f>
        <v>0</v>
      </c>
      <c r="V72" s="269">
        <f>+เม.ย.!V71+พ.ค.!V71+มิ.ย.!V71</f>
        <v>0</v>
      </c>
      <c r="X72"/>
    </row>
    <row r="73" spans="1:24" s="310" customFormat="1" ht="25.5" customHeight="1">
      <c r="A73" s="165"/>
      <c r="B73" s="226" t="s">
        <v>107</v>
      </c>
      <c r="C73" s="279">
        <v>10000</v>
      </c>
      <c r="D73" s="131"/>
      <c r="E73" s="269">
        <f>+เม.ย.!E72+พ.ค.!E72+มิ.ย.!E72</f>
        <v>0</v>
      </c>
      <c r="F73" s="269">
        <f>+เม.ย.!F72+พ.ค.!F72+มิ.ย.!F72</f>
        <v>0</v>
      </c>
      <c r="G73" s="269">
        <f>+เม.ย.!G72+พ.ค.!G72+มิ.ย.!G72</f>
        <v>0</v>
      </c>
      <c r="H73" s="269">
        <f>+เม.ย.!H72+พ.ค.!H72+มิ.ย.!H72</f>
        <v>0</v>
      </c>
      <c r="I73" s="269">
        <f>+เม.ย.!I72+พ.ค.!I72+มิ.ย.!I72</f>
        <v>0</v>
      </c>
      <c r="J73" s="269">
        <f>+เม.ย.!J72+พ.ค.!J72+มิ.ย.!J72</f>
        <v>0</v>
      </c>
      <c r="K73" s="269">
        <f>+เม.ย.!K72+พ.ค.!K72+มิ.ย.!K72</f>
        <v>0</v>
      </c>
      <c r="L73" s="269">
        <f>+เม.ย.!L72+พ.ค.!L72+มิ.ย.!L72</f>
        <v>0</v>
      </c>
      <c r="M73" s="269">
        <f>+เม.ย.!M72+พ.ค.!M72+มิ.ย.!M72</f>
        <v>0</v>
      </c>
      <c r="N73" s="269">
        <f>+เม.ย.!N72+พ.ค.!N72+มิ.ย.!N72</f>
        <v>0</v>
      </c>
      <c r="O73" s="269">
        <f>+เม.ย.!O72+พ.ค.!O72+มิ.ย.!O72</f>
        <v>0</v>
      </c>
      <c r="P73" s="269">
        <f>+เม.ย.!P72+พ.ค.!P72+มิ.ย.!P72</f>
        <v>0</v>
      </c>
      <c r="Q73" s="269">
        <f>+เม.ย.!Q72+พ.ค.!Q72+มิ.ย.!Q72</f>
        <v>0</v>
      </c>
      <c r="R73" s="269">
        <f>+เม.ย.!R72+พ.ค.!R72+มิ.ย.!R72</f>
        <v>0</v>
      </c>
      <c r="S73" s="269">
        <f>+เม.ย.!S72+พ.ค.!S72+มิ.ย.!S72</f>
        <v>0</v>
      </c>
      <c r="T73" s="269"/>
      <c r="U73" s="269">
        <f>+เม.ย.!U72+พ.ค.!U72+มิ.ย.!U72</f>
        <v>0</v>
      </c>
      <c r="V73" s="269">
        <f>+เม.ย.!V72+พ.ค.!V72+มิ.ย.!V72</f>
        <v>0</v>
      </c>
      <c r="X73"/>
    </row>
    <row r="74" spans="1:24" s="310" customFormat="1" ht="25.5" customHeight="1">
      <c r="A74" s="9"/>
      <c r="B74" s="226" t="s">
        <v>278</v>
      </c>
      <c r="C74" s="279">
        <v>10000</v>
      </c>
      <c r="D74" s="195"/>
      <c r="E74" s="269">
        <f>+เม.ย.!E73+พ.ค.!E73+มิ.ย.!E73</f>
        <v>0</v>
      </c>
      <c r="F74" s="269">
        <f>+เม.ย.!F73+พ.ค.!F73+มิ.ย.!F73</f>
        <v>0</v>
      </c>
      <c r="G74" s="269">
        <f>+เม.ย.!G73+พ.ค.!G73+มิ.ย.!G73</f>
        <v>0</v>
      </c>
      <c r="H74" s="269">
        <f>+เม.ย.!H73+พ.ค.!H73+มิ.ย.!H73</f>
        <v>0</v>
      </c>
      <c r="I74" s="269">
        <f>+เม.ย.!I73+พ.ค.!I73+มิ.ย.!I73</f>
        <v>0</v>
      </c>
      <c r="J74" s="269">
        <f>+เม.ย.!J73+พ.ค.!J73+มิ.ย.!J73</f>
        <v>0</v>
      </c>
      <c r="K74" s="269">
        <f>+เม.ย.!K73+พ.ค.!K73+มิ.ย.!K73</f>
        <v>0</v>
      </c>
      <c r="L74" s="269">
        <f>+เม.ย.!L73+พ.ค.!L73+มิ.ย.!L73</f>
        <v>0</v>
      </c>
      <c r="M74" s="269">
        <f>+เม.ย.!M73+พ.ค.!M73+มิ.ย.!M73</f>
        <v>0</v>
      </c>
      <c r="N74" s="269">
        <f>+เม.ย.!N73+พ.ค.!N73+มิ.ย.!N73</f>
        <v>0</v>
      </c>
      <c r="O74" s="269">
        <f>+เม.ย.!O73+พ.ค.!O73+มิ.ย.!O73</f>
        <v>0</v>
      </c>
      <c r="P74" s="269">
        <f>+เม.ย.!P73+พ.ค.!P73+มิ.ย.!P73</f>
        <v>0</v>
      </c>
      <c r="Q74" s="269">
        <f>+เม.ย.!Q73+พ.ค.!Q73+มิ.ย.!Q73</f>
        <v>0</v>
      </c>
      <c r="R74" s="269">
        <f>+เม.ย.!R73+พ.ค.!R73+มิ.ย.!R73</f>
        <v>0</v>
      </c>
      <c r="S74" s="269">
        <f>+เม.ย.!S73+พ.ค.!S73+มิ.ย.!S73</f>
        <v>0</v>
      </c>
      <c r="T74" s="269"/>
      <c r="U74" s="269">
        <f>+เม.ย.!U73+พ.ค.!U73+มิ.ย.!U73</f>
        <v>0</v>
      </c>
      <c r="V74" s="269">
        <f>+เม.ย.!V73+พ.ค.!V73+มิ.ย.!V73</f>
        <v>0</v>
      </c>
      <c r="X74"/>
    </row>
    <row r="75" spans="1:24" s="310" customFormat="1" ht="25.5" customHeight="1">
      <c r="A75" s="165"/>
      <c r="B75" s="226" t="s">
        <v>279</v>
      </c>
      <c r="C75" s="279">
        <v>10000</v>
      </c>
      <c r="D75" s="195"/>
      <c r="E75" s="269">
        <f>+เม.ย.!E74+พ.ค.!E74+มิ.ย.!E74</f>
        <v>0</v>
      </c>
      <c r="F75" s="269">
        <f>+เม.ย.!F74+พ.ค.!F74+มิ.ย.!F74</f>
        <v>0</v>
      </c>
      <c r="G75" s="269">
        <f>+เม.ย.!G74+พ.ค.!G74+มิ.ย.!G74</f>
        <v>0</v>
      </c>
      <c r="H75" s="269">
        <f>+เม.ย.!H74+พ.ค.!H74+มิ.ย.!H74</f>
        <v>0</v>
      </c>
      <c r="I75" s="269">
        <f>+เม.ย.!I74+พ.ค.!I74+มิ.ย.!I74</f>
        <v>0</v>
      </c>
      <c r="J75" s="269">
        <f>+เม.ย.!J74+พ.ค.!J74+มิ.ย.!J74</f>
        <v>0</v>
      </c>
      <c r="K75" s="269">
        <f>+เม.ย.!K74+พ.ค.!K74+มิ.ย.!K74</f>
        <v>0</v>
      </c>
      <c r="L75" s="269">
        <f>+เม.ย.!L74+พ.ค.!L74+มิ.ย.!L74</f>
        <v>0</v>
      </c>
      <c r="M75" s="269">
        <f>+เม.ย.!M74+พ.ค.!M74+มิ.ย.!M74</f>
        <v>0</v>
      </c>
      <c r="N75" s="269">
        <f>+เม.ย.!N74+พ.ค.!N74+มิ.ย.!N74</f>
        <v>0</v>
      </c>
      <c r="O75" s="269">
        <f>+เม.ย.!O74+พ.ค.!O74+มิ.ย.!O74</f>
        <v>0</v>
      </c>
      <c r="P75" s="269">
        <f>+เม.ย.!P74+พ.ค.!P74+มิ.ย.!P74</f>
        <v>0</v>
      </c>
      <c r="Q75" s="269">
        <f>+เม.ย.!Q74+พ.ค.!Q74+มิ.ย.!Q74</f>
        <v>0</v>
      </c>
      <c r="R75" s="269">
        <f>+เม.ย.!R74+พ.ค.!R74+มิ.ย.!R74</f>
        <v>0</v>
      </c>
      <c r="S75" s="269">
        <f>+เม.ย.!S74+พ.ค.!S74+มิ.ย.!S74</f>
        <v>0</v>
      </c>
      <c r="T75" s="269"/>
      <c r="U75" s="269">
        <f>+เม.ย.!U74+พ.ค.!U74+มิ.ย.!U74</f>
        <v>0</v>
      </c>
      <c r="V75" s="269">
        <f>+เม.ย.!V74+พ.ค.!V74+มิ.ย.!V74</f>
        <v>0</v>
      </c>
      <c r="X75"/>
    </row>
    <row r="76" spans="1:24" s="310" customFormat="1" ht="25.5" customHeight="1">
      <c r="A76" s="9"/>
      <c r="B76" s="226" t="s">
        <v>280</v>
      </c>
      <c r="C76" s="279">
        <v>10000</v>
      </c>
      <c r="D76" s="195"/>
      <c r="E76" s="269">
        <f>+เม.ย.!E75+พ.ค.!E75+มิ.ย.!E75</f>
        <v>0</v>
      </c>
      <c r="F76" s="269">
        <f>+เม.ย.!F75+พ.ค.!F75+มิ.ย.!F75</f>
        <v>0</v>
      </c>
      <c r="G76" s="269">
        <f>+เม.ย.!G75+พ.ค.!G75+มิ.ย.!G75</f>
        <v>0</v>
      </c>
      <c r="H76" s="269">
        <f>+เม.ย.!H75+พ.ค.!H75+มิ.ย.!H75</f>
        <v>0</v>
      </c>
      <c r="I76" s="269">
        <f>+เม.ย.!I75+พ.ค.!I75+มิ.ย.!I75</f>
        <v>0</v>
      </c>
      <c r="J76" s="269">
        <f>+เม.ย.!J75+พ.ค.!J75+มิ.ย.!J75</f>
        <v>0</v>
      </c>
      <c r="K76" s="269">
        <f>+เม.ย.!K75+พ.ค.!K75+มิ.ย.!K75</f>
        <v>0</v>
      </c>
      <c r="L76" s="269">
        <f>+เม.ย.!L75+พ.ค.!L75+มิ.ย.!L75</f>
        <v>0</v>
      </c>
      <c r="M76" s="269">
        <f>+เม.ย.!M75+พ.ค.!M75+มิ.ย.!M75</f>
        <v>0</v>
      </c>
      <c r="N76" s="269">
        <f>+เม.ย.!N75+พ.ค.!N75+มิ.ย.!N75</f>
        <v>0</v>
      </c>
      <c r="O76" s="269">
        <f>+เม.ย.!O75+พ.ค.!O75+มิ.ย.!O75</f>
        <v>0</v>
      </c>
      <c r="P76" s="269">
        <f>+เม.ย.!P75+พ.ค.!P75+มิ.ย.!P75</f>
        <v>0</v>
      </c>
      <c r="Q76" s="269">
        <f>+เม.ย.!Q75+พ.ค.!Q75+มิ.ย.!Q75</f>
        <v>0</v>
      </c>
      <c r="R76" s="269">
        <f>+เม.ย.!R75+พ.ค.!R75+มิ.ย.!R75</f>
        <v>0</v>
      </c>
      <c r="S76" s="269">
        <f>+เม.ย.!S75+พ.ค.!S75+มิ.ย.!S75</f>
        <v>0</v>
      </c>
      <c r="T76" s="269"/>
      <c r="U76" s="269">
        <f>+เม.ย.!U75+พ.ค.!U75+มิ.ย.!U75</f>
        <v>0</v>
      </c>
      <c r="V76" s="269">
        <f>+เม.ย.!V75+พ.ค.!V75+มิ.ย.!V75</f>
        <v>0</v>
      </c>
      <c r="X76"/>
    </row>
    <row r="77" spans="1:24" s="310" customFormat="1" ht="25.5" customHeight="1">
      <c r="A77" s="9"/>
      <c r="B77" s="226" t="s">
        <v>281</v>
      </c>
      <c r="C77" s="279">
        <v>5000</v>
      </c>
      <c r="D77" s="195"/>
      <c r="E77" s="269">
        <f>+เม.ย.!E76+พ.ค.!E76+มิ.ย.!E76</f>
        <v>0</v>
      </c>
      <c r="F77" s="269">
        <f>+เม.ย.!F76+พ.ค.!F76+มิ.ย.!F76</f>
        <v>0</v>
      </c>
      <c r="G77" s="269">
        <f>+เม.ย.!G76+พ.ค.!G76+มิ.ย.!G76</f>
        <v>0</v>
      </c>
      <c r="H77" s="269">
        <f>+เม.ย.!H76+พ.ค.!H76+มิ.ย.!H76</f>
        <v>0</v>
      </c>
      <c r="I77" s="269">
        <f>+เม.ย.!I76+พ.ค.!I76+มิ.ย.!I76</f>
        <v>0</v>
      </c>
      <c r="J77" s="269">
        <f>+เม.ย.!J76+พ.ค.!J76+มิ.ย.!J76</f>
        <v>0</v>
      </c>
      <c r="K77" s="269">
        <f>+เม.ย.!K76+พ.ค.!K76+มิ.ย.!K76</f>
        <v>0</v>
      </c>
      <c r="L77" s="269">
        <f>+เม.ย.!L76+พ.ค.!L76+มิ.ย.!L76</f>
        <v>0</v>
      </c>
      <c r="M77" s="269">
        <f>+เม.ย.!M76+พ.ค.!M76+มิ.ย.!M76</f>
        <v>0</v>
      </c>
      <c r="N77" s="269">
        <f>+เม.ย.!N76+พ.ค.!N76+มิ.ย.!N76</f>
        <v>0</v>
      </c>
      <c r="O77" s="269">
        <f>+เม.ย.!O76+พ.ค.!O76+มิ.ย.!O76</f>
        <v>0</v>
      </c>
      <c r="P77" s="269">
        <f>+เม.ย.!P76+พ.ค.!P76+มิ.ย.!P76</f>
        <v>0</v>
      </c>
      <c r="Q77" s="269">
        <f>+เม.ย.!Q76+พ.ค.!Q76+มิ.ย.!Q76</f>
        <v>0</v>
      </c>
      <c r="R77" s="269">
        <f>+เม.ย.!R76+พ.ค.!R76+มิ.ย.!R76</f>
        <v>0</v>
      </c>
      <c r="S77" s="269">
        <f>+เม.ย.!S76+พ.ค.!S76+มิ.ย.!S76</f>
        <v>0</v>
      </c>
      <c r="T77" s="269"/>
      <c r="U77" s="269">
        <f>+เม.ย.!U76+พ.ค.!U76+มิ.ย.!U76</f>
        <v>0</v>
      </c>
      <c r="V77" s="269">
        <f>+เม.ย.!V76+พ.ค.!V76+มิ.ย.!V76</f>
        <v>0</v>
      </c>
      <c r="X77"/>
    </row>
    <row r="78" spans="1:24" s="310" customFormat="1" ht="25.5" customHeight="1">
      <c r="A78" s="9"/>
      <c r="B78" s="226" t="s">
        <v>282</v>
      </c>
      <c r="C78" s="279">
        <v>5000</v>
      </c>
      <c r="D78" s="195"/>
      <c r="E78" s="269">
        <f>+เม.ย.!E77+พ.ค.!E77+มิ.ย.!E77</f>
        <v>0</v>
      </c>
      <c r="F78" s="269">
        <f>+เม.ย.!F77+พ.ค.!F77+มิ.ย.!F77</f>
        <v>0</v>
      </c>
      <c r="G78" s="269">
        <f>+เม.ย.!G77+พ.ค.!G77+มิ.ย.!G77</f>
        <v>0</v>
      </c>
      <c r="H78" s="269">
        <f>+เม.ย.!H77+พ.ค.!H77+มิ.ย.!H77</f>
        <v>0</v>
      </c>
      <c r="I78" s="269">
        <f>+เม.ย.!I77+พ.ค.!I77+มิ.ย.!I77</f>
        <v>0</v>
      </c>
      <c r="J78" s="269">
        <f>+เม.ย.!J77+พ.ค.!J77+มิ.ย.!J77</f>
        <v>0</v>
      </c>
      <c r="K78" s="269">
        <f>+เม.ย.!K77+พ.ค.!K77+มิ.ย.!K77</f>
        <v>0</v>
      </c>
      <c r="L78" s="269">
        <f>+เม.ย.!L77+พ.ค.!L77+มิ.ย.!L77</f>
        <v>0</v>
      </c>
      <c r="M78" s="269">
        <f>+เม.ย.!M77+พ.ค.!M77+มิ.ย.!M77</f>
        <v>0</v>
      </c>
      <c r="N78" s="269">
        <f>+เม.ย.!N77+พ.ค.!N77+มิ.ย.!N77</f>
        <v>0</v>
      </c>
      <c r="O78" s="269">
        <f>+เม.ย.!O77+พ.ค.!O77+มิ.ย.!O77</f>
        <v>0</v>
      </c>
      <c r="P78" s="269">
        <f>+เม.ย.!P77+พ.ค.!P77+มิ.ย.!P77</f>
        <v>0</v>
      </c>
      <c r="Q78" s="269">
        <f>+เม.ย.!Q77+พ.ค.!Q77+มิ.ย.!Q77</f>
        <v>0</v>
      </c>
      <c r="R78" s="269">
        <f>+เม.ย.!R77+พ.ค.!R77+มิ.ย.!R77</f>
        <v>0</v>
      </c>
      <c r="S78" s="269">
        <f>+เม.ย.!S77+พ.ค.!S77+มิ.ย.!S77</f>
        <v>0</v>
      </c>
      <c r="T78" s="269"/>
      <c r="U78" s="269">
        <f>+เม.ย.!U77+พ.ค.!U77+มิ.ย.!U77</f>
        <v>0</v>
      </c>
      <c r="V78" s="269">
        <f>+เม.ย.!V77+พ.ค.!V77+มิ.ย.!V77</f>
        <v>0</v>
      </c>
      <c r="X78"/>
    </row>
    <row r="79" spans="1:24" s="310" customFormat="1" ht="25.5" customHeight="1">
      <c r="A79" s="9"/>
      <c r="B79" s="226" t="s">
        <v>238</v>
      </c>
      <c r="C79" s="279">
        <f>70000+40000+10000+20000+30000+10000+10000</f>
        <v>190000</v>
      </c>
      <c r="D79" s="195"/>
      <c r="E79" s="269">
        <f>+เม.ย.!E78+พ.ค.!E78+มิ.ย.!E78</f>
        <v>32657.040000000001</v>
      </c>
      <c r="F79" s="269">
        <f>+เม.ย.!F78+พ.ค.!F78+มิ.ย.!F78</f>
        <v>0</v>
      </c>
      <c r="G79" s="269">
        <f>+เม.ย.!G78+พ.ค.!G78+มิ.ย.!G78</f>
        <v>0</v>
      </c>
      <c r="H79" s="269">
        <f>+เม.ย.!H78+พ.ค.!H78+มิ.ย.!H78</f>
        <v>6970</v>
      </c>
      <c r="I79" s="269">
        <f>+เม.ย.!I78+พ.ค.!I78+มิ.ย.!I78</f>
        <v>0</v>
      </c>
      <c r="J79" s="269">
        <f>+เม.ย.!J78+พ.ค.!J78+มิ.ย.!J78</f>
        <v>0</v>
      </c>
      <c r="K79" s="269">
        <f>+เม.ย.!K78+พ.ค.!K78+มิ.ย.!K78</f>
        <v>0</v>
      </c>
      <c r="L79" s="269">
        <f>+เม.ย.!L78+พ.ค.!L78+มิ.ย.!L78</f>
        <v>0</v>
      </c>
      <c r="M79" s="269">
        <f>+เม.ย.!M78+พ.ค.!M78+มิ.ย.!M78</f>
        <v>0</v>
      </c>
      <c r="N79" s="269">
        <f>+เม.ย.!N78+พ.ค.!N78+มิ.ย.!N78</f>
        <v>0</v>
      </c>
      <c r="O79" s="269">
        <f>+เม.ย.!O78+พ.ค.!O78+มิ.ย.!O78</f>
        <v>0</v>
      </c>
      <c r="P79" s="269">
        <f>+เม.ย.!P78+พ.ค.!P78+มิ.ย.!P78</f>
        <v>0</v>
      </c>
      <c r="Q79" s="269">
        <f>+เม.ย.!Q78+พ.ค.!Q78+มิ.ย.!Q78</f>
        <v>0</v>
      </c>
      <c r="R79" s="269">
        <f>+เม.ย.!R78+พ.ค.!R78+มิ.ย.!R78</f>
        <v>0</v>
      </c>
      <c r="S79" s="269">
        <f>+เม.ย.!S78+พ.ค.!S78+มิ.ย.!S78</f>
        <v>0</v>
      </c>
      <c r="T79" s="269"/>
      <c r="U79" s="269">
        <f>+เม.ย.!U78+พ.ค.!U78+มิ.ย.!U78</f>
        <v>0</v>
      </c>
      <c r="V79" s="269">
        <f>+เม.ย.!V78+พ.ค.!V78+มิ.ย.!V78</f>
        <v>0</v>
      </c>
      <c r="X79"/>
    </row>
    <row r="80" spans="1:24" s="310" customFormat="1" ht="25.5" customHeight="1">
      <c r="A80" s="9"/>
      <c r="B80" s="226" t="s">
        <v>121</v>
      </c>
      <c r="C80" s="279">
        <f>100000+47000+3000-140000+40000</f>
        <v>50000</v>
      </c>
      <c r="D80" s="195"/>
      <c r="E80" s="269">
        <f>+เม.ย.!E79+พ.ค.!E79+มิ.ย.!E79</f>
        <v>0</v>
      </c>
      <c r="F80" s="269">
        <f>+เม.ย.!F79+พ.ค.!F79+มิ.ย.!F79</f>
        <v>23586</v>
      </c>
      <c r="G80" s="269">
        <f>+เม.ย.!G79+พ.ค.!G79+มิ.ย.!G79</f>
        <v>0</v>
      </c>
      <c r="H80" s="269">
        <f>+เม.ย.!H79+พ.ค.!H79+มิ.ย.!H79</f>
        <v>0</v>
      </c>
      <c r="I80" s="269">
        <f>+เม.ย.!I79+พ.ค.!I79+มิ.ย.!I79</f>
        <v>0</v>
      </c>
      <c r="J80" s="269">
        <f>+เม.ย.!J79+พ.ค.!J79+มิ.ย.!J79</f>
        <v>0</v>
      </c>
      <c r="K80" s="269">
        <f>+เม.ย.!K79+พ.ค.!K79+มิ.ย.!K79</f>
        <v>0</v>
      </c>
      <c r="L80" s="269">
        <f>+เม.ย.!L79+พ.ค.!L79+มิ.ย.!L79</f>
        <v>0</v>
      </c>
      <c r="M80" s="269">
        <f>+เม.ย.!M79+พ.ค.!M79+มิ.ย.!M79</f>
        <v>0</v>
      </c>
      <c r="N80" s="269">
        <f>+เม.ย.!N79+พ.ค.!N79+มิ.ย.!N79</f>
        <v>0</v>
      </c>
      <c r="O80" s="269">
        <f>+เม.ย.!O79+พ.ค.!O79+มิ.ย.!O79</f>
        <v>0</v>
      </c>
      <c r="P80" s="269">
        <f>+เม.ย.!P79+พ.ค.!P79+มิ.ย.!P79</f>
        <v>0</v>
      </c>
      <c r="Q80" s="269">
        <f>+เม.ย.!Q79+พ.ค.!Q79+มิ.ย.!Q79</f>
        <v>0</v>
      </c>
      <c r="R80" s="269">
        <f>+เม.ย.!R79+พ.ค.!R79+มิ.ย.!R79</f>
        <v>0</v>
      </c>
      <c r="S80" s="269">
        <f>+เม.ย.!S79+พ.ค.!S79+มิ.ย.!S79</f>
        <v>0</v>
      </c>
      <c r="T80" s="269"/>
      <c r="U80" s="269">
        <f>+เม.ย.!U79+พ.ค.!U79+มิ.ย.!U79</f>
        <v>0</v>
      </c>
      <c r="V80" s="269">
        <f>+เม.ย.!V79+พ.ค.!V79+มิ.ย.!V79</f>
        <v>0</v>
      </c>
      <c r="X80"/>
    </row>
    <row r="81" spans="1:24" s="310" customFormat="1" ht="25.5" customHeight="1">
      <c r="A81" s="9"/>
      <c r="B81" s="226" t="s">
        <v>295</v>
      </c>
      <c r="C81" s="279">
        <f>40000+50000</f>
        <v>90000</v>
      </c>
      <c r="D81" s="195"/>
      <c r="E81" s="269">
        <f>+เม.ย.!E80+พ.ค.!E80+มิ.ย.!E80</f>
        <v>0</v>
      </c>
      <c r="F81" s="269">
        <f>+เม.ย.!F80+พ.ค.!F80+มิ.ย.!F80</f>
        <v>0</v>
      </c>
      <c r="G81" s="269">
        <f>+เม.ย.!G80+พ.ค.!G80+มิ.ย.!G80</f>
        <v>4918</v>
      </c>
      <c r="H81" s="269">
        <f>+เม.ย.!H80+พ.ค.!H80+มิ.ย.!H80</f>
        <v>0</v>
      </c>
      <c r="I81" s="269">
        <f>+เม.ย.!I80+พ.ค.!I80+มิ.ย.!I80</f>
        <v>0</v>
      </c>
      <c r="J81" s="269">
        <f>+เม.ย.!J80+พ.ค.!J80+มิ.ย.!J80</f>
        <v>0</v>
      </c>
      <c r="K81" s="269">
        <f>+เม.ย.!K80+พ.ค.!K80+มิ.ย.!K80</f>
        <v>0</v>
      </c>
      <c r="L81" s="269">
        <f>+เม.ย.!L80+พ.ค.!L80+มิ.ย.!L80</f>
        <v>0</v>
      </c>
      <c r="M81" s="269">
        <f>+เม.ย.!M80+พ.ค.!M80+มิ.ย.!M80</f>
        <v>0</v>
      </c>
      <c r="N81" s="269">
        <f>+เม.ย.!N80+พ.ค.!N80+มิ.ย.!N80</f>
        <v>0</v>
      </c>
      <c r="O81" s="269">
        <f>+เม.ย.!O80+พ.ค.!O80+มิ.ย.!O80</f>
        <v>0</v>
      </c>
      <c r="P81" s="269">
        <f>+เม.ย.!P80+พ.ค.!P80+มิ.ย.!P80</f>
        <v>0</v>
      </c>
      <c r="Q81" s="269">
        <f>+เม.ย.!Q80+พ.ค.!Q80+มิ.ย.!Q80</f>
        <v>0</v>
      </c>
      <c r="R81" s="269">
        <f>+เม.ย.!R80+พ.ค.!R80+มิ.ย.!R80</f>
        <v>0</v>
      </c>
      <c r="S81" s="269">
        <f>+เม.ย.!S80+พ.ค.!S80+มิ.ย.!S80</f>
        <v>0</v>
      </c>
      <c r="T81" s="269"/>
      <c r="U81" s="269">
        <f>+เม.ย.!U80+พ.ค.!U80+มิ.ย.!U80</f>
        <v>0</v>
      </c>
      <c r="V81" s="269">
        <f>+เม.ย.!V80+พ.ค.!V80+มิ.ย.!V80</f>
        <v>0</v>
      </c>
      <c r="X81"/>
    </row>
    <row r="82" spans="1:24" s="310" customFormat="1" ht="25.5" customHeight="1">
      <c r="A82" s="9"/>
      <c r="B82" s="226" t="s">
        <v>296</v>
      </c>
      <c r="C82" s="279">
        <v>30000</v>
      </c>
      <c r="D82" s="195"/>
      <c r="E82" s="269">
        <f>+เม.ย.!E81+พ.ค.!E81+มิ.ย.!E81</f>
        <v>0</v>
      </c>
      <c r="F82" s="269">
        <f>+เม.ย.!F81+พ.ค.!F81+มิ.ย.!F81</f>
        <v>0</v>
      </c>
      <c r="G82" s="269">
        <f>+เม.ย.!G81+พ.ค.!G81+มิ.ย.!G81</f>
        <v>14770</v>
      </c>
      <c r="H82" s="269">
        <f>+เม.ย.!H81+พ.ค.!H81+มิ.ย.!H81</f>
        <v>0</v>
      </c>
      <c r="I82" s="269">
        <f>+เม.ย.!I81+พ.ค.!I81+มิ.ย.!I81</f>
        <v>0</v>
      </c>
      <c r="J82" s="269">
        <f>+เม.ย.!J81+พ.ค.!J81+มิ.ย.!J81</f>
        <v>0</v>
      </c>
      <c r="K82" s="269">
        <f>+เม.ย.!K81+พ.ค.!K81+มิ.ย.!K81</f>
        <v>0</v>
      </c>
      <c r="L82" s="269">
        <f>+เม.ย.!L81+พ.ค.!L81+มิ.ย.!L81</f>
        <v>0</v>
      </c>
      <c r="M82" s="269">
        <f>+เม.ย.!M81+พ.ค.!M81+มิ.ย.!M81</f>
        <v>0</v>
      </c>
      <c r="N82" s="269">
        <f>+เม.ย.!N81+พ.ค.!N81+มิ.ย.!N81</f>
        <v>0</v>
      </c>
      <c r="O82" s="269">
        <f>+เม.ย.!O81+พ.ค.!O81+มิ.ย.!O81</f>
        <v>0</v>
      </c>
      <c r="P82" s="269">
        <f>+เม.ย.!P81+พ.ค.!P81+มิ.ย.!P81</f>
        <v>0</v>
      </c>
      <c r="Q82" s="269">
        <f>+เม.ย.!Q81+พ.ค.!Q81+มิ.ย.!Q81</f>
        <v>0</v>
      </c>
      <c r="R82" s="269">
        <f>+เม.ย.!R81+พ.ค.!R81+มิ.ย.!R81</f>
        <v>0</v>
      </c>
      <c r="S82" s="269">
        <f>+เม.ย.!S81+พ.ค.!S81+มิ.ย.!S81</f>
        <v>0</v>
      </c>
      <c r="T82" s="269"/>
      <c r="U82" s="269">
        <f>+เม.ย.!U81+พ.ค.!U81+มิ.ย.!U81</f>
        <v>0</v>
      </c>
      <c r="V82" s="269">
        <f>+เม.ย.!V81+พ.ค.!V81+มิ.ย.!V81</f>
        <v>0</v>
      </c>
      <c r="X82"/>
    </row>
    <row r="83" spans="1:24" s="310" customFormat="1" ht="25.5" customHeight="1">
      <c r="A83" s="9"/>
      <c r="B83" s="226" t="s">
        <v>210</v>
      </c>
      <c r="C83" s="279">
        <v>10000</v>
      </c>
      <c r="D83" s="195"/>
      <c r="E83" s="269">
        <f>+เม.ย.!E82+พ.ค.!E82+มิ.ย.!E82</f>
        <v>0</v>
      </c>
      <c r="F83" s="269">
        <f>+เม.ย.!F82+พ.ค.!F82+มิ.ย.!F82</f>
        <v>0</v>
      </c>
      <c r="G83" s="269">
        <f>+เม.ย.!G82+พ.ค.!G82+มิ.ย.!G82</f>
        <v>0</v>
      </c>
      <c r="H83" s="269">
        <f>+เม.ย.!H82+พ.ค.!H82+มิ.ย.!H82</f>
        <v>0</v>
      </c>
      <c r="I83" s="269">
        <f>+เม.ย.!I82+พ.ค.!I82+มิ.ย.!I82</f>
        <v>0</v>
      </c>
      <c r="J83" s="269">
        <f>+เม.ย.!J82+พ.ค.!J82+มิ.ย.!J82</f>
        <v>0</v>
      </c>
      <c r="K83" s="269">
        <f>+เม.ย.!K82+พ.ค.!K82+มิ.ย.!K82</f>
        <v>0</v>
      </c>
      <c r="L83" s="269">
        <f>+เม.ย.!L82+พ.ค.!L82+มิ.ย.!L82</f>
        <v>0</v>
      </c>
      <c r="M83" s="269">
        <f>+เม.ย.!M82+พ.ค.!M82+มิ.ย.!M82</f>
        <v>0</v>
      </c>
      <c r="N83" s="269">
        <f>+เม.ย.!N82+พ.ค.!N82+มิ.ย.!N82</f>
        <v>0</v>
      </c>
      <c r="O83" s="269">
        <f>+เม.ย.!O82+พ.ค.!O82+มิ.ย.!O82</f>
        <v>0</v>
      </c>
      <c r="P83" s="269">
        <f>+เม.ย.!P82+พ.ค.!P82+มิ.ย.!P82</f>
        <v>0</v>
      </c>
      <c r="Q83" s="269">
        <f>+เม.ย.!Q82+พ.ค.!Q82+มิ.ย.!Q82</f>
        <v>0</v>
      </c>
      <c r="R83" s="269">
        <f>+เม.ย.!R82+พ.ค.!R82+มิ.ย.!R82</f>
        <v>0</v>
      </c>
      <c r="S83" s="269">
        <f>+เม.ย.!S82+พ.ค.!S82+มิ.ย.!S82</f>
        <v>0</v>
      </c>
      <c r="T83" s="269"/>
      <c r="U83" s="269">
        <f>+เม.ย.!U82+พ.ค.!U82+มิ.ย.!U82</f>
        <v>0</v>
      </c>
      <c r="V83" s="269">
        <f>+เม.ย.!V82+พ.ค.!V82+มิ.ย.!V82</f>
        <v>0</v>
      </c>
      <c r="X83"/>
    </row>
    <row r="84" spans="1:24" s="310" customFormat="1" ht="25.5" customHeight="1">
      <c r="A84" s="9"/>
      <c r="B84" s="187" t="s">
        <v>297</v>
      </c>
      <c r="C84" s="279">
        <v>20000</v>
      </c>
      <c r="D84" s="195"/>
      <c r="E84" s="269">
        <f>+เม.ย.!E83+พ.ค.!E83+มิ.ย.!E83</f>
        <v>0</v>
      </c>
      <c r="F84" s="269">
        <f>+เม.ย.!F83+พ.ค.!F83+มิ.ย.!F83</f>
        <v>0</v>
      </c>
      <c r="G84" s="269">
        <f>+เม.ย.!G83+พ.ค.!G83+มิ.ย.!G83</f>
        <v>0</v>
      </c>
      <c r="H84" s="269">
        <f>+เม.ย.!H83+พ.ค.!H83+มิ.ย.!H83</f>
        <v>0</v>
      </c>
      <c r="I84" s="269">
        <f>+เม.ย.!I83+พ.ค.!I83+มิ.ย.!I83</f>
        <v>0</v>
      </c>
      <c r="J84" s="269">
        <f>+เม.ย.!J83+พ.ค.!J83+มิ.ย.!J83</f>
        <v>0</v>
      </c>
      <c r="K84" s="269">
        <f>+เม.ย.!K83+พ.ค.!K83+มิ.ย.!K83</f>
        <v>0</v>
      </c>
      <c r="L84" s="269">
        <f>+เม.ย.!L83+พ.ค.!L83+มิ.ย.!L83</f>
        <v>0</v>
      </c>
      <c r="M84" s="269">
        <f>+เม.ย.!M83+พ.ค.!M83+มิ.ย.!M83</f>
        <v>0</v>
      </c>
      <c r="N84" s="269">
        <f>+เม.ย.!N83+พ.ค.!N83+มิ.ย.!N83</f>
        <v>0</v>
      </c>
      <c r="O84" s="269">
        <f>+เม.ย.!O83+พ.ค.!O83+มิ.ย.!O83</f>
        <v>0</v>
      </c>
      <c r="P84" s="269">
        <f>+เม.ย.!P83+พ.ค.!P83+มิ.ย.!P83</f>
        <v>0</v>
      </c>
      <c r="Q84" s="269">
        <f>+เม.ย.!Q83+พ.ค.!Q83+มิ.ย.!Q83</f>
        <v>0</v>
      </c>
      <c r="R84" s="269">
        <f>+เม.ย.!R83+พ.ค.!R83+มิ.ย.!R83</f>
        <v>0</v>
      </c>
      <c r="S84" s="269">
        <f>+เม.ย.!S83+พ.ค.!S83+มิ.ย.!S83</f>
        <v>0</v>
      </c>
      <c r="T84" s="269"/>
      <c r="U84" s="269">
        <f>+เม.ย.!U83+พ.ค.!U83+มิ.ย.!U83</f>
        <v>0</v>
      </c>
      <c r="V84" s="269">
        <f>+เม.ย.!V83+พ.ค.!V83+มิ.ย.!V83</f>
        <v>0</v>
      </c>
      <c r="X84"/>
    </row>
    <row r="85" spans="1:24" s="310" customFormat="1" ht="25.5" customHeight="1">
      <c r="A85" s="9"/>
      <c r="B85" s="187" t="s">
        <v>298</v>
      </c>
      <c r="C85" s="279">
        <v>20000</v>
      </c>
      <c r="D85" s="195"/>
      <c r="E85" s="269">
        <f>+เม.ย.!E84+พ.ค.!E84+มิ.ย.!E84</f>
        <v>0</v>
      </c>
      <c r="F85" s="269">
        <f>+เม.ย.!F84+พ.ค.!F84+มิ.ย.!F84</f>
        <v>0</v>
      </c>
      <c r="G85" s="269">
        <f>+เม.ย.!G84+พ.ค.!G84+มิ.ย.!G84</f>
        <v>0</v>
      </c>
      <c r="H85" s="269">
        <f>+เม.ย.!H84+พ.ค.!H84+มิ.ย.!H84</f>
        <v>0</v>
      </c>
      <c r="I85" s="269">
        <f>+เม.ย.!I84+พ.ค.!I84+มิ.ย.!I84</f>
        <v>0</v>
      </c>
      <c r="J85" s="269">
        <f>+เม.ย.!J84+พ.ค.!J84+มิ.ย.!J84</f>
        <v>0</v>
      </c>
      <c r="K85" s="269">
        <f>+เม.ย.!K84+พ.ค.!K84+มิ.ย.!K84</f>
        <v>0</v>
      </c>
      <c r="L85" s="269">
        <f>+เม.ย.!L84+พ.ค.!L84+มิ.ย.!L84</f>
        <v>0</v>
      </c>
      <c r="M85" s="269">
        <f>+เม.ย.!M84+พ.ค.!M84+มิ.ย.!M84</f>
        <v>0</v>
      </c>
      <c r="N85" s="269">
        <f>+เม.ย.!N84+พ.ค.!N84+มิ.ย.!N84</f>
        <v>0</v>
      </c>
      <c r="O85" s="269">
        <f>+เม.ย.!O84+พ.ค.!O84+มิ.ย.!O84</f>
        <v>0</v>
      </c>
      <c r="P85" s="269">
        <f>+เม.ย.!P84+พ.ค.!P84+มิ.ย.!P84</f>
        <v>0</v>
      </c>
      <c r="Q85" s="269">
        <f>+เม.ย.!Q84+พ.ค.!Q84+มิ.ย.!Q84</f>
        <v>0</v>
      </c>
      <c r="R85" s="269">
        <f>+เม.ย.!R84+พ.ค.!R84+มิ.ย.!R84</f>
        <v>0</v>
      </c>
      <c r="S85" s="269">
        <f>+เม.ย.!S84+พ.ค.!S84+มิ.ย.!S84</f>
        <v>0</v>
      </c>
      <c r="T85" s="269"/>
      <c r="U85" s="269">
        <f>+เม.ย.!U84+พ.ค.!U84+มิ.ย.!U84</f>
        <v>0</v>
      </c>
      <c r="V85" s="269">
        <f>+เม.ย.!V84+พ.ค.!V84+มิ.ย.!V84</f>
        <v>0</v>
      </c>
      <c r="X85"/>
    </row>
    <row r="86" spans="1:24" s="310" customFormat="1" ht="25.5" customHeight="1">
      <c r="A86" s="9"/>
      <c r="B86" s="187" t="s">
        <v>299</v>
      </c>
      <c r="C86" s="279">
        <v>15000</v>
      </c>
      <c r="D86" s="195"/>
      <c r="E86" s="269">
        <f>+เม.ย.!E85+พ.ค.!E85+มิ.ย.!E85</f>
        <v>0</v>
      </c>
      <c r="F86" s="269">
        <f>+เม.ย.!F85+พ.ค.!F85+มิ.ย.!F85</f>
        <v>0</v>
      </c>
      <c r="G86" s="269">
        <f>+เม.ย.!G85+พ.ค.!G85+มิ.ย.!G85</f>
        <v>0</v>
      </c>
      <c r="H86" s="269">
        <f>+เม.ย.!H85+พ.ค.!H85+มิ.ย.!H85</f>
        <v>15000</v>
      </c>
      <c r="I86" s="269">
        <f>+เม.ย.!I85+พ.ค.!I85+มิ.ย.!I85</f>
        <v>0</v>
      </c>
      <c r="J86" s="269">
        <f>+เม.ย.!J85+พ.ค.!J85+มิ.ย.!J85</f>
        <v>0</v>
      </c>
      <c r="K86" s="269">
        <f>+เม.ย.!K85+พ.ค.!K85+มิ.ย.!K85</f>
        <v>0</v>
      </c>
      <c r="L86" s="269">
        <f>+เม.ย.!L85+พ.ค.!L85+มิ.ย.!L85</f>
        <v>0</v>
      </c>
      <c r="M86" s="269">
        <f>+เม.ย.!M85+พ.ค.!M85+มิ.ย.!M85</f>
        <v>0</v>
      </c>
      <c r="N86" s="269">
        <f>+เม.ย.!N85+พ.ค.!N85+มิ.ย.!N85</f>
        <v>0</v>
      </c>
      <c r="O86" s="269">
        <f>+เม.ย.!O85+พ.ค.!O85+มิ.ย.!O85</f>
        <v>0</v>
      </c>
      <c r="P86" s="269">
        <f>+เม.ย.!P85+พ.ค.!P85+มิ.ย.!P85</f>
        <v>0</v>
      </c>
      <c r="Q86" s="269">
        <f>+เม.ย.!Q85+พ.ค.!Q85+มิ.ย.!Q85</f>
        <v>0</v>
      </c>
      <c r="R86" s="269">
        <f>+เม.ย.!R85+พ.ค.!R85+มิ.ย.!R85</f>
        <v>0</v>
      </c>
      <c r="S86" s="269">
        <f>+เม.ย.!S85+พ.ค.!S85+มิ.ย.!S85</f>
        <v>0</v>
      </c>
      <c r="T86" s="269"/>
      <c r="U86" s="269">
        <f>+เม.ย.!U85+พ.ค.!U85+มิ.ย.!U85</f>
        <v>0</v>
      </c>
      <c r="V86" s="269">
        <f>+เม.ย.!V85+พ.ค.!V85+มิ.ย.!V85</f>
        <v>0</v>
      </c>
      <c r="X86"/>
    </row>
    <row r="87" spans="1:24" s="310" customFormat="1" ht="25.5" customHeight="1">
      <c r="A87" s="9"/>
      <c r="B87" s="187" t="s">
        <v>300</v>
      </c>
      <c r="C87" s="279">
        <v>10000</v>
      </c>
      <c r="D87" s="195"/>
      <c r="E87" s="269">
        <f>+เม.ย.!E86+พ.ค.!E86+มิ.ย.!E86</f>
        <v>0</v>
      </c>
      <c r="F87" s="269">
        <f>+เม.ย.!F86+พ.ค.!F86+มิ.ย.!F86</f>
        <v>0</v>
      </c>
      <c r="G87" s="269">
        <f>+เม.ย.!G86+พ.ค.!G86+มิ.ย.!G86</f>
        <v>0</v>
      </c>
      <c r="H87" s="269">
        <f>+เม.ย.!H86+พ.ค.!H86+มิ.ย.!H86</f>
        <v>0</v>
      </c>
      <c r="I87" s="269">
        <f>+เม.ย.!I86+พ.ค.!I86+มิ.ย.!I86</f>
        <v>0</v>
      </c>
      <c r="J87" s="269">
        <f>+เม.ย.!J86+พ.ค.!J86+มิ.ย.!J86</f>
        <v>0</v>
      </c>
      <c r="K87" s="269">
        <f>+เม.ย.!K86+พ.ค.!K86+มิ.ย.!K86</f>
        <v>0</v>
      </c>
      <c r="L87" s="269">
        <f>+เม.ย.!L86+พ.ค.!L86+มิ.ย.!L86</f>
        <v>0</v>
      </c>
      <c r="M87" s="269">
        <f>+เม.ย.!M86+พ.ค.!M86+มิ.ย.!M86</f>
        <v>0</v>
      </c>
      <c r="N87" s="269">
        <f>+เม.ย.!N86+พ.ค.!N86+มิ.ย.!N86</f>
        <v>0</v>
      </c>
      <c r="O87" s="269">
        <f>+เม.ย.!O86+พ.ค.!O86+มิ.ย.!O86</f>
        <v>0</v>
      </c>
      <c r="P87" s="269">
        <f>+เม.ย.!P86+พ.ค.!P86+มิ.ย.!P86</f>
        <v>0</v>
      </c>
      <c r="Q87" s="269">
        <f>+เม.ย.!Q86+พ.ค.!Q86+มิ.ย.!Q86</f>
        <v>0</v>
      </c>
      <c r="R87" s="269">
        <f>+เม.ย.!R86+พ.ค.!R86+มิ.ย.!R86</f>
        <v>0</v>
      </c>
      <c r="S87" s="269">
        <f>+เม.ย.!S86+พ.ค.!S86+มิ.ย.!S86</f>
        <v>0</v>
      </c>
      <c r="T87" s="269"/>
      <c r="U87" s="269">
        <f>+เม.ย.!U86+พ.ค.!U86+มิ.ย.!U86</f>
        <v>0</v>
      </c>
      <c r="V87" s="269">
        <f>+เม.ย.!V86+พ.ค.!V86+มิ.ย.!V86</f>
        <v>0</v>
      </c>
      <c r="X87"/>
    </row>
    <row r="88" spans="1:24" s="310" customFormat="1" ht="25.5" customHeight="1">
      <c r="A88" s="9"/>
      <c r="B88" s="187" t="s">
        <v>301</v>
      </c>
      <c r="C88" s="279">
        <v>345100</v>
      </c>
      <c r="D88" s="195"/>
      <c r="E88" s="269">
        <f>+เม.ย.!E87+พ.ค.!E87+มิ.ย.!E87</f>
        <v>0</v>
      </c>
      <c r="F88" s="269">
        <f>+เม.ย.!F87+พ.ค.!F87+มิ.ย.!F87</f>
        <v>0</v>
      </c>
      <c r="G88" s="269">
        <f>+เม.ย.!G87+พ.ค.!G87+มิ.ย.!G87</f>
        <v>0</v>
      </c>
      <c r="H88" s="269">
        <f>+เม.ย.!H87+พ.ค.!H87+มิ.ย.!H87</f>
        <v>0</v>
      </c>
      <c r="I88" s="269">
        <f>+เม.ย.!I87+พ.ค.!I87+มิ.ย.!I87</f>
        <v>0</v>
      </c>
      <c r="J88" s="269">
        <f>+เม.ย.!J87+พ.ค.!J87+มิ.ย.!J87</f>
        <v>0</v>
      </c>
      <c r="K88" s="269">
        <f>+เม.ย.!K87+พ.ค.!K87+มิ.ย.!K87</f>
        <v>0</v>
      </c>
      <c r="L88" s="269">
        <f>+เม.ย.!L87+พ.ค.!L87+มิ.ย.!L87</f>
        <v>0</v>
      </c>
      <c r="M88" s="269">
        <f>+เม.ย.!M87+พ.ค.!M87+มิ.ย.!M87</f>
        <v>0</v>
      </c>
      <c r="N88" s="269">
        <f>+เม.ย.!N87+พ.ค.!N87+มิ.ย.!N87</f>
        <v>0</v>
      </c>
      <c r="O88" s="269">
        <f>+เม.ย.!O87+พ.ค.!O87+มิ.ย.!O87</f>
        <v>0</v>
      </c>
      <c r="P88" s="269">
        <f>+เม.ย.!P87+พ.ค.!P87+มิ.ย.!P87</f>
        <v>0</v>
      </c>
      <c r="Q88" s="269">
        <f>+เม.ย.!Q87+พ.ค.!Q87+มิ.ย.!Q87</f>
        <v>0</v>
      </c>
      <c r="R88" s="269">
        <f>+เม.ย.!R87+พ.ค.!R87+มิ.ย.!R87</f>
        <v>0</v>
      </c>
      <c r="S88" s="269">
        <f>+เม.ย.!S87+พ.ค.!S87+มิ.ย.!S87</f>
        <v>0</v>
      </c>
      <c r="T88" s="269"/>
      <c r="U88" s="269">
        <f>+เม.ย.!U87+พ.ค.!U87+มิ.ย.!U87</f>
        <v>0</v>
      </c>
      <c r="V88" s="269">
        <f>+เม.ย.!V87+พ.ค.!V87+มิ.ย.!V87</f>
        <v>0</v>
      </c>
      <c r="X88"/>
    </row>
    <row r="89" spans="1:24" s="310" customFormat="1" ht="25.5" customHeight="1">
      <c r="A89" s="9"/>
      <c r="B89" s="187" t="s">
        <v>242</v>
      </c>
      <c r="C89" s="279">
        <v>40000</v>
      </c>
      <c r="D89" s="195"/>
      <c r="E89" s="269">
        <f>+เม.ย.!E88+พ.ค.!E88+มิ.ย.!E88</f>
        <v>0</v>
      </c>
      <c r="F89" s="269">
        <f>+เม.ย.!F88+พ.ค.!F88+มิ.ย.!F88</f>
        <v>0</v>
      </c>
      <c r="G89" s="269">
        <f>+เม.ย.!G88+พ.ค.!G88+มิ.ย.!G88</f>
        <v>0</v>
      </c>
      <c r="H89" s="269">
        <f>+เม.ย.!H88+พ.ค.!H88+มิ.ย.!H88</f>
        <v>0</v>
      </c>
      <c r="I89" s="269">
        <f>+เม.ย.!I88+พ.ค.!I88+มิ.ย.!I88</f>
        <v>0</v>
      </c>
      <c r="J89" s="269">
        <f>+เม.ย.!J88+พ.ค.!J88+มิ.ย.!J88</f>
        <v>0</v>
      </c>
      <c r="K89" s="269">
        <f>+เม.ย.!K88+พ.ค.!K88+มิ.ย.!K88</f>
        <v>0</v>
      </c>
      <c r="L89" s="269">
        <f>+เม.ย.!L88+พ.ค.!L88+มิ.ย.!L88</f>
        <v>0</v>
      </c>
      <c r="M89" s="269">
        <f>+เม.ย.!M88+พ.ค.!M88+มิ.ย.!M88</f>
        <v>0</v>
      </c>
      <c r="N89" s="269">
        <f>+เม.ย.!N88+พ.ค.!N88+มิ.ย.!N88</f>
        <v>0</v>
      </c>
      <c r="O89" s="269">
        <f>+เม.ย.!O88+พ.ค.!O88+มิ.ย.!O88</f>
        <v>0</v>
      </c>
      <c r="P89" s="269">
        <f>+เม.ย.!P88+พ.ค.!P88+มิ.ย.!P88</f>
        <v>0</v>
      </c>
      <c r="Q89" s="269">
        <f>+เม.ย.!Q88+พ.ค.!Q88+มิ.ย.!Q88</f>
        <v>0</v>
      </c>
      <c r="R89" s="269">
        <f>+เม.ย.!R88+พ.ค.!R88+มิ.ย.!R88</f>
        <v>0</v>
      </c>
      <c r="S89" s="269">
        <f>+เม.ย.!S88+พ.ค.!S88+มิ.ย.!S88</f>
        <v>0</v>
      </c>
      <c r="T89" s="269"/>
      <c r="U89" s="269">
        <f>+เม.ย.!U88+พ.ค.!U88+มิ.ย.!U88</f>
        <v>0</v>
      </c>
      <c r="V89" s="269">
        <f>+เม.ย.!V88+พ.ค.!V88+มิ.ย.!V88</f>
        <v>0</v>
      </c>
      <c r="X89"/>
    </row>
    <row r="90" spans="1:24" s="310" customFormat="1" ht="25.5" customHeight="1">
      <c r="A90" s="9"/>
      <c r="B90" s="187" t="s">
        <v>307</v>
      </c>
      <c r="C90" s="279">
        <f>10000-10000</f>
        <v>0</v>
      </c>
      <c r="D90" s="131"/>
      <c r="E90" s="269">
        <f>+เม.ย.!E89+พ.ค.!E89+มิ.ย.!E89</f>
        <v>0</v>
      </c>
      <c r="F90" s="269">
        <f>+เม.ย.!F89+พ.ค.!F89+มิ.ย.!F89</f>
        <v>0</v>
      </c>
      <c r="G90" s="269">
        <f>+เม.ย.!G89+พ.ค.!G89+มิ.ย.!G89</f>
        <v>0</v>
      </c>
      <c r="H90" s="269">
        <f>+เม.ย.!H89+พ.ค.!H89+มิ.ย.!H89</f>
        <v>0</v>
      </c>
      <c r="I90" s="269">
        <f>+เม.ย.!I89+พ.ค.!I89+มิ.ย.!I89</f>
        <v>0</v>
      </c>
      <c r="J90" s="269">
        <f>+เม.ย.!J89+พ.ค.!J89+มิ.ย.!J89</f>
        <v>0</v>
      </c>
      <c r="K90" s="269">
        <f>+เม.ย.!K89+พ.ค.!K89+มิ.ย.!K89</f>
        <v>0</v>
      </c>
      <c r="L90" s="269">
        <f>+เม.ย.!L89+พ.ค.!L89+มิ.ย.!L89</f>
        <v>0</v>
      </c>
      <c r="M90" s="269">
        <f>+เม.ย.!M89+พ.ค.!M89+มิ.ย.!M89</f>
        <v>0</v>
      </c>
      <c r="N90" s="269">
        <f>+เม.ย.!N89+พ.ค.!N89+มิ.ย.!N89</f>
        <v>0</v>
      </c>
      <c r="O90" s="269">
        <f>+เม.ย.!O89+พ.ค.!O89+มิ.ย.!O89</f>
        <v>0</v>
      </c>
      <c r="P90" s="269">
        <f>+เม.ย.!P89+พ.ค.!P89+มิ.ย.!P89</f>
        <v>0</v>
      </c>
      <c r="Q90" s="269">
        <f>+เม.ย.!Q89+พ.ค.!Q89+มิ.ย.!Q89</f>
        <v>0</v>
      </c>
      <c r="R90" s="269">
        <f>+เม.ย.!R89+พ.ค.!R89+มิ.ย.!R89</f>
        <v>0</v>
      </c>
      <c r="S90" s="269">
        <f>+เม.ย.!S89+พ.ค.!S89+มิ.ย.!S89</f>
        <v>0</v>
      </c>
      <c r="T90" s="269"/>
      <c r="U90" s="269">
        <f>+เม.ย.!U89+พ.ค.!U89+มิ.ย.!U89</f>
        <v>0</v>
      </c>
      <c r="V90" s="269">
        <f>+เม.ย.!V89+พ.ค.!V89+มิ.ย.!V89</f>
        <v>0</v>
      </c>
      <c r="X90"/>
    </row>
    <row r="91" spans="1:24" s="310" customFormat="1" ht="25.5" customHeight="1">
      <c r="A91" s="9"/>
      <c r="B91" s="187" t="s">
        <v>134</v>
      </c>
      <c r="C91" s="279">
        <f>15000-10000</f>
        <v>5000</v>
      </c>
      <c r="D91" s="195"/>
      <c r="E91" s="269">
        <f>+เม.ย.!E90+พ.ค.!E90+มิ.ย.!E90</f>
        <v>0</v>
      </c>
      <c r="F91" s="269">
        <f>+เม.ย.!F90+พ.ค.!F90+มิ.ย.!F90</f>
        <v>0</v>
      </c>
      <c r="G91" s="269">
        <f>+เม.ย.!G90+พ.ค.!G90+มิ.ย.!G90</f>
        <v>0</v>
      </c>
      <c r="H91" s="269">
        <f>+เม.ย.!H90+พ.ค.!H90+มิ.ย.!H90</f>
        <v>0</v>
      </c>
      <c r="I91" s="269">
        <f>+เม.ย.!I90+พ.ค.!I90+มิ.ย.!I90</f>
        <v>5000</v>
      </c>
      <c r="J91" s="269">
        <f>+เม.ย.!J90+พ.ค.!J90+มิ.ย.!J90</f>
        <v>0</v>
      </c>
      <c r="K91" s="269">
        <f>+เม.ย.!K90+พ.ค.!K90+มิ.ย.!K90</f>
        <v>0</v>
      </c>
      <c r="L91" s="269">
        <f>+เม.ย.!L90+พ.ค.!L90+มิ.ย.!L90</f>
        <v>0</v>
      </c>
      <c r="M91" s="269">
        <f>+เม.ย.!M90+พ.ค.!M90+มิ.ย.!M90</f>
        <v>0</v>
      </c>
      <c r="N91" s="269">
        <f>+เม.ย.!N90+พ.ค.!N90+มิ.ย.!N90</f>
        <v>0</v>
      </c>
      <c r="O91" s="269">
        <f>+เม.ย.!O90+พ.ค.!O90+มิ.ย.!O90</f>
        <v>0</v>
      </c>
      <c r="P91" s="269">
        <f>+เม.ย.!P90+พ.ค.!P90+มิ.ย.!P90</f>
        <v>0</v>
      </c>
      <c r="Q91" s="269">
        <f>+เม.ย.!Q90+พ.ค.!Q90+มิ.ย.!Q90</f>
        <v>0</v>
      </c>
      <c r="R91" s="269">
        <f>+เม.ย.!R90+พ.ค.!R90+มิ.ย.!R90</f>
        <v>0</v>
      </c>
      <c r="S91" s="269">
        <f>+เม.ย.!S90+พ.ค.!S90+มิ.ย.!S90</f>
        <v>0</v>
      </c>
      <c r="T91" s="269"/>
      <c r="U91" s="269">
        <f>+เม.ย.!U90+พ.ค.!U90+มิ.ย.!U90</f>
        <v>0</v>
      </c>
      <c r="V91" s="269">
        <f>+เม.ย.!V90+พ.ค.!V90+มิ.ย.!V90</f>
        <v>0</v>
      </c>
      <c r="X91"/>
    </row>
    <row r="92" spans="1:24" s="310" customFormat="1" ht="25.5" customHeight="1">
      <c r="A92" s="9"/>
      <c r="B92" s="187" t="s">
        <v>308</v>
      </c>
      <c r="C92" s="279">
        <f>2500-2500</f>
        <v>0</v>
      </c>
      <c r="D92" s="195"/>
      <c r="E92" s="269">
        <f>+เม.ย.!E91+พ.ค.!E91+มิ.ย.!E91</f>
        <v>0</v>
      </c>
      <c r="F92" s="269">
        <f>+เม.ย.!F91+พ.ค.!F91+มิ.ย.!F91</f>
        <v>0</v>
      </c>
      <c r="G92" s="269">
        <f>+เม.ย.!G91+พ.ค.!G91+มิ.ย.!G91</f>
        <v>0</v>
      </c>
      <c r="H92" s="269">
        <f>+เม.ย.!H91+พ.ค.!H91+มิ.ย.!H91</f>
        <v>0</v>
      </c>
      <c r="I92" s="269">
        <f>+เม.ย.!I91+พ.ค.!I91+มิ.ย.!I91</f>
        <v>0</v>
      </c>
      <c r="J92" s="269">
        <f>+เม.ย.!J91+พ.ค.!J91+มิ.ย.!J91</f>
        <v>0</v>
      </c>
      <c r="K92" s="269">
        <f>+เม.ย.!K91+พ.ค.!K91+มิ.ย.!K91</f>
        <v>0</v>
      </c>
      <c r="L92" s="269">
        <f>+เม.ย.!L91+พ.ค.!L91+มิ.ย.!L91</f>
        <v>0</v>
      </c>
      <c r="M92" s="269">
        <f>+เม.ย.!M91+พ.ค.!M91+มิ.ย.!M91</f>
        <v>0</v>
      </c>
      <c r="N92" s="269">
        <f>+เม.ย.!N91+พ.ค.!N91+มิ.ย.!N91</f>
        <v>0</v>
      </c>
      <c r="O92" s="269">
        <f>+เม.ย.!O91+พ.ค.!O91+มิ.ย.!O91</f>
        <v>0</v>
      </c>
      <c r="P92" s="269">
        <f>+เม.ย.!P91+พ.ค.!P91+มิ.ย.!P91</f>
        <v>0</v>
      </c>
      <c r="Q92" s="269">
        <f>+เม.ย.!Q91+พ.ค.!Q91+มิ.ย.!Q91</f>
        <v>0</v>
      </c>
      <c r="R92" s="269">
        <f>+เม.ย.!R91+พ.ค.!R91+มิ.ย.!R91</f>
        <v>0</v>
      </c>
      <c r="S92" s="269">
        <f>+เม.ย.!S91+พ.ค.!S91+มิ.ย.!S91</f>
        <v>0</v>
      </c>
      <c r="T92" s="269"/>
      <c r="U92" s="269">
        <f>+เม.ย.!U91+พ.ค.!U91+มิ.ย.!U91</f>
        <v>0</v>
      </c>
      <c r="V92" s="269">
        <f>+เม.ย.!V91+พ.ค.!V91+มิ.ย.!V91</f>
        <v>0</v>
      </c>
      <c r="X92"/>
    </row>
    <row r="93" spans="1:24" s="310" customFormat="1" ht="25.5" customHeight="1">
      <c r="A93" s="9"/>
      <c r="B93" s="187" t="s">
        <v>309</v>
      </c>
      <c r="C93" s="279">
        <f>2500-2500</f>
        <v>0</v>
      </c>
      <c r="D93" s="195"/>
      <c r="E93" s="269">
        <f>+เม.ย.!E92+พ.ค.!E92+มิ.ย.!E92</f>
        <v>0</v>
      </c>
      <c r="F93" s="269">
        <f>+เม.ย.!F92+พ.ค.!F92+มิ.ย.!F92</f>
        <v>0</v>
      </c>
      <c r="G93" s="269">
        <f>+เม.ย.!G92+พ.ค.!G92+มิ.ย.!G92</f>
        <v>0</v>
      </c>
      <c r="H93" s="269">
        <f>+เม.ย.!H92+พ.ค.!H92+มิ.ย.!H92</f>
        <v>0</v>
      </c>
      <c r="I93" s="269">
        <f>+เม.ย.!I92+พ.ค.!I92+มิ.ย.!I92</f>
        <v>0</v>
      </c>
      <c r="J93" s="269">
        <f>+เม.ย.!J92+พ.ค.!J92+มิ.ย.!J92</f>
        <v>0</v>
      </c>
      <c r="K93" s="269">
        <f>+เม.ย.!K92+พ.ค.!K92+มิ.ย.!K92</f>
        <v>0</v>
      </c>
      <c r="L93" s="269">
        <f>+เม.ย.!L92+พ.ค.!L92+มิ.ย.!L92</f>
        <v>0</v>
      </c>
      <c r="M93" s="269">
        <f>+เม.ย.!M92+พ.ค.!M92+มิ.ย.!M92</f>
        <v>0</v>
      </c>
      <c r="N93" s="269">
        <f>+เม.ย.!N92+พ.ค.!N92+มิ.ย.!N92</f>
        <v>0</v>
      </c>
      <c r="O93" s="269">
        <f>+เม.ย.!O92+พ.ค.!O92+มิ.ย.!O92</f>
        <v>0</v>
      </c>
      <c r="P93" s="269">
        <f>+เม.ย.!P92+พ.ค.!P92+มิ.ย.!P92</f>
        <v>0</v>
      </c>
      <c r="Q93" s="269">
        <f>+เม.ย.!Q92+พ.ค.!Q92+มิ.ย.!Q92</f>
        <v>0</v>
      </c>
      <c r="R93" s="269">
        <f>+เม.ย.!R92+พ.ค.!R92+มิ.ย.!R92</f>
        <v>0</v>
      </c>
      <c r="S93" s="269">
        <f>+เม.ย.!S92+พ.ค.!S92+มิ.ย.!S92</f>
        <v>0</v>
      </c>
      <c r="T93" s="269"/>
      <c r="U93" s="269">
        <f>+เม.ย.!U92+พ.ค.!U92+มิ.ย.!U92</f>
        <v>0</v>
      </c>
      <c r="V93" s="269">
        <f>+เม.ย.!V92+พ.ค.!V92+มิ.ย.!V92</f>
        <v>0</v>
      </c>
      <c r="X93"/>
    </row>
    <row r="94" spans="1:24" s="310" customFormat="1" ht="25.5" customHeight="1">
      <c r="A94" s="9"/>
      <c r="B94" s="187" t="s">
        <v>310</v>
      </c>
      <c r="C94" s="279">
        <f>2500-2500</f>
        <v>0</v>
      </c>
      <c r="D94" s="195"/>
      <c r="E94" s="269">
        <f>+เม.ย.!E93+พ.ค.!E93+มิ.ย.!E93</f>
        <v>0</v>
      </c>
      <c r="F94" s="269">
        <f>+เม.ย.!F93+พ.ค.!F93+มิ.ย.!F93</f>
        <v>0</v>
      </c>
      <c r="G94" s="269">
        <f>+เม.ย.!G93+พ.ค.!G93+มิ.ย.!G93</f>
        <v>0</v>
      </c>
      <c r="H94" s="269">
        <f>+เม.ย.!H93+พ.ค.!H93+มิ.ย.!H93</f>
        <v>0</v>
      </c>
      <c r="I94" s="269">
        <f>+เม.ย.!I93+พ.ค.!I93+มิ.ย.!I93</f>
        <v>0</v>
      </c>
      <c r="J94" s="269">
        <f>+เม.ย.!J93+พ.ค.!J93+มิ.ย.!J93</f>
        <v>0</v>
      </c>
      <c r="K94" s="269">
        <f>+เม.ย.!K93+พ.ค.!K93+มิ.ย.!K93</f>
        <v>0</v>
      </c>
      <c r="L94" s="269">
        <f>+เม.ย.!L93+พ.ค.!L93+มิ.ย.!L93</f>
        <v>0</v>
      </c>
      <c r="M94" s="269">
        <f>+เม.ย.!M93+พ.ค.!M93+มิ.ย.!M93</f>
        <v>0</v>
      </c>
      <c r="N94" s="269">
        <f>+เม.ย.!N93+พ.ค.!N93+มิ.ย.!N93</f>
        <v>0</v>
      </c>
      <c r="O94" s="269">
        <f>+เม.ย.!O93+พ.ค.!O93+มิ.ย.!O93</f>
        <v>0</v>
      </c>
      <c r="P94" s="269">
        <f>+เม.ย.!P93+พ.ค.!P93+มิ.ย.!P93</f>
        <v>0</v>
      </c>
      <c r="Q94" s="269">
        <f>+เม.ย.!Q93+พ.ค.!Q93+มิ.ย.!Q93</f>
        <v>0</v>
      </c>
      <c r="R94" s="269">
        <f>+เม.ย.!R93+พ.ค.!R93+มิ.ย.!R93</f>
        <v>0</v>
      </c>
      <c r="S94" s="269">
        <f>+เม.ย.!S93+พ.ค.!S93+มิ.ย.!S93</f>
        <v>0</v>
      </c>
      <c r="T94" s="269"/>
      <c r="U94" s="269">
        <f>+เม.ย.!U93+พ.ค.!U93+มิ.ย.!U93</f>
        <v>0</v>
      </c>
      <c r="V94" s="269">
        <f>+เม.ย.!V93+พ.ค.!V93+มิ.ย.!V93</f>
        <v>0</v>
      </c>
      <c r="X94"/>
    </row>
    <row r="95" spans="1:24" s="310" customFormat="1" ht="25.5" customHeight="1">
      <c r="A95" s="9"/>
      <c r="B95" s="187" t="s">
        <v>311</v>
      </c>
      <c r="C95" s="279">
        <f>2500-2500</f>
        <v>0</v>
      </c>
      <c r="D95" s="195"/>
      <c r="E95" s="269">
        <f>+เม.ย.!E94+พ.ค.!E94+มิ.ย.!E94</f>
        <v>0</v>
      </c>
      <c r="F95" s="269">
        <f>+เม.ย.!F94+พ.ค.!F94+มิ.ย.!F94</f>
        <v>0</v>
      </c>
      <c r="G95" s="269">
        <f>+เม.ย.!G94+พ.ค.!G94+มิ.ย.!G94</f>
        <v>0</v>
      </c>
      <c r="H95" s="269">
        <f>+เม.ย.!H94+พ.ค.!H94+มิ.ย.!H94</f>
        <v>0</v>
      </c>
      <c r="I95" s="269">
        <f>+เม.ย.!I94+พ.ค.!I94+มิ.ย.!I94</f>
        <v>0</v>
      </c>
      <c r="J95" s="269">
        <f>+เม.ย.!J94+พ.ค.!J94+มิ.ย.!J94</f>
        <v>0</v>
      </c>
      <c r="K95" s="269">
        <f>+เม.ย.!K94+พ.ค.!K94+มิ.ย.!K94</f>
        <v>0</v>
      </c>
      <c r="L95" s="269">
        <f>+เม.ย.!L94+พ.ค.!L94+มิ.ย.!L94</f>
        <v>0</v>
      </c>
      <c r="M95" s="269">
        <f>+เม.ย.!M94+พ.ค.!M94+มิ.ย.!M94</f>
        <v>0</v>
      </c>
      <c r="N95" s="269">
        <f>+เม.ย.!N94+พ.ค.!N94+มิ.ย.!N94</f>
        <v>0</v>
      </c>
      <c r="O95" s="269">
        <f>+เม.ย.!O94+พ.ค.!O94+มิ.ย.!O94</f>
        <v>0</v>
      </c>
      <c r="P95" s="269">
        <f>+เม.ย.!P94+พ.ค.!P94+มิ.ย.!P94</f>
        <v>0</v>
      </c>
      <c r="Q95" s="269">
        <f>+เม.ย.!Q94+พ.ค.!Q94+มิ.ย.!Q94</f>
        <v>0</v>
      </c>
      <c r="R95" s="269">
        <f>+เม.ย.!R94+พ.ค.!R94+มิ.ย.!R94</f>
        <v>0</v>
      </c>
      <c r="S95" s="269">
        <f>+เม.ย.!S94+พ.ค.!S94+มิ.ย.!S94</f>
        <v>0</v>
      </c>
      <c r="T95" s="269"/>
      <c r="U95" s="269">
        <f>+เม.ย.!U94+พ.ค.!U94+มิ.ย.!U94</f>
        <v>0</v>
      </c>
      <c r="V95" s="269">
        <f>+เม.ย.!V94+พ.ค.!V94+มิ.ย.!V94</f>
        <v>0</v>
      </c>
      <c r="X95"/>
    </row>
    <row r="96" spans="1:24" s="310" customFormat="1" ht="25.5" customHeight="1">
      <c r="A96" s="9"/>
      <c r="B96" s="187" t="s">
        <v>243</v>
      </c>
      <c r="C96" s="279">
        <v>2000</v>
      </c>
      <c r="D96" s="195"/>
      <c r="E96" s="269">
        <f>+เม.ย.!E95+พ.ค.!E95+มิ.ย.!E95</f>
        <v>0</v>
      </c>
      <c r="F96" s="269">
        <f>+เม.ย.!F95+พ.ค.!F95+มิ.ย.!F95</f>
        <v>0</v>
      </c>
      <c r="G96" s="269">
        <f>+เม.ย.!G95+พ.ค.!G95+มิ.ย.!G95</f>
        <v>0</v>
      </c>
      <c r="H96" s="269">
        <f>+เม.ย.!H95+พ.ค.!H95+มิ.ย.!H95</f>
        <v>0</v>
      </c>
      <c r="I96" s="269">
        <f>+เม.ย.!I95+พ.ค.!I95+มิ.ย.!I95</f>
        <v>0</v>
      </c>
      <c r="J96" s="269">
        <f>+เม.ย.!J95+พ.ค.!J95+มิ.ย.!J95</f>
        <v>0</v>
      </c>
      <c r="K96" s="269">
        <f>+เม.ย.!K95+พ.ค.!K95+มิ.ย.!K95</f>
        <v>0</v>
      </c>
      <c r="L96" s="269">
        <f>+เม.ย.!L95+พ.ค.!L95+มิ.ย.!L95</f>
        <v>0</v>
      </c>
      <c r="M96" s="269">
        <f>+เม.ย.!M95+พ.ค.!M95+มิ.ย.!M95</f>
        <v>0</v>
      </c>
      <c r="N96" s="269">
        <f>+เม.ย.!N95+พ.ค.!N95+มิ.ย.!N95</f>
        <v>0</v>
      </c>
      <c r="O96" s="269">
        <f>+เม.ย.!O95+พ.ค.!O95+มิ.ย.!O95</f>
        <v>0</v>
      </c>
      <c r="P96" s="269">
        <f>+เม.ย.!P95+พ.ค.!P95+มิ.ย.!P95</f>
        <v>0</v>
      </c>
      <c r="Q96" s="269">
        <f>+เม.ย.!Q95+พ.ค.!Q95+มิ.ย.!Q95</f>
        <v>0</v>
      </c>
      <c r="R96" s="269">
        <f>+เม.ย.!R95+พ.ค.!R95+มิ.ย.!R95</f>
        <v>0</v>
      </c>
      <c r="S96" s="269">
        <f>+เม.ย.!S95+พ.ค.!S95+มิ.ย.!S95</f>
        <v>0</v>
      </c>
      <c r="T96" s="269"/>
      <c r="U96" s="269">
        <f>+เม.ย.!U95+พ.ค.!U95+มิ.ย.!U95</f>
        <v>0</v>
      </c>
      <c r="V96" s="269">
        <f>+เม.ย.!V95+พ.ค.!V95+มิ.ย.!V95</f>
        <v>0</v>
      </c>
      <c r="X96"/>
    </row>
    <row r="97" spans="1:24" s="310" customFormat="1" ht="25.5" customHeight="1">
      <c r="A97" s="9"/>
      <c r="B97" s="187" t="s">
        <v>248</v>
      </c>
      <c r="C97" s="279">
        <v>2000</v>
      </c>
      <c r="D97" s="195"/>
      <c r="E97" s="269">
        <f>+เม.ย.!E96+พ.ค.!E96+มิ.ย.!E96</f>
        <v>0</v>
      </c>
      <c r="F97" s="269">
        <f>+เม.ย.!F96+พ.ค.!F96+มิ.ย.!F96</f>
        <v>0</v>
      </c>
      <c r="G97" s="269">
        <f>+เม.ย.!G96+พ.ค.!G96+มิ.ย.!G96</f>
        <v>0</v>
      </c>
      <c r="H97" s="269">
        <f>+เม.ย.!H96+พ.ค.!H96+มิ.ย.!H96</f>
        <v>0</v>
      </c>
      <c r="I97" s="269">
        <f>+เม.ย.!I96+พ.ค.!I96+มิ.ย.!I96</f>
        <v>0</v>
      </c>
      <c r="J97" s="269">
        <f>+เม.ย.!J96+พ.ค.!J96+มิ.ย.!J96</f>
        <v>0</v>
      </c>
      <c r="K97" s="269">
        <f>+เม.ย.!K96+พ.ค.!K96+มิ.ย.!K96</f>
        <v>0</v>
      </c>
      <c r="L97" s="269">
        <f>+เม.ย.!L96+พ.ค.!L96+มิ.ย.!L96</f>
        <v>0</v>
      </c>
      <c r="M97" s="269">
        <f>+เม.ย.!M96+พ.ค.!M96+มิ.ย.!M96</f>
        <v>0</v>
      </c>
      <c r="N97" s="269">
        <f>+เม.ย.!N96+พ.ค.!N96+มิ.ย.!N96</f>
        <v>0</v>
      </c>
      <c r="O97" s="269">
        <f>+เม.ย.!O96+พ.ค.!O96+มิ.ย.!O96</f>
        <v>0</v>
      </c>
      <c r="P97" s="269">
        <f>+เม.ย.!P96+พ.ค.!P96+มิ.ย.!P96</f>
        <v>0</v>
      </c>
      <c r="Q97" s="269">
        <f>+เม.ย.!Q96+พ.ค.!Q96+มิ.ย.!Q96</f>
        <v>0</v>
      </c>
      <c r="R97" s="269">
        <f>+เม.ย.!R96+พ.ค.!R96+มิ.ย.!R96</f>
        <v>0</v>
      </c>
      <c r="S97" s="269">
        <f>+เม.ย.!S96+พ.ค.!S96+มิ.ย.!S96</f>
        <v>0</v>
      </c>
      <c r="T97" s="269"/>
      <c r="U97" s="269">
        <f>+เม.ย.!U96+พ.ค.!U96+มิ.ย.!U96</f>
        <v>0</v>
      </c>
      <c r="V97" s="269">
        <f>+เม.ย.!V96+พ.ค.!V96+มิ.ย.!V96</f>
        <v>0</v>
      </c>
      <c r="X97"/>
    </row>
    <row r="98" spans="1:24" s="310" customFormat="1" ht="25.5" customHeight="1">
      <c r="A98" s="9"/>
      <c r="B98" s="187" t="s">
        <v>244</v>
      </c>
      <c r="C98" s="279">
        <v>2000</v>
      </c>
      <c r="D98" s="195"/>
      <c r="E98" s="269">
        <f>+เม.ย.!E97+พ.ค.!E97+มิ.ย.!E97</f>
        <v>0</v>
      </c>
      <c r="F98" s="269">
        <f>+เม.ย.!F97+พ.ค.!F97+มิ.ย.!F97</f>
        <v>0</v>
      </c>
      <c r="G98" s="269">
        <f>+เม.ย.!G97+พ.ค.!G97+มิ.ย.!G97</f>
        <v>0</v>
      </c>
      <c r="H98" s="269">
        <f>+เม.ย.!H97+พ.ค.!H97+มิ.ย.!H97</f>
        <v>0</v>
      </c>
      <c r="I98" s="269">
        <f>+เม.ย.!I97+พ.ค.!I97+มิ.ย.!I97</f>
        <v>0</v>
      </c>
      <c r="J98" s="269">
        <f>+เม.ย.!J97+พ.ค.!J97+มิ.ย.!J97</f>
        <v>0</v>
      </c>
      <c r="K98" s="269">
        <f>+เม.ย.!K97+พ.ค.!K97+มิ.ย.!K97</f>
        <v>0</v>
      </c>
      <c r="L98" s="269">
        <f>+เม.ย.!L97+พ.ค.!L97+มิ.ย.!L97</f>
        <v>0</v>
      </c>
      <c r="M98" s="269">
        <f>+เม.ย.!M97+พ.ค.!M97+มิ.ย.!M97</f>
        <v>0</v>
      </c>
      <c r="N98" s="269">
        <f>+เม.ย.!N97+พ.ค.!N97+มิ.ย.!N97</f>
        <v>0</v>
      </c>
      <c r="O98" s="269">
        <f>+เม.ย.!O97+พ.ค.!O97+มิ.ย.!O97</f>
        <v>0</v>
      </c>
      <c r="P98" s="269">
        <f>+เม.ย.!P97+พ.ค.!P97+มิ.ย.!P97</f>
        <v>0</v>
      </c>
      <c r="Q98" s="269">
        <f>+เม.ย.!Q97+พ.ค.!Q97+มิ.ย.!Q97</f>
        <v>0</v>
      </c>
      <c r="R98" s="269">
        <f>+เม.ย.!R97+พ.ค.!R97+มิ.ย.!R97</f>
        <v>0</v>
      </c>
      <c r="S98" s="269">
        <f>+เม.ย.!S97+พ.ค.!S97+มิ.ย.!S97</f>
        <v>0</v>
      </c>
      <c r="T98" s="269"/>
      <c r="U98" s="269">
        <f>+เม.ย.!U97+พ.ค.!U97+มิ.ย.!U97</f>
        <v>0</v>
      </c>
      <c r="V98" s="269">
        <f>+เม.ย.!V97+พ.ค.!V97+มิ.ย.!V97</f>
        <v>0</v>
      </c>
      <c r="X98"/>
    </row>
    <row r="99" spans="1:24" s="310" customFormat="1" ht="25.5" customHeight="1">
      <c r="A99" s="9"/>
      <c r="B99" s="187" t="s">
        <v>245</v>
      </c>
      <c r="C99" s="279">
        <v>2000</v>
      </c>
      <c r="D99" s="195"/>
      <c r="E99" s="269">
        <f>+เม.ย.!E98+พ.ค.!E98+มิ.ย.!E98</f>
        <v>0</v>
      </c>
      <c r="F99" s="269">
        <f>+เม.ย.!F98+พ.ค.!F98+มิ.ย.!F98</f>
        <v>0</v>
      </c>
      <c r="G99" s="269">
        <f>+เม.ย.!G98+พ.ค.!G98+มิ.ย.!G98</f>
        <v>0</v>
      </c>
      <c r="H99" s="269">
        <f>+เม.ย.!H98+พ.ค.!H98+มิ.ย.!H98</f>
        <v>0</v>
      </c>
      <c r="I99" s="269">
        <f>+เม.ย.!I98+พ.ค.!I98+มิ.ย.!I98</f>
        <v>0</v>
      </c>
      <c r="J99" s="269">
        <f>+เม.ย.!J98+พ.ค.!J98+มิ.ย.!J98</f>
        <v>0</v>
      </c>
      <c r="K99" s="269">
        <f>+เม.ย.!K98+พ.ค.!K98+มิ.ย.!K98</f>
        <v>0</v>
      </c>
      <c r="L99" s="269">
        <f>+เม.ย.!L98+พ.ค.!L98+มิ.ย.!L98</f>
        <v>0</v>
      </c>
      <c r="M99" s="269">
        <f>+เม.ย.!M98+พ.ค.!M98+มิ.ย.!M98</f>
        <v>0</v>
      </c>
      <c r="N99" s="269">
        <f>+เม.ย.!N98+พ.ค.!N98+มิ.ย.!N98</f>
        <v>0</v>
      </c>
      <c r="O99" s="269">
        <f>+เม.ย.!O98+พ.ค.!O98+มิ.ย.!O98</f>
        <v>0</v>
      </c>
      <c r="P99" s="269">
        <f>+เม.ย.!P98+พ.ค.!P98+มิ.ย.!P98</f>
        <v>0</v>
      </c>
      <c r="Q99" s="269">
        <f>+เม.ย.!Q98+พ.ค.!Q98+มิ.ย.!Q98</f>
        <v>0</v>
      </c>
      <c r="R99" s="269">
        <f>+เม.ย.!R98+พ.ค.!R98+มิ.ย.!R98</f>
        <v>0</v>
      </c>
      <c r="S99" s="269">
        <f>+เม.ย.!S98+พ.ค.!S98+มิ.ย.!S98</f>
        <v>0</v>
      </c>
      <c r="T99" s="269"/>
      <c r="U99" s="269">
        <f>+เม.ย.!U98+พ.ค.!U98+มิ.ย.!U98</f>
        <v>0</v>
      </c>
      <c r="V99" s="269">
        <f>+เม.ย.!V98+พ.ค.!V98+มิ.ย.!V98</f>
        <v>0</v>
      </c>
      <c r="X99"/>
    </row>
    <row r="100" spans="1:24" s="310" customFormat="1" ht="25.5" customHeight="1">
      <c r="A100" s="9"/>
      <c r="B100" s="187" t="s">
        <v>246</v>
      </c>
      <c r="C100" s="279">
        <v>2000</v>
      </c>
      <c r="D100" s="195"/>
      <c r="E100" s="269">
        <f>+เม.ย.!E99+พ.ค.!E99+มิ.ย.!E99</f>
        <v>0</v>
      </c>
      <c r="F100" s="269">
        <f>+เม.ย.!F99+พ.ค.!F99+มิ.ย.!F99</f>
        <v>0</v>
      </c>
      <c r="G100" s="269">
        <f>+เม.ย.!G99+พ.ค.!G99+มิ.ย.!G99</f>
        <v>0</v>
      </c>
      <c r="H100" s="269">
        <f>+เม.ย.!H99+พ.ค.!H99+มิ.ย.!H99</f>
        <v>0</v>
      </c>
      <c r="I100" s="269">
        <f>+เม.ย.!I99+พ.ค.!I99+มิ.ย.!I99</f>
        <v>1000</v>
      </c>
      <c r="J100" s="269">
        <f>+เม.ย.!J99+พ.ค.!J99+มิ.ย.!J99</f>
        <v>0</v>
      </c>
      <c r="K100" s="269">
        <f>+เม.ย.!K99+พ.ค.!K99+มิ.ย.!K99</f>
        <v>0</v>
      </c>
      <c r="L100" s="269">
        <f>+เม.ย.!L99+พ.ค.!L99+มิ.ย.!L99</f>
        <v>0</v>
      </c>
      <c r="M100" s="269">
        <f>+เม.ย.!M99+พ.ค.!M99+มิ.ย.!M99</f>
        <v>0</v>
      </c>
      <c r="N100" s="269">
        <f>+เม.ย.!N99+พ.ค.!N99+มิ.ย.!N99</f>
        <v>0</v>
      </c>
      <c r="O100" s="269">
        <f>+เม.ย.!O99+พ.ค.!O99+มิ.ย.!O99</f>
        <v>0</v>
      </c>
      <c r="P100" s="269">
        <f>+เม.ย.!P99+พ.ค.!P99+มิ.ย.!P99</f>
        <v>0</v>
      </c>
      <c r="Q100" s="269">
        <f>+เม.ย.!Q99+พ.ค.!Q99+มิ.ย.!Q99</f>
        <v>0</v>
      </c>
      <c r="R100" s="269">
        <f>+เม.ย.!R99+พ.ค.!R99+มิ.ย.!R99</f>
        <v>0</v>
      </c>
      <c r="S100" s="269">
        <f>+เม.ย.!S99+พ.ค.!S99+มิ.ย.!S99</f>
        <v>0</v>
      </c>
      <c r="T100" s="269"/>
      <c r="U100" s="269">
        <f>+เม.ย.!U99+พ.ค.!U99+มิ.ย.!U99</f>
        <v>0</v>
      </c>
      <c r="V100" s="269">
        <f>+เม.ย.!V99+พ.ค.!V99+มิ.ย.!V99</f>
        <v>0</v>
      </c>
      <c r="X100"/>
    </row>
    <row r="101" spans="1:24" s="310" customFormat="1" ht="25.5" customHeight="1">
      <c r="A101" s="9"/>
      <c r="B101" s="187" t="s">
        <v>247</v>
      </c>
      <c r="C101" s="279">
        <v>2000</v>
      </c>
      <c r="D101" s="195"/>
      <c r="E101" s="269">
        <f>+เม.ย.!E100+พ.ค.!E100+มิ.ย.!E100</f>
        <v>0</v>
      </c>
      <c r="F101" s="269">
        <f>+เม.ย.!F100+พ.ค.!F100+มิ.ย.!F100</f>
        <v>0</v>
      </c>
      <c r="G101" s="269">
        <f>+เม.ย.!G100+พ.ค.!G100+มิ.ย.!G100</f>
        <v>0</v>
      </c>
      <c r="H101" s="269">
        <f>+เม.ย.!H100+พ.ค.!H100+มิ.ย.!H100</f>
        <v>0</v>
      </c>
      <c r="I101" s="269">
        <f>+เม.ย.!I100+พ.ค.!I100+มิ.ย.!I100</f>
        <v>1000</v>
      </c>
      <c r="J101" s="269">
        <f>+เม.ย.!J100+พ.ค.!J100+มิ.ย.!J100</f>
        <v>0</v>
      </c>
      <c r="K101" s="269">
        <f>+เม.ย.!K100+พ.ค.!K100+มิ.ย.!K100</f>
        <v>0</v>
      </c>
      <c r="L101" s="269">
        <f>+เม.ย.!L100+พ.ค.!L100+มิ.ย.!L100</f>
        <v>0</v>
      </c>
      <c r="M101" s="269">
        <f>+เม.ย.!M100+พ.ค.!M100+มิ.ย.!M100</f>
        <v>0</v>
      </c>
      <c r="N101" s="269">
        <f>+เม.ย.!N100+พ.ค.!N100+มิ.ย.!N100</f>
        <v>0</v>
      </c>
      <c r="O101" s="269">
        <f>+เม.ย.!O100+พ.ค.!O100+มิ.ย.!O100</f>
        <v>0</v>
      </c>
      <c r="P101" s="269">
        <f>+เม.ย.!P100+พ.ค.!P100+มิ.ย.!P100</f>
        <v>0</v>
      </c>
      <c r="Q101" s="269">
        <f>+เม.ย.!Q100+พ.ค.!Q100+มิ.ย.!Q100</f>
        <v>0</v>
      </c>
      <c r="R101" s="269">
        <f>+เม.ย.!R100+พ.ค.!R100+มิ.ย.!R100</f>
        <v>0</v>
      </c>
      <c r="S101" s="269">
        <f>+เม.ย.!S100+พ.ค.!S100+มิ.ย.!S100</f>
        <v>0</v>
      </c>
      <c r="T101" s="269"/>
      <c r="U101" s="269">
        <f>+เม.ย.!U100+พ.ค.!U100+มิ.ย.!U100</f>
        <v>0</v>
      </c>
      <c r="V101" s="269">
        <f>+เม.ย.!V100+พ.ค.!V100+มิ.ย.!V100</f>
        <v>0</v>
      </c>
      <c r="X101"/>
    </row>
    <row r="102" spans="1:24" s="310" customFormat="1" ht="25.5" customHeight="1">
      <c r="A102" s="9"/>
      <c r="B102" s="187" t="s">
        <v>249</v>
      </c>
      <c r="C102" s="279">
        <v>2000</v>
      </c>
      <c r="D102" s="195"/>
      <c r="E102" s="269">
        <f>+เม.ย.!E101+พ.ค.!E101+มิ.ย.!E101</f>
        <v>0</v>
      </c>
      <c r="F102" s="269">
        <f>+เม.ย.!F101+พ.ค.!F101+มิ.ย.!F101</f>
        <v>0</v>
      </c>
      <c r="G102" s="269">
        <f>+เม.ย.!G101+พ.ค.!G101+มิ.ย.!G101</f>
        <v>0</v>
      </c>
      <c r="H102" s="269">
        <f>+เม.ย.!H101+พ.ค.!H101+มิ.ย.!H101</f>
        <v>0</v>
      </c>
      <c r="I102" s="269">
        <f>+เม.ย.!I101+พ.ค.!I101+มิ.ย.!I101</f>
        <v>1000</v>
      </c>
      <c r="J102" s="269">
        <f>+เม.ย.!J101+พ.ค.!J101+มิ.ย.!J101</f>
        <v>0</v>
      </c>
      <c r="K102" s="269">
        <f>+เม.ย.!K101+พ.ค.!K101+มิ.ย.!K101</f>
        <v>0</v>
      </c>
      <c r="L102" s="269">
        <f>+เม.ย.!L101+พ.ค.!L101+มิ.ย.!L101</f>
        <v>0</v>
      </c>
      <c r="M102" s="269">
        <f>+เม.ย.!M101+พ.ค.!M101+มิ.ย.!M101</f>
        <v>0</v>
      </c>
      <c r="N102" s="269">
        <f>+เม.ย.!N101+พ.ค.!N101+มิ.ย.!N101</f>
        <v>0</v>
      </c>
      <c r="O102" s="269">
        <f>+เม.ย.!O101+พ.ค.!O101+มิ.ย.!O101</f>
        <v>0</v>
      </c>
      <c r="P102" s="269">
        <f>+เม.ย.!P101+พ.ค.!P101+มิ.ย.!P101</f>
        <v>0</v>
      </c>
      <c r="Q102" s="269">
        <f>+เม.ย.!Q101+พ.ค.!Q101+มิ.ย.!Q101</f>
        <v>0</v>
      </c>
      <c r="R102" s="269">
        <f>+เม.ย.!R101+พ.ค.!R101+มิ.ย.!R101</f>
        <v>0</v>
      </c>
      <c r="S102" s="269">
        <f>+เม.ย.!S101+พ.ค.!S101+มิ.ย.!S101</f>
        <v>0</v>
      </c>
      <c r="T102" s="269"/>
      <c r="U102" s="269">
        <f>+เม.ย.!U101+พ.ค.!U101+มิ.ย.!U101</f>
        <v>0</v>
      </c>
      <c r="V102" s="269">
        <f>+เม.ย.!V101+พ.ค.!V101+มิ.ย.!V101</f>
        <v>0</v>
      </c>
      <c r="X102"/>
    </row>
    <row r="103" spans="1:24" s="310" customFormat="1" ht="25.5" customHeight="1">
      <c r="A103" s="9"/>
      <c r="B103" s="187" t="s">
        <v>250</v>
      </c>
      <c r="C103" s="279">
        <v>2000</v>
      </c>
      <c r="D103" s="195"/>
      <c r="E103" s="269">
        <f>+เม.ย.!E102+พ.ค.!E102+มิ.ย.!E102</f>
        <v>0</v>
      </c>
      <c r="F103" s="269">
        <f>+เม.ย.!F102+พ.ค.!F102+มิ.ย.!F102</f>
        <v>0</v>
      </c>
      <c r="G103" s="269">
        <f>+เม.ย.!G102+พ.ค.!G102+มิ.ย.!G102</f>
        <v>0</v>
      </c>
      <c r="H103" s="269">
        <f>+เม.ย.!H102+พ.ค.!H102+มิ.ย.!H102</f>
        <v>0</v>
      </c>
      <c r="I103" s="269">
        <f>+เม.ย.!I102+พ.ค.!I102+มิ.ย.!I102</f>
        <v>1000</v>
      </c>
      <c r="J103" s="269">
        <f>+เม.ย.!J102+พ.ค.!J102+มิ.ย.!J102</f>
        <v>0</v>
      </c>
      <c r="K103" s="269">
        <f>+เม.ย.!K102+พ.ค.!K102+มิ.ย.!K102</f>
        <v>0</v>
      </c>
      <c r="L103" s="269">
        <f>+เม.ย.!L102+พ.ค.!L102+มิ.ย.!L102</f>
        <v>0</v>
      </c>
      <c r="M103" s="269">
        <f>+เม.ย.!M102+พ.ค.!M102+มิ.ย.!M102</f>
        <v>0</v>
      </c>
      <c r="N103" s="269">
        <f>+เม.ย.!N102+พ.ค.!N102+มิ.ย.!N102</f>
        <v>0</v>
      </c>
      <c r="O103" s="269">
        <f>+เม.ย.!O102+พ.ค.!O102+มิ.ย.!O102</f>
        <v>0</v>
      </c>
      <c r="P103" s="269">
        <f>+เม.ย.!P102+พ.ค.!P102+มิ.ย.!P102</f>
        <v>0</v>
      </c>
      <c r="Q103" s="269">
        <f>+เม.ย.!Q102+พ.ค.!Q102+มิ.ย.!Q102</f>
        <v>0</v>
      </c>
      <c r="R103" s="269">
        <f>+เม.ย.!R102+พ.ค.!R102+มิ.ย.!R102</f>
        <v>0</v>
      </c>
      <c r="S103" s="269">
        <f>+เม.ย.!S102+พ.ค.!S102+มิ.ย.!S102</f>
        <v>0</v>
      </c>
      <c r="T103" s="269"/>
      <c r="U103" s="269">
        <f>+เม.ย.!U102+พ.ค.!U102+มิ.ย.!U102</f>
        <v>0</v>
      </c>
      <c r="V103" s="269">
        <f>+เม.ย.!V102+พ.ค.!V102+มิ.ย.!V102</f>
        <v>0</v>
      </c>
      <c r="X103"/>
    </row>
    <row r="104" spans="1:24" s="310" customFormat="1" ht="25.5" customHeight="1">
      <c r="A104" s="9"/>
      <c r="B104" s="187" t="s">
        <v>251</v>
      </c>
      <c r="C104" s="279">
        <v>2000</v>
      </c>
      <c r="D104" s="195"/>
      <c r="E104" s="269">
        <f>+เม.ย.!E103+พ.ค.!E103+มิ.ย.!E103</f>
        <v>0</v>
      </c>
      <c r="F104" s="269">
        <f>+เม.ย.!F103+พ.ค.!F103+มิ.ย.!F103</f>
        <v>0</v>
      </c>
      <c r="G104" s="269">
        <f>+เม.ย.!G103+พ.ค.!G103+มิ.ย.!G103</f>
        <v>0</v>
      </c>
      <c r="H104" s="269">
        <f>+เม.ย.!H103+พ.ค.!H103+มิ.ย.!H103</f>
        <v>0</v>
      </c>
      <c r="I104" s="269">
        <f>+เม.ย.!I103+พ.ค.!I103+มิ.ย.!I103</f>
        <v>0</v>
      </c>
      <c r="J104" s="269">
        <f>+เม.ย.!J103+พ.ค.!J103+มิ.ย.!J103</f>
        <v>0</v>
      </c>
      <c r="K104" s="269">
        <f>+เม.ย.!K103+พ.ค.!K103+มิ.ย.!K103</f>
        <v>0</v>
      </c>
      <c r="L104" s="269">
        <f>+เม.ย.!L103+พ.ค.!L103+มิ.ย.!L103</f>
        <v>0</v>
      </c>
      <c r="M104" s="269">
        <f>+เม.ย.!M103+พ.ค.!M103+มิ.ย.!M103</f>
        <v>0</v>
      </c>
      <c r="N104" s="269">
        <f>+เม.ย.!N103+พ.ค.!N103+มิ.ย.!N103</f>
        <v>0</v>
      </c>
      <c r="O104" s="269">
        <f>+เม.ย.!O103+พ.ค.!O103+มิ.ย.!O103</f>
        <v>0</v>
      </c>
      <c r="P104" s="269">
        <f>+เม.ย.!P103+พ.ค.!P103+มิ.ย.!P103</f>
        <v>0</v>
      </c>
      <c r="Q104" s="269">
        <f>+เม.ย.!Q103+พ.ค.!Q103+มิ.ย.!Q103</f>
        <v>0</v>
      </c>
      <c r="R104" s="269">
        <f>+เม.ย.!R103+พ.ค.!R103+มิ.ย.!R103</f>
        <v>0</v>
      </c>
      <c r="S104" s="269">
        <f>+เม.ย.!S103+พ.ค.!S103+มิ.ย.!S103</f>
        <v>0</v>
      </c>
      <c r="T104" s="269"/>
      <c r="U104" s="269">
        <f>+เม.ย.!U103+พ.ค.!U103+มิ.ย.!U103</f>
        <v>0</v>
      </c>
      <c r="V104" s="269">
        <f>+เม.ย.!V103+พ.ค.!V103+มิ.ย.!V103</f>
        <v>0</v>
      </c>
      <c r="X104"/>
    </row>
    <row r="105" spans="1:24" s="310" customFormat="1" ht="25.5" customHeight="1">
      <c r="A105" s="9"/>
      <c r="B105" s="187" t="s">
        <v>252</v>
      </c>
      <c r="C105" s="279">
        <v>2000</v>
      </c>
      <c r="D105" s="195"/>
      <c r="E105" s="269">
        <f>+เม.ย.!E104+พ.ค.!E104+มิ.ย.!E104</f>
        <v>0</v>
      </c>
      <c r="F105" s="269">
        <f>+เม.ย.!F104+พ.ค.!F104+มิ.ย.!F104</f>
        <v>0</v>
      </c>
      <c r="G105" s="269">
        <f>+เม.ย.!G104+พ.ค.!G104+มิ.ย.!G104</f>
        <v>0</v>
      </c>
      <c r="H105" s="269">
        <f>+เม.ย.!H104+พ.ค.!H104+มิ.ย.!H104</f>
        <v>0</v>
      </c>
      <c r="I105" s="269">
        <f>+เม.ย.!I104+พ.ค.!I104+มิ.ย.!I104</f>
        <v>0</v>
      </c>
      <c r="J105" s="269">
        <f>+เม.ย.!J104+พ.ค.!J104+มิ.ย.!J104</f>
        <v>0</v>
      </c>
      <c r="K105" s="269">
        <f>+เม.ย.!K104+พ.ค.!K104+มิ.ย.!K104</f>
        <v>0</v>
      </c>
      <c r="L105" s="269">
        <f>+เม.ย.!L104+พ.ค.!L104+มิ.ย.!L104</f>
        <v>0</v>
      </c>
      <c r="M105" s="269">
        <f>+เม.ย.!M104+พ.ค.!M104+มิ.ย.!M104</f>
        <v>0</v>
      </c>
      <c r="N105" s="269">
        <f>+เม.ย.!N104+พ.ค.!N104+มิ.ย.!N104</f>
        <v>0</v>
      </c>
      <c r="O105" s="269">
        <f>+เม.ย.!O104+พ.ค.!O104+มิ.ย.!O104</f>
        <v>0</v>
      </c>
      <c r="P105" s="269">
        <f>+เม.ย.!P104+พ.ค.!P104+มิ.ย.!P104</f>
        <v>0</v>
      </c>
      <c r="Q105" s="269">
        <f>+เม.ย.!Q104+พ.ค.!Q104+มิ.ย.!Q104</f>
        <v>0</v>
      </c>
      <c r="R105" s="269">
        <f>+เม.ย.!R104+พ.ค.!R104+มิ.ย.!R104</f>
        <v>0</v>
      </c>
      <c r="S105" s="269">
        <f>+เม.ย.!S104+พ.ค.!S104+มิ.ย.!S104</f>
        <v>0</v>
      </c>
      <c r="T105" s="269"/>
      <c r="U105" s="269">
        <f>+เม.ย.!U104+พ.ค.!U104+มิ.ย.!U104</f>
        <v>0</v>
      </c>
      <c r="V105" s="269">
        <f>+เม.ย.!V104+พ.ค.!V104+มิ.ย.!V104</f>
        <v>0</v>
      </c>
      <c r="X105"/>
    </row>
    <row r="106" spans="1:24" s="310" customFormat="1" ht="25.5" customHeight="1">
      <c r="A106" s="9"/>
      <c r="B106" s="187" t="s">
        <v>253</v>
      </c>
      <c r="C106" s="279">
        <v>2000</v>
      </c>
      <c r="D106" s="195"/>
      <c r="E106" s="269">
        <f>+เม.ย.!E105+พ.ค.!E105+มิ.ย.!E105</f>
        <v>0</v>
      </c>
      <c r="F106" s="269">
        <f>+เม.ย.!F105+พ.ค.!F105+มิ.ย.!F105</f>
        <v>0</v>
      </c>
      <c r="G106" s="269">
        <f>+เม.ย.!G105+พ.ค.!G105+มิ.ย.!G105</f>
        <v>0</v>
      </c>
      <c r="H106" s="269">
        <f>+เม.ย.!H105+พ.ค.!H105+มิ.ย.!H105</f>
        <v>0</v>
      </c>
      <c r="I106" s="269">
        <f>+เม.ย.!I105+พ.ค.!I105+มิ.ย.!I105</f>
        <v>0</v>
      </c>
      <c r="J106" s="269">
        <f>+เม.ย.!J105+พ.ค.!J105+มิ.ย.!J105</f>
        <v>0</v>
      </c>
      <c r="K106" s="269">
        <f>+เม.ย.!K105+พ.ค.!K105+มิ.ย.!K105</f>
        <v>0</v>
      </c>
      <c r="L106" s="269">
        <f>+เม.ย.!L105+พ.ค.!L105+มิ.ย.!L105</f>
        <v>0</v>
      </c>
      <c r="M106" s="269">
        <f>+เม.ย.!M105+พ.ค.!M105+มิ.ย.!M105</f>
        <v>0</v>
      </c>
      <c r="N106" s="269">
        <f>+เม.ย.!N105+พ.ค.!N105+มิ.ย.!N105</f>
        <v>0</v>
      </c>
      <c r="O106" s="269">
        <f>+เม.ย.!O105+พ.ค.!O105+มิ.ย.!O105</f>
        <v>0</v>
      </c>
      <c r="P106" s="269">
        <f>+เม.ย.!P105+พ.ค.!P105+มิ.ย.!P105</f>
        <v>0</v>
      </c>
      <c r="Q106" s="269">
        <f>+เม.ย.!Q105+พ.ค.!Q105+มิ.ย.!Q105</f>
        <v>0</v>
      </c>
      <c r="R106" s="269">
        <f>+เม.ย.!R105+พ.ค.!R105+มิ.ย.!R105</f>
        <v>0</v>
      </c>
      <c r="S106" s="269">
        <f>+เม.ย.!S105+พ.ค.!S105+มิ.ย.!S105</f>
        <v>0</v>
      </c>
      <c r="T106" s="269"/>
      <c r="U106" s="269">
        <f>+เม.ย.!U105+พ.ค.!U105+มิ.ย.!U105</f>
        <v>0</v>
      </c>
      <c r="V106" s="269">
        <f>+เม.ย.!V105+พ.ค.!V105+มิ.ย.!V105</f>
        <v>0</v>
      </c>
      <c r="X106"/>
    </row>
    <row r="107" spans="1:24" s="310" customFormat="1" ht="25.5" customHeight="1">
      <c r="A107" s="9"/>
      <c r="B107" s="187" t="s">
        <v>254</v>
      </c>
      <c r="C107" s="279">
        <v>2000</v>
      </c>
      <c r="D107" s="195"/>
      <c r="E107" s="269">
        <f>+เม.ย.!E106+พ.ค.!E106+มิ.ย.!E106</f>
        <v>0</v>
      </c>
      <c r="F107" s="269">
        <f>+เม.ย.!F106+พ.ค.!F106+มิ.ย.!F106</f>
        <v>0</v>
      </c>
      <c r="G107" s="269">
        <f>+เม.ย.!G106+พ.ค.!G106+มิ.ย.!G106</f>
        <v>0</v>
      </c>
      <c r="H107" s="269">
        <f>+เม.ย.!H106+พ.ค.!H106+มิ.ย.!H106</f>
        <v>0</v>
      </c>
      <c r="I107" s="269">
        <f>+เม.ย.!I106+พ.ค.!I106+มิ.ย.!I106</f>
        <v>0</v>
      </c>
      <c r="J107" s="269">
        <f>+เม.ย.!J106+พ.ค.!J106+มิ.ย.!J106</f>
        <v>0</v>
      </c>
      <c r="K107" s="269">
        <f>+เม.ย.!K106+พ.ค.!K106+มิ.ย.!K106</f>
        <v>0</v>
      </c>
      <c r="L107" s="269">
        <f>+เม.ย.!L106+พ.ค.!L106+มิ.ย.!L106</f>
        <v>0</v>
      </c>
      <c r="M107" s="269">
        <f>+เม.ย.!M106+พ.ค.!M106+มิ.ย.!M106</f>
        <v>0</v>
      </c>
      <c r="N107" s="269">
        <f>+เม.ย.!N106+พ.ค.!N106+มิ.ย.!N106</f>
        <v>0</v>
      </c>
      <c r="O107" s="269">
        <f>+เม.ย.!O106+พ.ค.!O106+มิ.ย.!O106</f>
        <v>0</v>
      </c>
      <c r="P107" s="269">
        <f>+เม.ย.!P106+พ.ค.!P106+มิ.ย.!P106</f>
        <v>0</v>
      </c>
      <c r="Q107" s="269">
        <f>+เม.ย.!Q106+พ.ค.!Q106+มิ.ย.!Q106</f>
        <v>0</v>
      </c>
      <c r="R107" s="269">
        <f>+เม.ย.!R106+พ.ค.!R106+มิ.ย.!R106</f>
        <v>0</v>
      </c>
      <c r="S107" s="269">
        <f>+เม.ย.!S106+พ.ค.!S106+มิ.ย.!S106</f>
        <v>0</v>
      </c>
      <c r="T107" s="269"/>
      <c r="U107" s="269">
        <f>+เม.ย.!U106+พ.ค.!U106+มิ.ย.!U106</f>
        <v>0</v>
      </c>
      <c r="V107" s="269">
        <f>+เม.ย.!V106+พ.ค.!V106+มิ.ย.!V106</f>
        <v>0</v>
      </c>
      <c r="X107"/>
    </row>
    <row r="108" spans="1:24" s="310" customFormat="1" ht="25.5" customHeight="1">
      <c r="A108" s="9"/>
      <c r="B108" s="187" t="s">
        <v>312</v>
      </c>
      <c r="C108" s="279">
        <v>2500</v>
      </c>
      <c r="D108" s="195"/>
      <c r="E108" s="269">
        <f>+เม.ย.!E107+พ.ค.!E107+มิ.ย.!E107</f>
        <v>0</v>
      </c>
      <c r="F108" s="269">
        <f>+เม.ย.!F107+พ.ค.!F107+มิ.ย.!F107</f>
        <v>0</v>
      </c>
      <c r="G108" s="269">
        <f>+เม.ย.!G107+พ.ค.!G107+มิ.ย.!G107</f>
        <v>0</v>
      </c>
      <c r="H108" s="269">
        <f>+เม.ย.!H107+พ.ค.!H107+มิ.ย.!H107</f>
        <v>0</v>
      </c>
      <c r="I108" s="269">
        <f>+เม.ย.!I107+พ.ค.!I107+มิ.ย.!I107</f>
        <v>0</v>
      </c>
      <c r="J108" s="269">
        <f>+เม.ย.!J107+พ.ค.!J107+มิ.ย.!J107</f>
        <v>0</v>
      </c>
      <c r="K108" s="269">
        <f>+เม.ย.!K107+พ.ค.!K107+มิ.ย.!K107</f>
        <v>0</v>
      </c>
      <c r="L108" s="269">
        <f>+เม.ย.!L107+พ.ค.!L107+มิ.ย.!L107</f>
        <v>0</v>
      </c>
      <c r="M108" s="269">
        <f>+เม.ย.!M107+พ.ค.!M107+มิ.ย.!M107</f>
        <v>0</v>
      </c>
      <c r="N108" s="269">
        <f>+เม.ย.!N107+พ.ค.!N107+มิ.ย.!N107</f>
        <v>0</v>
      </c>
      <c r="O108" s="269">
        <f>+เม.ย.!O107+พ.ค.!O107+มิ.ย.!O107</f>
        <v>0</v>
      </c>
      <c r="P108" s="269">
        <f>+เม.ย.!P107+พ.ค.!P107+มิ.ย.!P107</f>
        <v>0</v>
      </c>
      <c r="Q108" s="269">
        <f>+เม.ย.!Q107+พ.ค.!Q107+มิ.ย.!Q107</f>
        <v>0</v>
      </c>
      <c r="R108" s="269">
        <f>+เม.ย.!R107+พ.ค.!R107+มิ.ย.!R107</f>
        <v>0</v>
      </c>
      <c r="S108" s="269">
        <f>+เม.ย.!S107+พ.ค.!S107+มิ.ย.!S107</f>
        <v>0</v>
      </c>
      <c r="T108" s="269"/>
      <c r="U108" s="269">
        <f>+เม.ย.!U107+พ.ค.!U107+มิ.ย.!U107</f>
        <v>0</v>
      </c>
      <c r="V108" s="269">
        <f>+เม.ย.!V107+พ.ค.!V107+มิ.ย.!V107</f>
        <v>0</v>
      </c>
      <c r="X108"/>
    </row>
    <row r="109" spans="1:24" s="310" customFormat="1" ht="25.5" customHeight="1">
      <c r="A109" s="9"/>
      <c r="B109" s="187" t="s">
        <v>313</v>
      </c>
      <c r="C109" s="279">
        <v>2500</v>
      </c>
      <c r="D109" s="131"/>
      <c r="E109" s="269">
        <f>+เม.ย.!E108+พ.ค.!E108+มิ.ย.!E108</f>
        <v>0</v>
      </c>
      <c r="F109" s="269">
        <f>+เม.ย.!F108+พ.ค.!F108+มิ.ย.!F108</f>
        <v>0</v>
      </c>
      <c r="G109" s="269">
        <f>+เม.ย.!G108+พ.ค.!G108+มิ.ย.!G108</f>
        <v>0</v>
      </c>
      <c r="H109" s="269">
        <f>+เม.ย.!H108+พ.ค.!H108+มิ.ย.!H108</f>
        <v>0</v>
      </c>
      <c r="I109" s="269">
        <f>+เม.ย.!I108+พ.ค.!I108+มิ.ย.!I108</f>
        <v>0</v>
      </c>
      <c r="J109" s="269">
        <f>+เม.ย.!J108+พ.ค.!J108+มิ.ย.!J108</f>
        <v>0</v>
      </c>
      <c r="K109" s="269">
        <f>+เม.ย.!K108+พ.ค.!K108+มิ.ย.!K108</f>
        <v>0</v>
      </c>
      <c r="L109" s="269">
        <f>+เม.ย.!L108+พ.ค.!L108+มิ.ย.!L108</f>
        <v>0</v>
      </c>
      <c r="M109" s="269">
        <f>+เม.ย.!M108+พ.ค.!M108+มิ.ย.!M108</f>
        <v>0</v>
      </c>
      <c r="N109" s="269">
        <f>+เม.ย.!N108+พ.ค.!N108+มิ.ย.!N108</f>
        <v>0</v>
      </c>
      <c r="O109" s="269">
        <f>+เม.ย.!O108+พ.ค.!O108+มิ.ย.!O108</f>
        <v>0</v>
      </c>
      <c r="P109" s="269">
        <f>+เม.ย.!P108+พ.ค.!P108+มิ.ย.!P108</f>
        <v>0</v>
      </c>
      <c r="Q109" s="269">
        <f>+เม.ย.!Q108+พ.ค.!Q108+มิ.ย.!Q108</f>
        <v>0</v>
      </c>
      <c r="R109" s="269">
        <f>+เม.ย.!R108+พ.ค.!R108+มิ.ย.!R108</f>
        <v>0</v>
      </c>
      <c r="S109" s="269">
        <f>+เม.ย.!S108+พ.ค.!S108+มิ.ย.!S108</f>
        <v>0</v>
      </c>
      <c r="T109" s="269"/>
      <c r="U109" s="269">
        <f>+เม.ย.!U108+พ.ค.!U108+มิ.ย.!U108</f>
        <v>0</v>
      </c>
      <c r="V109" s="269">
        <f>+เม.ย.!V108+พ.ค.!V108+มิ.ย.!V108</f>
        <v>0</v>
      </c>
      <c r="X109"/>
    </row>
    <row r="110" spans="1:24" s="310" customFormat="1" ht="25.5" customHeight="1">
      <c r="A110" s="9"/>
      <c r="B110" s="187" t="s">
        <v>314</v>
      </c>
      <c r="C110" s="279">
        <v>2500</v>
      </c>
      <c r="D110" s="195"/>
      <c r="E110" s="269">
        <f>+เม.ย.!E109+พ.ค.!E109+มิ.ย.!E109</f>
        <v>0</v>
      </c>
      <c r="F110" s="269">
        <f>+เม.ย.!F109+พ.ค.!F109+มิ.ย.!F109</f>
        <v>0</v>
      </c>
      <c r="G110" s="269">
        <f>+เม.ย.!G109+พ.ค.!G109+มิ.ย.!G109</f>
        <v>0</v>
      </c>
      <c r="H110" s="269">
        <f>+เม.ย.!H109+พ.ค.!H109+มิ.ย.!H109</f>
        <v>0</v>
      </c>
      <c r="I110" s="269">
        <f>+เม.ย.!I109+พ.ค.!I109+มิ.ย.!I109</f>
        <v>0</v>
      </c>
      <c r="J110" s="269">
        <f>+เม.ย.!J109+พ.ค.!J109+มิ.ย.!J109</f>
        <v>0</v>
      </c>
      <c r="K110" s="269">
        <f>+เม.ย.!K109+พ.ค.!K109+มิ.ย.!K109</f>
        <v>0</v>
      </c>
      <c r="L110" s="269">
        <f>+เม.ย.!L109+พ.ค.!L109+มิ.ย.!L109</f>
        <v>0</v>
      </c>
      <c r="M110" s="269">
        <f>+เม.ย.!M109+พ.ค.!M109+มิ.ย.!M109</f>
        <v>0</v>
      </c>
      <c r="N110" s="269">
        <f>+เม.ย.!N109+พ.ค.!N109+มิ.ย.!N109</f>
        <v>0</v>
      </c>
      <c r="O110" s="269">
        <f>+เม.ย.!O109+พ.ค.!O109+มิ.ย.!O109</f>
        <v>0</v>
      </c>
      <c r="P110" s="269">
        <f>+เม.ย.!P109+พ.ค.!P109+มิ.ย.!P109</f>
        <v>0</v>
      </c>
      <c r="Q110" s="269">
        <f>+เม.ย.!Q109+พ.ค.!Q109+มิ.ย.!Q109</f>
        <v>0</v>
      </c>
      <c r="R110" s="269">
        <f>+เม.ย.!R109+พ.ค.!R109+มิ.ย.!R109</f>
        <v>0</v>
      </c>
      <c r="S110" s="269">
        <f>+เม.ย.!S109+พ.ค.!S109+มิ.ย.!S109</f>
        <v>0</v>
      </c>
      <c r="T110" s="269"/>
      <c r="U110" s="269">
        <f>+เม.ย.!U109+พ.ค.!U109+มิ.ย.!U109</f>
        <v>0</v>
      </c>
      <c r="V110" s="269">
        <f>+เม.ย.!V109+พ.ค.!V109+มิ.ย.!V109</f>
        <v>0</v>
      </c>
      <c r="X110"/>
    </row>
    <row r="111" spans="1:24" s="310" customFormat="1" ht="25.5" customHeight="1">
      <c r="A111" s="9"/>
      <c r="B111" s="187" t="s">
        <v>255</v>
      </c>
      <c r="C111" s="279">
        <v>4000</v>
      </c>
      <c r="D111" s="195"/>
      <c r="E111" s="269">
        <f>+เม.ย.!E110+พ.ค.!E110+มิ.ย.!E110</f>
        <v>0</v>
      </c>
      <c r="F111" s="269">
        <f>+เม.ย.!F110+พ.ค.!F110+มิ.ย.!F110</f>
        <v>0</v>
      </c>
      <c r="G111" s="269">
        <f>+เม.ย.!G110+พ.ค.!G110+มิ.ย.!G110</f>
        <v>0</v>
      </c>
      <c r="H111" s="269">
        <f>+เม.ย.!H110+พ.ค.!H110+มิ.ย.!H110</f>
        <v>0</v>
      </c>
      <c r="I111" s="269">
        <f>+เม.ย.!I110+พ.ค.!I110+มิ.ย.!I110</f>
        <v>0</v>
      </c>
      <c r="J111" s="269">
        <f>+เม.ย.!J110+พ.ค.!J110+มิ.ย.!J110</f>
        <v>0</v>
      </c>
      <c r="K111" s="269">
        <f>+เม.ย.!K110+พ.ค.!K110+มิ.ย.!K110</f>
        <v>0</v>
      </c>
      <c r="L111" s="269">
        <f>+เม.ย.!L110+พ.ค.!L110+มิ.ย.!L110</f>
        <v>0</v>
      </c>
      <c r="M111" s="269">
        <f>+เม.ย.!M110+พ.ค.!M110+มิ.ย.!M110</f>
        <v>0</v>
      </c>
      <c r="N111" s="269">
        <f>+เม.ย.!N110+พ.ค.!N110+มิ.ย.!N110</f>
        <v>0</v>
      </c>
      <c r="O111" s="269">
        <f>+เม.ย.!O110+พ.ค.!O110+มิ.ย.!O110</f>
        <v>0</v>
      </c>
      <c r="P111" s="269">
        <f>+เม.ย.!P110+พ.ค.!P110+มิ.ย.!P110</f>
        <v>0</v>
      </c>
      <c r="Q111" s="269">
        <f>+เม.ย.!Q110+พ.ค.!Q110+มิ.ย.!Q110</f>
        <v>0</v>
      </c>
      <c r="R111" s="269">
        <f>+เม.ย.!R110+พ.ค.!R110+มิ.ย.!R110</f>
        <v>0</v>
      </c>
      <c r="S111" s="269">
        <f>+เม.ย.!S110+พ.ค.!S110+มิ.ย.!S110</f>
        <v>0</v>
      </c>
      <c r="T111" s="269"/>
      <c r="U111" s="269">
        <f>+เม.ย.!U110+พ.ค.!U110+มิ.ย.!U110</f>
        <v>0</v>
      </c>
      <c r="V111" s="269">
        <f>+เม.ย.!V110+พ.ค.!V110+มิ.ย.!V110</f>
        <v>0</v>
      </c>
      <c r="X111"/>
    </row>
    <row r="112" spans="1:24" s="310" customFormat="1" ht="25.5" customHeight="1">
      <c r="A112" s="9"/>
      <c r="B112" s="187" t="s">
        <v>256</v>
      </c>
      <c r="C112" s="279">
        <v>2500</v>
      </c>
      <c r="D112" s="195"/>
      <c r="E112" s="269">
        <f>+เม.ย.!E111+พ.ค.!E111+มิ.ย.!E111</f>
        <v>0</v>
      </c>
      <c r="F112" s="269">
        <f>+เม.ย.!F111+พ.ค.!F111+มิ.ย.!F111</f>
        <v>0</v>
      </c>
      <c r="G112" s="269">
        <f>+เม.ย.!G111+พ.ค.!G111+มิ.ย.!G111</f>
        <v>0</v>
      </c>
      <c r="H112" s="269">
        <f>+เม.ย.!H111+พ.ค.!H111+มิ.ย.!H111</f>
        <v>0</v>
      </c>
      <c r="I112" s="269">
        <f>+เม.ย.!I111+พ.ค.!I111+มิ.ย.!I111</f>
        <v>0</v>
      </c>
      <c r="J112" s="269">
        <f>+เม.ย.!J111+พ.ค.!J111+มิ.ย.!J111</f>
        <v>0</v>
      </c>
      <c r="K112" s="269">
        <f>+เม.ย.!K111+พ.ค.!K111+มิ.ย.!K111</f>
        <v>0</v>
      </c>
      <c r="L112" s="269">
        <f>+เม.ย.!L111+พ.ค.!L111+มิ.ย.!L111</f>
        <v>0</v>
      </c>
      <c r="M112" s="269">
        <f>+เม.ย.!M111+พ.ค.!M111+มิ.ย.!M111</f>
        <v>0</v>
      </c>
      <c r="N112" s="269">
        <f>+เม.ย.!N111+พ.ค.!N111+มิ.ย.!N111</f>
        <v>0</v>
      </c>
      <c r="O112" s="269">
        <f>+เม.ย.!O111+พ.ค.!O111+มิ.ย.!O111</f>
        <v>0</v>
      </c>
      <c r="P112" s="269">
        <f>+เม.ย.!P111+พ.ค.!P111+มิ.ย.!P111</f>
        <v>0</v>
      </c>
      <c r="Q112" s="269">
        <f>+เม.ย.!Q111+พ.ค.!Q111+มิ.ย.!Q111</f>
        <v>0</v>
      </c>
      <c r="R112" s="269">
        <f>+เม.ย.!R111+พ.ค.!R111+มิ.ย.!R111</f>
        <v>0</v>
      </c>
      <c r="S112" s="269">
        <f>+เม.ย.!S111+พ.ค.!S111+มิ.ย.!S111</f>
        <v>0</v>
      </c>
      <c r="T112" s="269"/>
      <c r="U112" s="269">
        <f>+เม.ย.!U111+พ.ค.!U111+มิ.ย.!U111</f>
        <v>0</v>
      </c>
      <c r="V112" s="269">
        <f>+เม.ย.!V111+พ.ค.!V111+มิ.ย.!V111</f>
        <v>0</v>
      </c>
      <c r="X112"/>
    </row>
    <row r="113" spans="1:24" s="310" customFormat="1" ht="25.5" customHeight="1">
      <c r="A113" s="9"/>
      <c r="B113" s="187" t="s">
        <v>257</v>
      </c>
      <c r="C113" s="279">
        <v>2500</v>
      </c>
      <c r="D113" s="195"/>
      <c r="E113" s="269">
        <f>+เม.ย.!E112+พ.ค.!E112+มิ.ย.!E112</f>
        <v>0</v>
      </c>
      <c r="F113" s="269">
        <f>+เม.ย.!F112+พ.ค.!F112+มิ.ย.!F112</f>
        <v>0</v>
      </c>
      <c r="G113" s="269">
        <f>+เม.ย.!G112+พ.ค.!G112+มิ.ย.!G112</f>
        <v>0</v>
      </c>
      <c r="H113" s="269">
        <f>+เม.ย.!H112+พ.ค.!H112+มิ.ย.!H112</f>
        <v>0</v>
      </c>
      <c r="I113" s="269">
        <f>+เม.ย.!I112+พ.ค.!I112+มิ.ย.!I112</f>
        <v>0</v>
      </c>
      <c r="J113" s="269">
        <f>+เม.ย.!J112+พ.ค.!J112+มิ.ย.!J112</f>
        <v>0</v>
      </c>
      <c r="K113" s="269">
        <f>+เม.ย.!K112+พ.ค.!K112+มิ.ย.!K112</f>
        <v>0</v>
      </c>
      <c r="L113" s="269">
        <f>+เม.ย.!L112+พ.ค.!L112+มิ.ย.!L112</f>
        <v>0</v>
      </c>
      <c r="M113" s="269">
        <f>+เม.ย.!M112+พ.ค.!M112+มิ.ย.!M112</f>
        <v>0</v>
      </c>
      <c r="N113" s="269">
        <f>+เม.ย.!N112+พ.ค.!N112+มิ.ย.!N112</f>
        <v>0</v>
      </c>
      <c r="O113" s="269">
        <f>+เม.ย.!O112+พ.ค.!O112+มิ.ย.!O112</f>
        <v>0</v>
      </c>
      <c r="P113" s="269">
        <f>+เม.ย.!P112+พ.ค.!P112+มิ.ย.!P112</f>
        <v>0</v>
      </c>
      <c r="Q113" s="269">
        <f>+เม.ย.!Q112+พ.ค.!Q112+มิ.ย.!Q112</f>
        <v>0</v>
      </c>
      <c r="R113" s="269">
        <f>+เม.ย.!R112+พ.ค.!R112+มิ.ย.!R112</f>
        <v>0</v>
      </c>
      <c r="S113" s="269">
        <f>+เม.ย.!S112+พ.ค.!S112+มิ.ย.!S112</f>
        <v>0</v>
      </c>
      <c r="T113" s="269"/>
      <c r="U113" s="269">
        <f>+เม.ย.!U112+พ.ค.!U112+มิ.ย.!U112</f>
        <v>0</v>
      </c>
      <c r="V113" s="269">
        <f>+เม.ย.!V112+พ.ค.!V112+มิ.ย.!V112</f>
        <v>0</v>
      </c>
      <c r="X113"/>
    </row>
    <row r="114" spans="1:24" s="310" customFormat="1" ht="25.5" customHeight="1">
      <c r="A114" s="9"/>
      <c r="B114" s="187" t="s">
        <v>258</v>
      </c>
      <c r="C114" s="279">
        <v>2500</v>
      </c>
      <c r="D114" s="195"/>
      <c r="E114" s="269">
        <f>+เม.ย.!E113+พ.ค.!E113+มิ.ย.!E113</f>
        <v>0</v>
      </c>
      <c r="F114" s="269">
        <f>+เม.ย.!F113+พ.ค.!F113+มิ.ย.!F113</f>
        <v>0</v>
      </c>
      <c r="G114" s="269">
        <f>+เม.ย.!G113+พ.ค.!G113+มิ.ย.!G113</f>
        <v>0</v>
      </c>
      <c r="H114" s="269">
        <f>+เม.ย.!H113+พ.ค.!H113+มิ.ย.!H113</f>
        <v>0</v>
      </c>
      <c r="I114" s="269">
        <f>+เม.ย.!I113+พ.ค.!I113+มิ.ย.!I113</f>
        <v>0</v>
      </c>
      <c r="J114" s="269">
        <f>+เม.ย.!J113+พ.ค.!J113+มิ.ย.!J113</f>
        <v>0</v>
      </c>
      <c r="K114" s="269">
        <f>+เม.ย.!K113+พ.ค.!K113+มิ.ย.!K113</f>
        <v>0</v>
      </c>
      <c r="L114" s="269">
        <f>+เม.ย.!L113+พ.ค.!L113+มิ.ย.!L113</f>
        <v>0</v>
      </c>
      <c r="M114" s="269">
        <f>+เม.ย.!M113+พ.ค.!M113+มิ.ย.!M113</f>
        <v>0</v>
      </c>
      <c r="N114" s="269">
        <f>+เม.ย.!N113+พ.ค.!N113+มิ.ย.!N113</f>
        <v>0</v>
      </c>
      <c r="O114" s="269">
        <f>+เม.ย.!O113+พ.ค.!O113+มิ.ย.!O113</f>
        <v>0</v>
      </c>
      <c r="P114" s="269">
        <f>+เม.ย.!P113+พ.ค.!P113+มิ.ย.!P113</f>
        <v>0</v>
      </c>
      <c r="Q114" s="269">
        <f>+เม.ย.!Q113+พ.ค.!Q113+มิ.ย.!Q113</f>
        <v>0</v>
      </c>
      <c r="R114" s="269">
        <f>+เม.ย.!R113+พ.ค.!R113+มิ.ย.!R113</f>
        <v>0</v>
      </c>
      <c r="S114" s="269">
        <f>+เม.ย.!S113+พ.ค.!S113+มิ.ย.!S113</f>
        <v>0</v>
      </c>
      <c r="T114" s="269"/>
      <c r="U114" s="269">
        <f>+เม.ย.!U113+พ.ค.!U113+มิ.ย.!U113</f>
        <v>0</v>
      </c>
      <c r="V114" s="269">
        <f>+เม.ย.!V113+พ.ค.!V113+มิ.ย.!V113</f>
        <v>0</v>
      </c>
      <c r="X114"/>
    </row>
    <row r="115" spans="1:24" s="310" customFormat="1" ht="25.5" customHeight="1">
      <c r="A115" s="9"/>
      <c r="B115" s="187" t="s">
        <v>259</v>
      </c>
      <c r="C115" s="279">
        <v>1000</v>
      </c>
      <c r="D115" s="195"/>
      <c r="E115" s="269">
        <f>+เม.ย.!E114+พ.ค.!E114+มิ.ย.!E114</f>
        <v>0</v>
      </c>
      <c r="F115" s="269">
        <f>+เม.ย.!F114+พ.ค.!F114+มิ.ย.!F114</f>
        <v>0</v>
      </c>
      <c r="G115" s="269">
        <f>+เม.ย.!G114+พ.ค.!G114+มิ.ย.!G114</f>
        <v>0</v>
      </c>
      <c r="H115" s="269">
        <f>+เม.ย.!H114+พ.ค.!H114+มิ.ย.!H114</f>
        <v>0</v>
      </c>
      <c r="I115" s="269">
        <f>+เม.ย.!I114+พ.ค.!I114+มิ.ย.!I114</f>
        <v>0</v>
      </c>
      <c r="J115" s="269">
        <f>+เม.ย.!J114+พ.ค.!J114+มิ.ย.!J114</f>
        <v>0</v>
      </c>
      <c r="K115" s="269">
        <f>+เม.ย.!K114+พ.ค.!K114+มิ.ย.!K114</f>
        <v>0</v>
      </c>
      <c r="L115" s="269">
        <f>+เม.ย.!L114+พ.ค.!L114+มิ.ย.!L114</f>
        <v>0</v>
      </c>
      <c r="M115" s="269">
        <f>+เม.ย.!M114+พ.ค.!M114+มิ.ย.!M114</f>
        <v>0</v>
      </c>
      <c r="N115" s="269">
        <f>+เม.ย.!N114+พ.ค.!N114+มิ.ย.!N114</f>
        <v>0</v>
      </c>
      <c r="O115" s="269">
        <f>+เม.ย.!O114+พ.ค.!O114+มิ.ย.!O114</f>
        <v>0</v>
      </c>
      <c r="P115" s="269">
        <f>+เม.ย.!P114+พ.ค.!P114+มิ.ย.!P114</f>
        <v>0</v>
      </c>
      <c r="Q115" s="269">
        <f>+เม.ย.!Q114+พ.ค.!Q114+มิ.ย.!Q114</f>
        <v>0</v>
      </c>
      <c r="R115" s="269">
        <f>+เม.ย.!R114+พ.ค.!R114+มิ.ย.!R114</f>
        <v>0</v>
      </c>
      <c r="S115" s="269">
        <f>+เม.ย.!S114+พ.ค.!S114+มิ.ย.!S114</f>
        <v>0</v>
      </c>
      <c r="T115" s="269"/>
      <c r="U115" s="269">
        <f>+เม.ย.!U114+พ.ค.!U114+มิ.ย.!U114</f>
        <v>0</v>
      </c>
      <c r="V115" s="269">
        <f>+เม.ย.!V114+พ.ค.!V114+มิ.ย.!V114</f>
        <v>0</v>
      </c>
      <c r="X115"/>
    </row>
    <row r="116" spans="1:24" s="310" customFormat="1" ht="25.5" customHeight="1">
      <c r="A116" s="9"/>
      <c r="B116" s="187" t="s">
        <v>260</v>
      </c>
      <c r="C116" s="279">
        <v>1000</v>
      </c>
      <c r="D116" s="195"/>
      <c r="E116" s="269">
        <f>+เม.ย.!E115+พ.ค.!E115+มิ.ย.!E115</f>
        <v>0</v>
      </c>
      <c r="F116" s="269">
        <f>+เม.ย.!F115+พ.ค.!F115+มิ.ย.!F115</f>
        <v>0</v>
      </c>
      <c r="G116" s="269">
        <f>+เม.ย.!G115+พ.ค.!G115+มิ.ย.!G115</f>
        <v>0</v>
      </c>
      <c r="H116" s="269">
        <f>+เม.ย.!H115+พ.ค.!H115+มิ.ย.!H115</f>
        <v>0</v>
      </c>
      <c r="I116" s="269">
        <f>+เม.ย.!I115+พ.ค.!I115+มิ.ย.!I115</f>
        <v>0</v>
      </c>
      <c r="J116" s="269">
        <f>+เม.ย.!J115+พ.ค.!J115+มิ.ย.!J115</f>
        <v>0</v>
      </c>
      <c r="K116" s="269">
        <f>+เม.ย.!K115+พ.ค.!K115+มิ.ย.!K115</f>
        <v>0</v>
      </c>
      <c r="L116" s="269">
        <f>+เม.ย.!L115+พ.ค.!L115+มิ.ย.!L115</f>
        <v>0</v>
      </c>
      <c r="M116" s="269">
        <f>+เม.ย.!M115+พ.ค.!M115+มิ.ย.!M115</f>
        <v>0</v>
      </c>
      <c r="N116" s="269">
        <f>+เม.ย.!N115+พ.ค.!N115+มิ.ย.!N115</f>
        <v>0</v>
      </c>
      <c r="O116" s="269">
        <f>+เม.ย.!O115+พ.ค.!O115+มิ.ย.!O115</f>
        <v>0</v>
      </c>
      <c r="P116" s="269">
        <f>+เม.ย.!P115+พ.ค.!P115+มิ.ย.!P115</f>
        <v>0</v>
      </c>
      <c r="Q116" s="269">
        <f>+เม.ย.!Q115+พ.ค.!Q115+มิ.ย.!Q115</f>
        <v>0</v>
      </c>
      <c r="R116" s="269">
        <f>+เม.ย.!R115+พ.ค.!R115+มิ.ย.!R115</f>
        <v>0</v>
      </c>
      <c r="S116" s="269">
        <f>+เม.ย.!S115+พ.ค.!S115+มิ.ย.!S115</f>
        <v>0</v>
      </c>
      <c r="T116" s="269"/>
      <c r="U116" s="269">
        <f>+เม.ย.!U115+พ.ค.!U115+มิ.ย.!U115</f>
        <v>0</v>
      </c>
      <c r="V116" s="269">
        <f>+เม.ย.!V115+พ.ค.!V115+มิ.ย.!V115</f>
        <v>0</v>
      </c>
      <c r="X116"/>
    </row>
    <row r="117" spans="1:24" s="310" customFormat="1" ht="25.5" customHeight="1">
      <c r="A117" s="9"/>
      <c r="B117" s="187" t="s">
        <v>261</v>
      </c>
      <c r="C117" s="279">
        <v>1000</v>
      </c>
      <c r="D117" s="195"/>
      <c r="E117" s="269">
        <f>+เม.ย.!E116+พ.ค.!E116+มิ.ย.!E116</f>
        <v>0</v>
      </c>
      <c r="F117" s="269">
        <f>+เม.ย.!F116+พ.ค.!F116+มิ.ย.!F116</f>
        <v>0</v>
      </c>
      <c r="G117" s="269">
        <f>+เม.ย.!G116+พ.ค.!G116+มิ.ย.!G116</f>
        <v>0</v>
      </c>
      <c r="H117" s="269">
        <f>+เม.ย.!H116+พ.ค.!H116+มิ.ย.!H116</f>
        <v>0</v>
      </c>
      <c r="I117" s="269">
        <f>+เม.ย.!I116+พ.ค.!I116+มิ.ย.!I116</f>
        <v>0</v>
      </c>
      <c r="J117" s="269">
        <f>+เม.ย.!J116+พ.ค.!J116+มิ.ย.!J116</f>
        <v>0</v>
      </c>
      <c r="K117" s="269">
        <f>+เม.ย.!K116+พ.ค.!K116+มิ.ย.!K116</f>
        <v>0</v>
      </c>
      <c r="L117" s="269">
        <f>+เม.ย.!L116+พ.ค.!L116+มิ.ย.!L116</f>
        <v>0</v>
      </c>
      <c r="M117" s="269">
        <f>+เม.ย.!M116+พ.ค.!M116+มิ.ย.!M116</f>
        <v>0</v>
      </c>
      <c r="N117" s="269">
        <f>+เม.ย.!N116+พ.ค.!N116+มิ.ย.!N116</f>
        <v>0</v>
      </c>
      <c r="O117" s="269">
        <f>+เม.ย.!O116+พ.ค.!O116+มิ.ย.!O116</f>
        <v>0</v>
      </c>
      <c r="P117" s="269">
        <f>+เม.ย.!P116+พ.ค.!P116+มิ.ย.!P116</f>
        <v>0</v>
      </c>
      <c r="Q117" s="269">
        <f>+เม.ย.!Q116+พ.ค.!Q116+มิ.ย.!Q116</f>
        <v>0</v>
      </c>
      <c r="R117" s="269">
        <f>+เม.ย.!R116+พ.ค.!R116+มิ.ย.!R116</f>
        <v>0</v>
      </c>
      <c r="S117" s="269">
        <f>+เม.ย.!S116+พ.ค.!S116+มิ.ย.!S116</f>
        <v>0</v>
      </c>
      <c r="T117" s="269"/>
      <c r="U117" s="269">
        <f>+เม.ย.!U116+พ.ค.!U116+มิ.ย.!U116</f>
        <v>0</v>
      </c>
      <c r="V117" s="269">
        <f>+เม.ย.!V116+พ.ค.!V116+มิ.ย.!V116</f>
        <v>0</v>
      </c>
      <c r="X117"/>
    </row>
    <row r="118" spans="1:24" s="310" customFormat="1" ht="25.5" customHeight="1">
      <c r="A118" s="9"/>
      <c r="B118" s="187" t="s">
        <v>262</v>
      </c>
      <c r="C118" s="279">
        <v>1000</v>
      </c>
      <c r="D118" s="195"/>
      <c r="E118" s="269">
        <f>+เม.ย.!E117+พ.ค.!E117+มิ.ย.!E117</f>
        <v>0</v>
      </c>
      <c r="F118" s="269">
        <f>+เม.ย.!F117+พ.ค.!F117+มิ.ย.!F117</f>
        <v>0</v>
      </c>
      <c r="G118" s="269">
        <f>+เม.ย.!G117+พ.ค.!G117+มิ.ย.!G117</f>
        <v>0</v>
      </c>
      <c r="H118" s="269">
        <f>+เม.ย.!H117+พ.ค.!H117+มิ.ย.!H117</f>
        <v>0</v>
      </c>
      <c r="I118" s="269">
        <f>+เม.ย.!I117+พ.ค.!I117+มิ.ย.!I117</f>
        <v>0</v>
      </c>
      <c r="J118" s="269">
        <f>+เม.ย.!J117+พ.ค.!J117+มิ.ย.!J117</f>
        <v>0</v>
      </c>
      <c r="K118" s="269">
        <f>+เม.ย.!K117+พ.ค.!K117+มิ.ย.!K117</f>
        <v>0</v>
      </c>
      <c r="L118" s="269">
        <f>+เม.ย.!L117+พ.ค.!L117+มิ.ย.!L117</f>
        <v>0</v>
      </c>
      <c r="M118" s="269">
        <f>+เม.ย.!M117+พ.ค.!M117+มิ.ย.!M117</f>
        <v>0</v>
      </c>
      <c r="N118" s="269">
        <f>+เม.ย.!N117+พ.ค.!N117+มิ.ย.!N117</f>
        <v>0</v>
      </c>
      <c r="O118" s="269">
        <f>+เม.ย.!O117+พ.ค.!O117+มิ.ย.!O117</f>
        <v>0</v>
      </c>
      <c r="P118" s="269">
        <f>+เม.ย.!P117+พ.ค.!P117+มิ.ย.!P117</f>
        <v>0</v>
      </c>
      <c r="Q118" s="269">
        <f>+เม.ย.!Q117+พ.ค.!Q117+มิ.ย.!Q117</f>
        <v>0</v>
      </c>
      <c r="R118" s="269">
        <f>+เม.ย.!R117+พ.ค.!R117+มิ.ย.!R117</f>
        <v>0</v>
      </c>
      <c r="S118" s="269">
        <f>+เม.ย.!S117+พ.ค.!S117+มิ.ย.!S117</f>
        <v>0</v>
      </c>
      <c r="T118" s="269"/>
      <c r="U118" s="269">
        <f>+เม.ย.!U117+พ.ค.!U117+มิ.ย.!U117</f>
        <v>0</v>
      </c>
      <c r="V118" s="269">
        <f>+เม.ย.!V117+พ.ค.!V117+มิ.ย.!V117</f>
        <v>0</v>
      </c>
      <c r="X118"/>
    </row>
    <row r="119" spans="1:24" s="310" customFormat="1" ht="25.5" customHeight="1">
      <c r="A119" s="9"/>
      <c r="B119" s="187" t="s">
        <v>211</v>
      </c>
      <c r="C119" s="279">
        <v>392000</v>
      </c>
      <c r="D119" s="195"/>
      <c r="E119" s="269">
        <f>+เม.ย.!E118+พ.ค.!E118+มิ.ย.!E118</f>
        <v>0</v>
      </c>
      <c r="F119" s="269">
        <f>+เม.ย.!F118+พ.ค.!F118+มิ.ย.!F118</f>
        <v>0</v>
      </c>
      <c r="G119" s="269">
        <f>+เม.ย.!G118+พ.ค.!G118+มิ.ย.!G118</f>
        <v>0</v>
      </c>
      <c r="H119" s="269">
        <f>+เม.ย.!H118+พ.ค.!H118+มิ.ย.!H118</f>
        <v>0</v>
      </c>
      <c r="I119" s="269">
        <f>+เม.ย.!I118+พ.ค.!I118+มิ.ย.!I118</f>
        <v>93600</v>
      </c>
      <c r="J119" s="269">
        <f>+เม.ย.!J118+พ.ค.!J118+มิ.ย.!J118</f>
        <v>0</v>
      </c>
      <c r="K119" s="269">
        <f>+เม.ย.!K118+พ.ค.!K118+มิ.ย.!K118</f>
        <v>0</v>
      </c>
      <c r="L119" s="269">
        <f>+เม.ย.!L118+พ.ค.!L118+มิ.ย.!L118</f>
        <v>0</v>
      </c>
      <c r="M119" s="269">
        <f>+เม.ย.!M118+พ.ค.!M118+มิ.ย.!M118</f>
        <v>0</v>
      </c>
      <c r="N119" s="269">
        <f>+เม.ย.!N118+พ.ค.!N118+มิ.ย.!N118</f>
        <v>0</v>
      </c>
      <c r="O119" s="269">
        <f>+เม.ย.!O118+พ.ค.!O118+มิ.ย.!O118</f>
        <v>0</v>
      </c>
      <c r="P119" s="269">
        <f>+เม.ย.!P118+พ.ค.!P118+มิ.ย.!P118</f>
        <v>0</v>
      </c>
      <c r="Q119" s="269">
        <f>+เม.ย.!Q118+พ.ค.!Q118+มิ.ย.!Q118</f>
        <v>0</v>
      </c>
      <c r="R119" s="269">
        <f>+เม.ย.!R118+พ.ค.!R118+มิ.ย.!R118</f>
        <v>0</v>
      </c>
      <c r="S119" s="269">
        <f>+เม.ย.!S118+พ.ค.!S118+มิ.ย.!S118</f>
        <v>0</v>
      </c>
      <c r="T119" s="269"/>
      <c r="U119" s="269">
        <f>+เม.ย.!U118+พ.ค.!U118+มิ.ย.!U118</f>
        <v>0</v>
      </c>
      <c r="V119" s="269">
        <f>+เม.ย.!V118+พ.ค.!V118+มิ.ย.!V118</f>
        <v>0</v>
      </c>
      <c r="X119"/>
    </row>
    <row r="120" spans="1:24" s="310" customFormat="1" ht="25.5" customHeight="1">
      <c r="A120" s="9"/>
      <c r="B120" s="187" t="s">
        <v>263</v>
      </c>
      <c r="C120" s="279">
        <v>200900</v>
      </c>
      <c r="D120" s="195"/>
      <c r="E120" s="269">
        <f>+เม.ย.!E119+พ.ค.!E119+มิ.ย.!E119</f>
        <v>0</v>
      </c>
      <c r="F120" s="269">
        <f>+เม.ย.!F119+พ.ค.!F119+มิ.ย.!F119</f>
        <v>0</v>
      </c>
      <c r="G120" s="269">
        <f>+เม.ย.!G119+พ.ค.!G119+มิ.ย.!G119</f>
        <v>0</v>
      </c>
      <c r="H120" s="269">
        <f>+เม.ย.!H119+พ.ค.!H119+มิ.ย.!H119</f>
        <v>0</v>
      </c>
      <c r="I120" s="269">
        <f>+เม.ย.!I119+พ.ค.!I119+มิ.ย.!I119</f>
        <v>50400</v>
      </c>
      <c r="J120" s="269">
        <f>+เม.ย.!J119+พ.ค.!J119+มิ.ย.!J119</f>
        <v>0</v>
      </c>
      <c r="K120" s="269">
        <f>+เม.ย.!K119+พ.ค.!K119+มิ.ย.!K119</f>
        <v>0</v>
      </c>
      <c r="L120" s="269">
        <f>+เม.ย.!L119+พ.ค.!L119+มิ.ย.!L119</f>
        <v>0</v>
      </c>
      <c r="M120" s="269">
        <f>+เม.ย.!M119+พ.ค.!M119+มิ.ย.!M119</f>
        <v>0</v>
      </c>
      <c r="N120" s="269">
        <f>+เม.ย.!N119+พ.ค.!N119+มิ.ย.!N119</f>
        <v>0</v>
      </c>
      <c r="O120" s="269">
        <f>+เม.ย.!O119+พ.ค.!O119+มิ.ย.!O119</f>
        <v>0</v>
      </c>
      <c r="P120" s="269">
        <f>+เม.ย.!P119+พ.ค.!P119+มิ.ย.!P119</f>
        <v>0</v>
      </c>
      <c r="Q120" s="269">
        <f>+เม.ย.!Q119+พ.ค.!Q119+มิ.ย.!Q119</f>
        <v>0</v>
      </c>
      <c r="R120" s="269">
        <f>+เม.ย.!R119+พ.ค.!R119+มิ.ย.!R119</f>
        <v>0</v>
      </c>
      <c r="S120" s="269">
        <f>+เม.ย.!S119+พ.ค.!S119+มิ.ย.!S119</f>
        <v>0</v>
      </c>
      <c r="T120" s="269"/>
      <c r="U120" s="269">
        <f>+เม.ย.!U119+พ.ค.!U119+มิ.ย.!U119</f>
        <v>0</v>
      </c>
      <c r="V120" s="269">
        <f>+เม.ย.!V119+พ.ค.!V119+มิ.ย.!V119</f>
        <v>0</v>
      </c>
      <c r="X120"/>
    </row>
    <row r="121" spans="1:24" s="310" customFormat="1" ht="25.5" customHeight="1">
      <c r="A121" s="9"/>
      <c r="B121" s="187" t="s">
        <v>315</v>
      </c>
      <c r="C121" s="279">
        <v>230300</v>
      </c>
      <c r="D121" s="195"/>
      <c r="E121" s="269">
        <f>+เม.ย.!E120+พ.ค.!E120+มิ.ย.!E120</f>
        <v>0</v>
      </c>
      <c r="F121" s="269">
        <f>+เม.ย.!F120+พ.ค.!F120+มิ.ย.!F120</f>
        <v>0</v>
      </c>
      <c r="G121" s="269">
        <f>+เม.ย.!G120+พ.ค.!G120+มิ.ย.!G120</f>
        <v>0</v>
      </c>
      <c r="H121" s="269">
        <f>+เม.ย.!H120+พ.ค.!H120+มิ.ย.!H120</f>
        <v>0</v>
      </c>
      <c r="I121" s="269">
        <f>+เม.ย.!I120+พ.ค.!I120+มิ.ย.!I120</f>
        <v>55200</v>
      </c>
      <c r="J121" s="269">
        <f>+เม.ย.!J120+พ.ค.!J120+มิ.ย.!J120</f>
        <v>0</v>
      </c>
      <c r="K121" s="269">
        <f>+เม.ย.!K120+พ.ค.!K120+มิ.ย.!K120</f>
        <v>0</v>
      </c>
      <c r="L121" s="269">
        <f>+เม.ย.!L120+พ.ค.!L120+มิ.ย.!L120</f>
        <v>0</v>
      </c>
      <c r="M121" s="269">
        <f>+เม.ย.!M120+พ.ค.!M120+มิ.ย.!M120</f>
        <v>0</v>
      </c>
      <c r="N121" s="269">
        <f>+เม.ย.!N120+พ.ค.!N120+มิ.ย.!N120</f>
        <v>0</v>
      </c>
      <c r="O121" s="269">
        <f>+เม.ย.!O120+พ.ค.!O120+มิ.ย.!O120</f>
        <v>0</v>
      </c>
      <c r="P121" s="269">
        <f>+เม.ย.!P120+พ.ค.!P120+มิ.ย.!P120</f>
        <v>0</v>
      </c>
      <c r="Q121" s="269">
        <f>+เม.ย.!Q120+พ.ค.!Q120+มิ.ย.!Q120</f>
        <v>0</v>
      </c>
      <c r="R121" s="269">
        <f>+เม.ย.!R120+พ.ค.!R120+มิ.ย.!R120</f>
        <v>0</v>
      </c>
      <c r="S121" s="269">
        <f>+เม.ย.!S120+พ.ค.!S120+มิ.ย.!S120</f>
        <v>0</v>
      </c>
      <c r="T121" s="269"/>
      <c r="U121" s="269">
        <f>+เม.ย.!U120+พ.ค.!U120+มิ.ย.!U120</f>
        <v>0</v>
      </c>
      <c r="V121" s="269">
        <f>+เม.ย.!V120+พ.ค.!V120+มิ.ย.!V120</f>
        <v>0</v>
      </c>
      <c r="X121"/>
    </row>
    <row r="122" spans="1:24" s="310" customFormat="1" ht="25.5" customHeight="1">
      <c r="A122" s="9"/>
      <c r="B122" s="187" t="s">
        <v>212</v>
      </c>
      <c r="C122" s="279">
        <v>171500</v>
      </c>
      <c r="D122" s="195"/>
      <c r="E122" s="269">
        <f>+เม.ย.!E121+พ.ค.!E121+มิ.ย.!E121</f>
        <v>0</v>
      </c>
      <c r="F122" s="269">
        <f>+เม.ย.!F121+พ.ค.!F121+มิ.ย.!F121</f>
        <v>0</v>
      </c>
      <c r="G122" s="269">
        <f>+เม.ย.!G121+พ.ค.!G121+มิ.ย.!G121</f>
        <v>0</v>
      </c>
      <c r="H122" s="269">
        <f>+เม.ย.!H121+พ.ค.!H121+มิ.ย.!H121</f>
        <v>0</v>
      </c>
      <c r="I122" s="269">
        <f>+เม.ย.!I121+พ.ค.!I121+มิ.ย.!I121</f>
        <v>43200</v>
      </c>
      <c r="J122" s="269">
        <f>+เม.ย.!J121+พ.ค.!J121+มิ.ย.!J121</f>
        <v>0</v>
      </c>
      <c r="K122" s="269">
        <f>+เม.ย.!K121+พ.ค.!K121+มิ.ย.!K121</f>
        <v>0</v>
      </c>
      <c r="L122" s="269">
        <f>+เม.ย.!L121+พ.ค.!L121+มิ.ย.!L121</f>
        <v>0</v>
      </c>
      <c r="M122" s="269">
        <f>+เม.ย.!M121+พ.ค.!M121+มิ.ย.!M121</f>
        <v>0</v>
      </c>
      <c r="N122" s="269">
        <f>+เม.ย.!N121+พ.ค.!N121+มิ.ย.!N121</f>
        <v>0</v>
      </c>
      <c r="O122" s="269">
        <f>+เม.ย.!O121+พ.ค.!O121+มิ.ย.!O121</f>
        <v>0</v>
      </c>
      <c r="P122" s="269">
        <f>+เม.ย.!P121+พ.ค.!P121+มิ.ย.!P121</f>
        <v>0</v>
      </c>
      <c r="Q122" s="269">
        <f>+เม.ย.!Q121+พ.ค.!Q121+มิ.ย.!Q121</f>
        <v>0</v>
      </c>
      <c r="R122" s="269">
        <f>+เม.ย.!R121+พ.ค.!R121+มิ.ย.!R121</f>
        <v>0</v>
      </c>
      <c r="S122" s="269">
        <f>+เม.ย.!S121+พ.ค.!S121+มิ.ย.!S121</f>
        <v>0</v>
      </c>
      <c r="T122" s="269"/>
      <c r="U122" s="269">
        <f>+เม.ย.!U121+พ.ค.!U121+มิ.ย.!U121</f>
        <v>0</v>
      </c>
      <c r="V122" s="269">
        <f>+เม.ย.!V121+พ.ค.!V121+มิ.ย.!V121</f>
        <v>0</v>
      </c>
      <c r="X122"/>
    </row>
    <row r="123" spans="1:24" s="310" customFormat="1" ht="25.5" customHeight="1">
      <c r="A123" s="9"/>
      <c r="B123" s="187" t="s">
        <v>140</v>
      </c>
      <c r="C123" s="279">
        <v>50000</v>
      </c>
      <c r="D123" s="195"/>
      <c r="E123" s="269">
        <f>+เม.ย.!E122+พ.ค.!E122+มิ.ย.!E122</f>
        <v>0</v>
      </c>
      <c r="F123" s="269">
        <f>+เม.ย.!F122+พ.ค.!F122+มิ.ย.!F122</f>
        <v>0</v>
      </c>
      <c r="G123" s="269">
        <f>+เม.ย.!G122+พ.ค.!G122+มิ.ย.!G122</f>
        <v>0</v>
      </c>
      <c r="H123" s="269">
        <f>+เม.ย.!H122+พ.ค.!H122+มิ.ย.!H122</f>
        <v>0</v>
      </c>
      <c r="I123" s="269">
        <f>+เม.ย.!I122+พ.ค.!I122+มิ.ย.!I122</f>
        <v>0</v>
      </c>
      <c r="J123" s="269">
        <f>+เม.ย.!J122+พ.ค.!J122+มิ.ย.!J122</f>
        <v>0</v>
      </c>
      <c r="K123" s="269">
        <f>+เม.ย.!K122+พ.ค.!K122+มิ.ย.!K122</f>
        <v>0</v>
      </c>
      <c r="L123" s="269">
        <f>+เม.ย.!L122+พ.ค.!L122+มิ.ย.!L122</f>
        <v>0</v>
      </c>
      <c r="M123" s="269">
        <f>+เม.ย.!M122+พ.ค.!M122+มิ.ย.!M122</f>
        <v>0</v>
      </c>
      <c r="N123" s="269">
        <f>+เม.ย.!N122+พ.ค.!N122+มิ.ย.!N122</f>
        <v>0</v>
      </c>
      <c r="O123" s="269">
        <f>+เม.ย.!O122+พ.ค.!O122+มิ.ย.!O122</f>
        <v>0</v>
      </c>
      <c r="P123" s="269">
        <f>+เม.ย.!P122+พ.ค.!P122+มิ.ย.!P122</f>
        <v>0</v>
      </c>
      <c r="Q123" s="269">
        <f>+เม.ย.!Q122+พ.ค.!Q122+มิ.ย.!Q122</f>
        <v>0</v>
      </c>
      <c r="R123" s="269">
        <f>+เม.ย.!R122+พ.ค.!R122+มิ.ย.!R122</f>
        <v>0</v>
      </c>
      <c r="S123" s="269">
        <f>+เม.ย.!S122+พ.ค.!S122+มิ.ย.!S122</f>
        <v>0</v>
      </c>
      <c r="T123" s="269"/>
      <c r="U123" s="269">
        <f>+เม.ย.!U122+พ.ค.!U122+มิ.ย.!U122</f>
        <v>0</v>
      </c>
      <c r="V123" s="269">
        <f>+เม.ย.!V122+พ.ค.!V122+มิ.ย.!V122</f>
        <v>0</v>
      </c>
      <c r="X123"/>
    </row>
    <row r="124" spans="1:24" s="310" customFormat="1" ht="25.5" customHeight="1">
      <c r="A124" s="9"/>
      <c r="B124" s="187" t="s">
        <v>206</v>
      </c>
      <c r="C124" s="279">
        <v>20000</v>
      </c>
      <c r="D124" s="195"/>
      <c r="E124" s="269">
        <f>+เม.ย.!E123+พ.ค.!E123+มิ.ย.!E123</f>
        <v>0</v>
      </c>
      <c r="F124" s="269">
        <f>+เม.ย.!F123+พ.ค.!F123+มิ.ย.!F123</f>
        <v>0</v>
      </c>
      <c r="G124" s="269">
        <f>+เม.ย.!G123+พ.ค.!G123+มิ.ย.!G123</f>
        <v>0</v>
      </c>
      <c r="H124" s="269">
        <f>+เม.ย.!H123+พ.ค.!H123+มิ.ย.!H123</f>
        <v>0</v>
      </c>
      <c r="I124" s="269">
        <f>+เม.ย.!I123+พ.ค.!I123+มิ.ย.!I123</f>
        <v>0</v>
      </c>
      <c r="J124" s="269">
        <f>+เม.ย.!J123+พ.ค.!J123+มิ.ย.!J123</f>
        <v>0</v>
      </c>
      <c r="K124" s="269">
        <f>+เม.ย.!K123+พ.ค.!K123+มิ.ย.!K123</f>
        <v>0</v>
      </c>
      <c r="L124" s="269">
        <f>+เม.ย.!L123+พ.ค.!L123+มิ.ย.!L123</f>
        <v>0</v>
      </c>
      <c r="M124" s="269">
        <f>+เม.ย.!M123+พ.ค.!M123+มิ.ย.!M123</f>
        <v>0</v>
      </c>
      <c r="N124" s="269">
        <f>+เม.ย.!N123+พ.ค.!N123+มิ.ย.!N123</f>
        <v>0</v>
      </c>
      <c r="O124" s="269">
        <f>+เม.ย.!O123+พ.ค.!O123+มิ.ย.!O123</f>
        <v>0</v>
      </c>
      <c r="P124" s="269">
        <f>+เม.ย.!P123+พ.ค.!P123+มิ.ย.!P123</f>
        <v>0</v>
      </c>
      <c r="Q124" s="269">
        <f>+เม.ย.!Q123+พ.ค.!Q123+มิ.ย.!Q123</f>
        <v>0</v>
      </c>
      <c r="R124" s="269">
        <f>+เม.ย.!R123+พ.ค.!R123+มิ.ย.!R123</f>
        <v>0</v>
      </c>
      <c r="S124" s="269">
        <f>+เม.ย.!S123+พ.ค.!S123+มิ.ย.!S123</f>
        <v>0</v>
      </c>
      <c r="T124" s="269"/>
      <c r="U124" s="269">
        <f>+เม.ย.!U123+พ.ค.!U123+มิ.ย.!U123</f>
        <v>0</v>
      </c>
      <c r="V124" s="269">
        <f>+เม.ย.!V123+พ.ค.!V123+มิ.ย.!V123</f>
        <v>0</v>
      </c>
      <c r="X124"/>
    </row>
    <row r="125" spans="1:24" s="310" customFormat="1" ht="25.5" customHeight="1">
      <c r="A125" s="9"/>
      <c r="B125" s="187" t="s">
        <v>326</v>
      </c>
      <c r="C125" s="279">
        <v>5000</v>
      </c>
      <c r="D125" s="195"/>
      <c r="E125" s="269">
        <f>+เม.ย.!E124+พ.ค.!E124+มิ.ย.!E124</f>
        <v>0</v>
      </c>
      <c r="F125" s="269">
        <f>+เม.ย.!F124+พ.ค.!F124+มิ.ย.!F124</f>
        <v>0</v>
      </c>
      <c r="G125" s="269">
        <f>+เม.ย.!G124+พ.ค.!G124+มิ.ย.!G124</f>
        <v>0</v>
      </c>
      <c r="H125" s="269">
        <f>+เม.ย.!H124+พ.ค.!H124+มิ.ย.!H124</f>
        <v>0</v>
      </c>
      <c r="I125" s="269">
        <f>+เม.ย.!I124+พ.ค.!I124+มิ.ย.!I124</f>
        <v>0</v>
      </c>
      <c r="J125" s="269">
        <f>+เม.ย.!J124+พ.ค.!J124+มิ.ย.!J124</f>
        <v>0</v>
      </c>
      <c r="K125" s="269">
        <f>+เม.ย.!K124+พ.ค.!K124+มิ.ย.!K124</f>
        <v>0</v>
      </c>
      <c r="L125" s="269">
        <f>+เม.ย.!L124+พ.ค.!L124+มิ.ย.!L124</f>
        <v>0</v>
      </c>
      <c r="M125" s="269">
        <f>+เม.ย.!M124+พ.ค.!M124+มิ.ย.!M124</f>
        <v>0</v>
      </c>
      <c r="N125" s="269">
        <f>+เม.ย.!N124+พ.ค.!N124+มิ.ย.!N124</f>
        <v>0</v>
      </c>
      <c r="O125" s="269">
        <f>+เม.ย.!O124+พ.ค.!O124+มิ.ย.!O124</f>
        <v>0</v>
      </c>
      <c r="P125" s="269">
        <f>+เม.ย.!P124+พ.ค.!P124+มิ.ย.!P124</f>
        <v>0</v>
      </c>
      <c r="Q125" s="269">
        <f>+เม.ย.!Q124+พ.ค.!Q124+มิ.ย.!Q124</f>
        <v>0</v>
      </c>
      <c r="R125" s="269">
        <f>+เม.ย.!R124+พ.ค.!R124+มิ.ย.!R124</f>
        <v>0</v>
      </c>
      <c r="S125" s="269">
        <f>+เม.ย.!S124+พ.ค.!S124+มิ.ย.!S124</f>
        <v>0</v>
      </c>
      <c r="T125" s="269"/>
      <c r="U125" s="269">
        <f>+เม.ย.!U124+พ.ค.!U124+มิ.ย.!U124</f>
        <v>0</v>
      </c>
      <c r="V125" s="269">
        <f>+เม.ย.!V124+พ.ค.!V124+มิ.ย.!V124</f>
        <v>0</v>
      </c>
      <c r="X125"/>
    </row>
    <row r="126" spans="1:24" s="310" customFormat="1" ht="25.5" customHeight="1">
      <c r="A126" s="9"/>
      <c r="B126" s="187" t="s">
        <v>327</v>
      </c>
      <c r="C126" s="279">
        <v>5000</v>
      </c>
      <c r="D126" s="195"/>
      <c r="E126" s="269">
        <f>+เม.ย.!E125+พ.ค.!E125+มิ.ย.!E125</f>
        <v>0</v>
      </c>
      <c r="F126" s="269">
        <f>+เม.ย.!F125+พ.ค.!F125+มิ.ย.!F125</f>
        <v>0</v>
      </c>
      <c r="G126" s="269">
        <f>+เม.ย.!G125+พ.ค.!G125+มิ.ย.!G125</f>
        <v>0</v>
      </c>
      <c r="H126" s="269">
        <f>+เม.ย.!H125+พ.ค.!H125+มิ.ย.!H125</f>
        <v>0</v>
      </c>
      <c r="I126" s="269">
        <f>+เม.ย.!I125+พ.ค.!I125+มิ.ย.!I125</f>
        <v>0</v>
      </c>
      <c r="J126" s="269">
        <f>+เม.ย.!J125+พ.ค.!J125+มิ.ย.!J125</f>
        <v>0</v>
      </c>
      <c r="K126" s="269">
        <f>+เม.ย.!K125+พ.ค.!K125+มิ.ย.!K125</f>
        <v>0</v>
      </c>
      <c r="L126" s="269">
        <f>+เม.ย.!L125+พ.ค.!L125+มิ.ย.!L125</f>
        <v>0</v>
      </c>
      <c r="M126" s="269">
        <f>+เม.ย.!M125+พ.ค.!M125+มิ.ย.!M125</f>
        <v>0</v>
      </c>
      <c r="N126" s="269">
        <f>+เม.ย.!N125+พ.ค.!N125+มิ.ย.!N125</f>
        <v>0</v>
      </c>
      <c r="O126" s="269">
        <f>+เม.ย.!O125+พ.ค.!O125+มิ.ย.!O125</f>
        <v>0</v>
      </c>
      <c r="P126" s="269">
        <f>+เม.ย.!P125+พ.ค.!P125+มิ.ย.!P125</f>
        <v>0</v>
      </c>
      <c r="Q126" s="269">
        <f>+เม.ย.!Q125+พ.ค.!Q125+มิ.ย.!Q125</f>
        <v>0</v>
      </c>
      <c r="R126" s="269">
        <f>+เม.ย.!R125+พ.ค.!R125+มิ.ย.!R125</f>
        <v>0</v>
      </c>
      <c r="S126" s="269">
        <f>+เม.ย.!S125+พ.ค.!S125+มิ.ย.!S125</f>
        <v>0</v>
      </c>
      <c r="T126" s="269"/>
      <c r="U126" s="269">
        <f>+เม.ย.!U125+พ.ค.!U125+มิ.ย.!U125</f>
        <v>0</v>
      </c>
      <c r="V126" s="269">
        <f>+เม.ย.!V125+พ.ค.!V125+มิ.ย.!V125</f>
        <v>0</v>
      </c>
      <c r="X126"/>
    </row>
    <row r="127" spans="1:24" s="310" customFormat="1" ht="25.5" customHeight="1">
      <c r="A127" s="9"/>
      <c r="B127" s="187" t="s">
        <v>142</v>
      </c>
      <c r="C127" s="279">
        <v>20000</v>
      </c>
      <c r="D127" s="195"/>
      <c r="E127" s="269">
        <f>+เม.ย.!E126+พ.ค.!E126+มิ.ย.!E126</f>
        <v>0</v>
      </c>
      <c r="F127" s="269">
        <f>+เม.ย.!F126+พ.ค.!F126+มิ.ย.!F126</f>
        <v>0</v>
      </c>
      <c r="G127" s="269">
        <f>+เม.ย.!G126+พ.ค.!G126+มิ.ย.!G126</f>
        <v>0</v>
      </c>
      <c r="H127" s="269">
        <f>+เม.ย.!H126+พ.ค.!H126+มิ.ย.!H126</f>
        <v>0</v>
      </c>
      <c r="I127" s="269">
        <f>+เม.ย.!I126+พ.ค.!I126+มิ.ย.!I126</f>
        <v>0</v>
      </c>
      <c r="J127" s="269">
        <f>+เม.ย.!J126+พ.ค.!J126+มิ.ย.!J126</f>
        <v>0</v>
      </c>
      <c r="K127" s="269">
        <f>+เม.ย.!K126+พ.ค.!K126+มิ.ย.!K126</f>
        <v>0</v>
      </c>
      <c r="L127" s="269">
        <f>+เม.ย.!L126+พ.ค.!L126+มิ.ย.!L126</f>
        <v>0</v>
      </c>
      <c r="M127" s="269">
        <f>+เม.ย.!M126+พ.ค.!M126+มิ.ย.!M126</f>
        <v>0</v>
      </c>
      <c r="N127" s="269">
        <f>+เม.ย.!N126+พ.ค.!N126+มิ.ย.!N126</f>
        <v>0</v>
      </c>
      <c r="O127" s="269">
        <f>+เม.ย.!O126+พ.ค.!O126+มิ.ย.!O126</f>
        <v>0</v>
      </c>
      <c r="P127" s="269">
        <f>+เม.ย.!P126+พ.ค.!P126+มิ.ย.!P126</f>
        <v>0</v>
      </c>
      <c r="Q127" s="269">
        <f>+เม.ย.!Q126+พ.ค.!Q126+มิ.ย.!Q126</f>
        <v>0</v>
      </c>
      <c r="R127" s="269">
        <f>+เม.ย.!R126+พ.ค.!R126+มิ.ย.!R126</f>
        <v>0</v>
      </c>
      <c r="S127" s="269">
        <f>+เม.ย.!S126+พ.ค.!S126+มิ.ย.!S126</f>
        <v>0</v>
      </c>
      <c r="T127" s="269"/>
      <c r="U127" s="269">
        <f>+เม.ย.!U126+พ.ค.!U126+มิ.ย.!U126</f>
        <v>0</v>
      </c>
      <c r="V127" s="269">
        <f>+เม.ย.!V126+พ.ค.!V126+มิ.ย.!V126</f>
        <v>0</v>
      </c>
      <c r="X127"/>
    </row>
    <row r="128" spans="1:24" s="310" customFormat="1" ht="25.5" customHeight="1">
      <c r="A128" s="9"/>
      <c r="B128" s="226" t="s">
        <v>328</v>
      </c>
      <c r="C128" s="279">
        <v>10000</v>
      </c>
      <c r="D128" s="195"/>
      <c r="E128" s="269">
        <f>+เม.ย.!E127+พ.ค.!E127+มิ.ย.!E127</f>
        <v>0</v>
      </c>
      <c r="F128" s="269">
        <f>+เม.ย.!F127+พ.ค.!F127+มิ.ย.!F127</f>
        <v>0</v>
      </c>
      <c r="G128" s="269">
        <f>+เม.ย.!G127+พ.ค.!G127+มิ.ย.!G127</f>
        <v>0</v>
      </c>
      <c r="H128" s="269">
        <f>+เม.ย.!H127+พ.ค.!H127+มิ.ย.!H127</f>
        <v>0</v>
      </c>
      <c r="I128" s="269">
        <f>+เม.ย.!I127+พ.ค.!I127+มิ.ย.!I127</f>
        <v>0</v>
      </c>
      <c r="J128" s="269">
        <f>+เม.ย.!J127+พ.ค.!J127+มิ.ย.!J127</f>
        <v>0</v>
      </c>
      <c r="K128" s="269">
        <f>+เม.ย.!K127+พ.ค.!K127+มิ.ย.!K127</f>
        <v>0</v>
      </c>
      <c r="L128" s="269">
        <f>+เม.ย.!L127+พ.ค.!L127+มิ.ย.!L127</f>
        <v>0</v>
      </c>
      <c r="M128" s="269">
        <f>+เม.ย.!M127+พ.ค.!M127+มิ.ย.!M127</f>
        <v>0</v>
      </c>
      <c r="N128" s="269">
        <f>+เม.ย.!N127+พ.ค.!N127+มิ.ย.!N127</f>
        <v>0</v>
      </c>
      <c r="O128" s="269">
        <f>+เม.ย.!O127+พ.ค.!O127+มิ.ย.!O127</f>
        <v>0</v>
      </c>
      <c r="P128" s="269">
        <f>+เม.ย.!P127+พ.ค.!P127+มิ.ย.!P127</f>
        <v>0</v>
      </c>
      <c r="Q128" s="269">
        <f>+เม.ย.!Q127+พ.ค.!Q127+มิ.ย.!Q127</f>
        <v>0</v>
      </c>
      <c r="R128" s="269">
        <f>+เม.ย.!R127+พ.ค.!R127+มิ.ย.!R127</f>
        <v>0</v>
      </c>
      <c r="S128" s="269">
        <f>+เม.ย.!S127+พ.ค.!S127+มิ.ย.!S127</f>
        <v>0</v>
      </c>
      <c r="T128" s="269"/>
      <c r="U128" s="269">
        <f>+เม.ย.!U127+พ.ค.!U127+มิ.ย.!U127</f>
        <v>0</v>
      </c>
      <c r="V128" s="269">
        <f>+เม.ย.!V127+พ.ค.!V127+มิ.ย.!V127</f>
        <v>0</v>
      </c>
      <c r="X128"/>
    </row>
    <row r="129" spans="1:24" s="310" customFormat="1" ht="25.5" customHeight="1">
      <c r="A129" s="9"/>
      <c r="B129" s="226" t="s">
        <v>329</v>
      </c>
      <c r="C129" s="279">
        <v>10000</v>
      </c>
      <c r="D129" s="131"/>
      <c r="E129" s="269">
        <f>+เม.ย.!E128+พ.ค.!E128+มิ.ย.!E128</f>
        <v>0</v>
      </c>
      <c r="F129" s="269">
        <f>+เม.ย.!F128+พ.ค.!F128+มิ.ย.!F128</f>
        <v>0</v>
      </c>
      <c r="G129" s="269">
        <f>+เม.ย.!G128+พ.ค.!G128+มิ.ย.!G128</f>
        <v>0</v>
      </c>
      <c r="H129" s="269">
        <f>+เม.ย.!H128+พ.ค.!H128+มิ.ย.!H128</f>
        <v>0</v>
      </c>
      <c r="I129" s="269">
        <f>+เม.ย.!I128+พ.ค.!I128+มิ.ย.!I128</f>
        <v>0</v>
      </c>
      <c r="J129" s="269">
        <f>+เม.ย.!J128+พ.ค.!J128+มิ.ย.!J128</f>
        <v>0</v>
      </c>
      <c r="K129" s="269">
        <f>+เม.ย.!K128+พ.ค.!K128+มิ.ย.!K128</f>
        <v>0</v>
      </c>
      <c r="L129" s="269">
        <f>+เม.ย.!L128+พ.ค.!L128+มิ.ย.!L128</f>
        <v>0</v>
      </c>
      <c r="M129" s="269">
        <f>+เม.ย.!M128+พ.ค.!M128+มิ.ย.!M128</f>
        <v>0</v>
      </c>
      <c r="N129" s="269">
        <f>+เม.ย.!N128+พ.ค.!N128+มิ.ย.!N128</f>
        <v>0</v>
      </c>
      <c r="O129" s="269">
        <f>+เม.ย.!O128+พ.ค.!O128+มิ.ย.!O128</f>
        <v>0</v>
      </c>
      <c r="P129" s="269">
        <f>+เม.ย.!P128+พ.ค.!P128+มิ.ย.!P128</f>
        <v>0</v>
      </c>
      <c r="Q129" s="269">
        <f>+เม.ย.!Q128+พ.ค.!Q128+มิ.ย.!Q128</f>
        <v>0</v>
      </c>
      <c r="R129" s="269">
        <f>+เม.ย.!R128+พ.ค.!R128+มิ.ย.!R128</f>
        <v>0</v>
      </c>
      <c r="S129" s="269">
        <f>+เม.ย.!S128+พ.ค.!S128+มิ.ย.!S128</f>
        <v>0</v>
      </c>
      <c r="T129" s="269"/>
      <c r="U129" s="269">
        <f>+เม.ย.!U128+พ.ค.!U128+มิ.ย.!U128</f>
        <v>0</v>
      </c>
      <c r="V129" s="269">
        <f>+เม.ย.!V128+พ.ค.!V128+มิ.ย.!V128</f>
        <v>0</v>
      </c>
      <c r="X129"/>
    </row>
    <row r="130" spans="1:24" s="310" customFormat="1" ht="25.5" customHeight="1">
      <c r="A130" s="9"/>
      <c r="B130" s="226" t="s">
        <v>330</v>
      </c>
      <c r="C130" s="279">
        <v>10000</v>
      </c>
      <c r="D130" s="195"/>
      <c r="E130" s="269">
        <f>+เม.ย.!E129+พ.ค.!E129+มิ.ย.!E129</f>
        <v>0</v>
      </c>
      <c r="F130" s="269">
        <f>+เม.ย.!F129+พ.ค.!F129+มิ.ย.!F129</f>
        <v>0</v>
      </c>
      <c r="G130" s="269">
        <f>+เม.ย.!G129+พ.ค.!G129+มิ.ย.!G129</f>
        <v>0</v>
      </c>
      <c r="H130" s="269">
        <f>+เม.ย.!H129+พ.ค.!H129+มิ.ย.!H129</f>
        <v>0</v>
      </c>
      <c r="I130" s="269">
        <f>+เม.ย.!I129+พ.ค.!I129+มิ.ย.!I129</f>
        <v>0</v>
      </c>
      <c r="J130" s="269">
        <f>+เม.ย.!J129+พ.ค.!J129+มิ.ย.!J129</f>
        <v>0</v>
      </c>
      <c r="K130" s="269">
        <f>+เม.ย.!K129+พ.ค.!K129+มิ.ย.!K129</f>
        <v>0</v>
      </c>
      <c r="L130" s="269">
        <f>+เม.ย.!L129+พ.ค.!L129+มิ.ย.!L129</f>
        <v>0</v>
      </c>
      <c r="M130" s="269">
        <f>+เม.ย.!M129+พ.ค.!M129+มิ.ย.!M129</f>
        <v>0</v>
      </c>
      <c r="N130" s="269">
        <f>+เม.ย.!N129+พ.ค.!N129+มิ.ย.!N129</f>
        <v>0</v>
      </c>
      <c r="O130" s="269">
        <f>+เม.ย.!O129+พ.ค.!O129+มิ.ย.!O129</f>
        <v>0</v>
      </c>
      <c r="P130" s="269">
        <f>+เม.ย.!P129+พ.ค.!P129+มิ.ย.!P129</f>
        <v>0</v>
      </c>
      <c r="Q130" s="269">
        <f>+เม.ย.!Q129+พ.ค.!Q129+มิ.ย.!Q129</f>
        <v>0</v>
      </c>
      <c r="R130" s="269">
        <f>+เม.ย.!R129+พ.ค.!R129+มิ.ย.!R129</f>
        <v>0</v>
      </c>
      <c r="S130" s="269">
        <f>+เม.ย.!S129+พ.ค.!S129+มิ.ย.!S129</f>
        <v>0</v>
      </c>
      <c r="T130" s="269"/>
      <c r="U130" s="269">
        <f>+เม.ย.!U129+พ.ค.!U129+มิ.ย.!U129</f>
        <v>0</v>
      </c>
      <c r="V130" s="269">
        <f>+เม.ย.!V129+พ.ค.!V129+มิ.ย.!V129</f>
        <v>0</v>
      </c>
      <c r="X130"/>
    </row>
    <row r="131" spans="1:24" s="310" customFormat="1" ht="25.5" customHeight="1">
      <c r="A131" s="9"/>
      <c r="B131" s="226" t="s">
        <v>331</v>
      </c>
      <c r="C131" s="279">
        <f>10000-10000</f>
        <v>0</v>
      </c>
      <c r="D131" s="195"/>
      <c r="E131" s="269">
        <f>+เม.ย.!E130+พ.ค.!E130+มิ.ย.!E130</f>
        <v>0</v>
      </c>
      <c r="F131" s="269">
        <f>+เม.ย.!F130+พ.ค.!F130+มิ.ย.!F130</f>
        <v>0</v>
      </c>
      <c r="G131" s="269">
        <f>+เม.ย.!G130+พ.ค.!G130+มิ.ย.!G130</f>
        <v>0</v>
      </c>
      <c r="H131" s="269">
        <f>+เม.ย.!H130+พ.ค.!H130+มิ.ย.!H130</f>
        <v>0</v>
      </c>
      <c r="I131" s="269">
        <f>+เม.ย.!I130+พ.ค.!I130+มิ.ย.!I130</f>
        <v>0</v>
      </c>
      <c r="J131" s="269">
        <f>+เม.ย.!J130+พ.ค.!J130+มิ.ย.!J130</f>
        <v>0</v>
      </c>
      <c r="K131" s="269">
        <f>+เม.ย.!K130+พ.ค.!K130+มิ.ย.!K130</f>
        <v>0</v>
      </c>
      <c r="L131" s="269">
        <f>+เม.ย.!L130+พ.ค.!L130+มิ.ย.!L130</f>
        <v>0</v>
      </c>
      <c r="M131" s="269">
        <f>+เม.ย.!M130+พ.ค.!M130+มิ.ย.!M130</f>
        <v>0</v>
      </c>
      <c r="N131" s="269">
        <f>+เม.ย.!N130+พ.ค.!N130+มิ.ย.!N130</f>
        <v>0</v>
      </c>
      <c r="O131" s="269">
        <f>+เม.ย.!O130+พ.ค.!O130+มิ.ย.!O130</f>
        <v>0</v>
      </c>
      <c r="P131" s="269">
        <f>+เม.ย.!P130+พ.ค.!P130+มิ.ย.!P130</f>
        <v>0</v>
      </c>
      <c r="Q131" s="269">
        <f>+เม.ย.!Q130+พ.ค.!Q130+มิ.ย.!Q130</f>
        <v>0</v>
      </c>
      <c r="R131" s="269">
        <f>+เม.ย.!R130+พ.ค.!R130+มิ.ย.!R130</f>
        <v>0</v>
      </c>
      <c r="S131" s="269">
        <f>+เม.ย.!S130+พ.ค.!S130+มิ.ย.!S130</f>
        <v>0</v>
      </c>
      <c r="T131" s="269"/>
      <c r="U131" s="269">
        <f>+เม.ย.!U130+พ.ค.!U130+มิ.ย.!U130</f>
        <v>0</v>
      </c>
      <c r="V131" s="269">
        <f>+เม.ย.!V130+พ.ค.!V130+มิ.ย.!V130</f>
        <v>0</v>
      </c>
      <c r="X131"/>
    </row>
    <row r="132" spans="1:24" s="310" customFormat="1" ht="25.5" customHeight="1">
      <c r="A132" s="9"/>
      <c r="B132" s="226" t="s">
        <v>333</v>
      </c>
      <c r="C132" s="279">
        <v>15000</v>
      </c>
      <c r="D132" s="195"/>
      <c r="E132" s="269">
        <f>+เม.ย.!E131+พ.ค.!E131+มิ.ย.!E131</f>
        <v>0</v>
      </c>
      <c r="F132" s="269">
        <f>+เม.ย.!F131+พ.ค.!F131+มิ.ย.!F131</f>
        <v>0</v>
      </c>
      <c r="G132" s="269">
        <f>+เม.ย.!G131+พ.ค.!G131+มิ.ย.!G131</f>
        <v>0</v>
      </c>
      <c r="H132" s="269">
        <f>+เม.ย.!H131+พ.ค.!H131+มิ.ย.!H131</f>
        <v>0</v>
      </c>
      <c r="I132" s="269">
        <f>+เม.ย.!I131+พ.ค.!I131+มิ.ย.!I131</f>
        <v>0</v>
      </c>
      <c r="J132" s="269">
        <f>+เม.ย.!J131+พ.ค.!J131+มิ.ย.!J131</f>
        <v>0</v>
      </c>
      <c r="K132" s="269">
        <f>+เม.ย.!K131+พ.ค.!K131+มิ.ย.!K131</f>
        <v>0</v>
      </c>
      <c r="L132" s="269">
        <f>+เม.ย.!L131+พ.ค.!L131+มิ.ย.!L131</f>
        <v>0</v>
      </c>
      <c r="M132" s="269">
        <f>+เม.ย.!M131+พ.ค.!M131+มิ.ย.!M131</f>
        <v>0</v>
      </c>
      <c r="N132" s="269">
        <f>+เม.ย.!N131+พ.ค.!N131+มิ.ย.!N131</f>
        <v>0</v>
      </c>
      <c r="O132" s="269">
        <f>+เม.ย.!O131+พ.ค.!O131+มิ.ย.!O131</f>
        <v>0</v>
      </c>
      <c r="P132" s="269">
        <f>+เม.ย.!P131+พ.ค.!P131+มิ.ย.!P131</f>
        <v>0</v>
      </c>
      <c r="Q132" s="269">
        <f>+เม.ย.!Q131+พ.ค.!Q131+มิ.ย.!Q131</f>
        <v>0</v>
      </c>
      <c r="R132" s="269">
        <f>+เม.ย.!R131+พ.ค.!R131+มิ.ย.!R131</f>
        <v>0</v>
      </c>
      <c r="S132" s="269">
        <f>+เม.ย.!S131+พ.ค.!S131+มิ.ย.!S131</f>
        <v>0</v>
      </c>
      <c r="T132" s="269"/>
      <c r="U132" s="269">
        <f>+เม.ย.!U131+พ.ค.!U131+มิ.ย.!U131</f>
        <v>0</v>
      </c>
      <c r="V132" s="269">
        <f>+เม.ย.!V131+พ.ค.!V131+มิ.ย.!V131</f>
        <v>0</v>
      </c>
      <c r="X132"/>
    </row>
    <row r="133" spans="1:24" s="310" customFormat="1" ht="25.5" customHeight="1">
      <c r="A133" s="9"/>
      <c r="B133" s="226" t="s">
        <v>157</v>
      </c>
      <c r="C133" s="279">
        <f>10000+8000</f>
        <v>18000</v>
      </c>
      <c r="D133" s="195"/>
      <c r="E133" s="269">
        <f>+เม.ย.!E132+พ.ค.!E132+มิ.ย.!E132</f>
        <v>0</v>
      </c>
      <c r="F133" s="269">
        <f>+เม.ย.!F132+พ.ค.!F132+มิ.ย.!F132</f>
        <v>0</v>
      </c>
      <c r="G133" s="269">
        <f>+เม.ย.!G132+พ.ค.!G132+มิ.ย.!G132</f>
        <v>0</v>
      </c>
      <c r="H133" s="269">
        <f>+เม.ย.!H132+พ.ค.!H132+มิ.ย.!H132</f>
        <v>0</v>
      </c>
      <c r="I133" s="269">
        <f>+เม.ย.!I132+พ.ค.!I132+มิ.ย.!I132</f>
        <v>0</v>
      </c>
      <c r="J133" s="269">
        <f>+เม.ย.!J132+พ.ค.!J132+มิ.ย.!J132</f>
        <v>0</v>
      </c>
      <c r="K133" s="269">
        <f>+เม.ย.!K132+พ.ค.!K132+มิ.ย.!K132</f>
        <v>0</v>
      </c>
      <c r="L133" s="269">
        <f>+เม.ย.!L132+พ.ค.!L132+มิ.ย.!L132</f>
        <v>0</v>
      </c>
      <c r="M133" s="269">
        <f>+เม.ย.!M132+พ.ค.!M132+มิ.ย.!M132</f>
        <v>0</v>
      </c>
      <c r="N133" s="269">
        <f>+เม.ย.!N132+พ.ค.!N132+มิ.ย.!N132</f>
        <v>0</v>
      </c>
      <c r="O133" s="269">
        <f>+เม.ย.!O132+พ.ค.!O132+มิ.ย.!O132</f>
        <v>0</v>
      </c>
      <c r="P133" s="269">
        <f>+เม.ย.!P132+พ.ค.!P132+มิ.ย.!P132</f>
        <v>3600</v>
      </c>
      <c r="Q133" s="269">
        <f>+เม.ย.!Q132+พ.ค.!Q132+มิ.ย.!Q132</f>
        <v>0</v>
      </c>
      <c r="R133" s="269">
        <f>+เม.ย.!R132+พ.ค.!R132+มิ.ย.!R132</f>
        <v>0</v>
      </c>
      <c r="S133" s="269">
        <f>+เม.ย.!S132+พ.ค.!S132+มิ.ย.!S132</f>
        <v>0</v>
      </c>
      <c r="T133" s="269"/>
      <c r="U133" s="269">
        <f>+เม.ย.!U132+พ.ค.!U132+มิ.ย.!U132</f>
        <v>0</v>
      </c>
      <c r="V133" s="269">
        <f>+เม.ย.!V132+พ.ค.!V132+มิ.ย.!V132</f>
        <v>0</v>
      </c>
      <c r="X133"/>
    </row>
    <row r="134" spans="1:24" s="310" customFormat="1" ht="25.5" customHeight="1">
      <c r="A134" s="9"/>
      <c r="B134" s="226" t="s">
        <v>158</v>
      </c>
      <c r="C134" s="279">
        <f>10000-8000</f>
        <v>2000</v>
      </c>
      <c r="D134" s="195"/>
      <c r="E134" s="269">
        <f>+เม.ย.!E133+พ.ค.!E133+มิ.ย.!E133</f>
        <v>0</v>
      </c>
      <c r="F134" s="269">
        <f>+เม.ย.!F133+พ.ค.!F133+มิ.ย.!F133</f>
        <v>0</v>
      </c>
      <c r="G134" s="269">
        <f>+เม.ย.!G133+พ.ค.!G133+มิ.ย.!G133</f>
        <v>0</v>
      </c>
      <c r="H134" s="269">
        <f>+เม.ย.!H133+พ.ค.!H133+มิ.ย.!H133</f>
        <v>0</v>
      </c>
      <c r="I134" s="269">
        <f>+เม.ย.!I133+พ.ค.!I133+มิ.ย.!I133</f>
        <v>0</v>
      </c>
      <c r="J134" s="269">
        <f>+เม.ย.!J133+พ.ค.!J133+มิ.ย.!J133</f>
        <v>0</v>
      </c>
      <c r="K134" s="269">
        <f>+เม.ย.!K133+พ.ค.!K133+มิ.ย.!K133</f>
        <v>0</v>
      </c>
      <c r="L134" s="269">
        <f>+เม.ย.!L133+พ.ค.!L133+มิ.ย.!L133</f>
        <v>0</v>
      </c>
      <c r="M134" s="269">
        <f>+เม.ย.!M133+พ.ค.!M133+มิ.ย.!M133</f>
        <v>0</v>
      </c>
      <c r="N134" s="269">
        <f>+เม.ย.!N133+พ.ค.!N133+มิ.ย.!N133</f>
        <v>0</v>
      </c>
      <c r="O134" s="269">
        <f>+เม.ย.!O133+พ.ค.!O133+มิ.ย.!O133</f>
        <v>0</v>
      </c>
      <c r="P134" s="269">
        <f>+เม.ย.!P133+พ.ค.!P133+มิ.ย.!P133</f>
        <v>0</v>
      </c>
      <c r="Q134" s="269">
        <f>+เม.ย.!Q133+พ.ค.!Q133+มิ.ย.!Q133</f>
        <v>0</v>
      </c>
      <c r="R134" s="269">
        <f>+เม.ย.!R133+พ.ค.!R133+มิ.ย.!R133</f>
        <v>0</v>
      </c>
      <c r="S134" s="269">
        <f>+เม.ย.!S133+พ.ค.!S133+มิ.ย.!S133</f>
        <v>0</v>
      </c>
      <c r="T134" s="269"/>
      <c r="U134" s="269">
        <f>+เม.ย.!U133+พ.ค.!U133+มิ.ย.!U133</f>
        <v>0</v>
      </c>
      <c r="V134" s="269">
        <f>+เม.ย.!V133+พ.ค.!V133+มิ.ย.!V133</f>
        <v>0</v>
      </c>
      <c r="X134"/>
    </row>
    <row r="135" spans="1:24" s="310" customFormat="1" ht="25.5" customHeight="1">
      <c r="A135" s="9"/>
      <c r="B135" s="226" t="s">
        <v>352</v>
      </c>
      <c r="C135" s="279">
        <f>10000+10000-20000</f>
        <v>0</v>
      </c>
      <c r="D135" s="195"/>
      <c r="E135" s="269">
        <f>+เม.ย.!E134+พ.ค.!E134+มิ.ย.!E134</f>
        <v>0</v>
      </c>
      <c r="F135" s="269">
        <f>+เม.ย.!F134+พ.ค.!F134+มิ.ย.!F134</f>
        <v>0</v>
      </c>
      <c r="G135" s="269">
        <f>+เม.ย.!G134+พ.ค.!G134+มิ.ย.!G134</f>
        <v>0</v>
      </c>
      <c r="H135" s="269">
        <f>+เม.ย.!H134+พ.ค.!H134+มิ.ย.!H134</f>
        <v>0</v>
      </c>
      <c r="I135" s="269">
        <f>+เม.ย.!I134+พ.ค.!I134+มิ.ย.!I134</f>
        <v>0</v>
      </c>
      <c r="J135" s="269">
        <f>+เม.ย.!J134+พ.ค.!J134+มิ.ย.!J134</f>
        <v>0</v>
      </c>
      <c r="K135" s="269">
        <f>+เม.ย.!K134+พ.ค.!K134+มิ.ย.!K134</f>
        <v>0</v>
      </c>
      <c r="L135" s="269">
        <f>+เม.ย.!L134+พ.ค.!L134+มิ.ย.!L134</f>
        <v>0</v>
      </c>
      <c r="M135" s="269">
        <f>+เม.ย.!M134+พ.ค.!M134+มิ.ย.!M134</f>
        <v>0</v>
      </c>
      <c r="N135" s="269">
        <f>+เม.ย.!N134+พ.ค.!N134+มิ.ย.!N134</f>
        <v>0</v>
      </c>
      <c r="O135" s="269">
        <f>+เม.ย.!O134+พ.ค.!O134+มิ.ย.!O134</f>
        <v>0</v>
      </c>
      <c r="P135" s="269">
        <f>+เม.ย.!P134+พ.ค.!P134+มิ.ย.!P134</f>
        <v>0</v>
      </c>
      <c r="Q135" s="269">
        <f>+เม.ย.!Q134+พ.ค.!Q134+มิ.ย.!Q134</f>
        <v>0</v>
      </c>
      <c r="R135" s="269">
        <f>+เม.ย.!R134+พ.ค.!R134+มิ.ย.!R134</f>
        <v>0</v>
      </c>
      <c r="S135" s="269">
        <f>+เม.ย.!S134+พ.ค.!S134+มิ.ย.!S134</f>
        <v>0</v>
      </c>
      <c r="T135" s="269"/>
      <c r="U135" s="269">
        <f>+เม.ย.!U134+พ.ค.!U134+มิ.ย.!U134</f>
        <v>0</v>
      </c>
      <c r="V135" s="269">
        <f>+เม.ย.!V134+พ.ค.!V134+มิ.ย.!V134</f>
        <v>0</v>
      </c>
      <c r="X135"/>
    </row>
    <row r="136" spans="1:24" s="310" customFormat="1" ht="25.5" customHeight="1">
      <c r="A136" s="9"/>
      <c r="B136" s="226" t="s">
        <v>213</v>
      </c>
      <c r="C136" s="279">
        <v>15000</v>
      </c>
      <c r="D136" s="195"/>
      <c r="E136" s="269">
        <f>+เม.ย.!E135+พ.ค.!E135+มิ.ย.!E135</f>
        <v>0</v>
      </c>
      <c r="F136" s="269">
        <f>+เม.ย.!F135+พ.ค.!F135+มิ.ย.!F135</f>
        <v>0</v>
      </c>
      <c r="G136" s="269">
        <f>+เม.ย.!G135+พ.ค.!G135+มิ.ย.!G135</f>
        <v>0</v>
      </c>
      <c r="H136" s="269">
        <f>+เม.ย.!H135+พ.ค.!H135+มิ.ย.!H135</f>
        <v>0</v>
      </c>
      <c r="I136" s="269">
        <f>+เม.ย.!I135+พ.ค.!I135+มิ.ย.!I135</f>
        <v>0</v>
      </c>
      <c r="J136" s="269">
        <f>+เม.ย.!J135+พ.ค.!J135+มิ.ย.!J135</f>
        <v>0</v>
      </c>
      <c r="K136" s="269">
        <f>+เม.ย.!K135+พ.ค.!K135+มิ.ย.!K135</f>
        <v>0</v>
      </c>
      <c r="L136" s="269">
        <f>+เม.ย.!L135+พ.ค.!L135+มิ.ย.!L135</f>
        <v>0</v>
      </c>
      <c r="M136" s="269">
        <f>+เม.ย.!M135+พ.ค.!M135+มิ.ย.!M135</f>
        <v>0</v>
      </c>
      <c r="N136" s="269">
        <f>+เม.ย.!N135+พ.ค.!N135+มิ.ย.!N135</f>
        <v>0</v>
      </c>
      <c r="O136" s="269">
        <f>+เม.ย.!O135+พ.ค.!O135+มิ.ย.!O135</f>
        <v>0</v>
      </c>
      <c r="P136" s="269">
        <f>+เม.ย.!P135+พ.ค.!P135+มิ.ย.!P135</f>
        <v>0</v>
      </c>
      <c r="Q136" s="269">
        <f>+เม.ย.!Q135+พ.ค.!Q135+มิ.ย.!Q135</f>
        <v>0</v>
      </c>
      <c r="R136" s="269">
        <f>+เม.ย.!R135+พ.ค.!R135+มิ.ย.!R135</f>
        <v>0</v>
      </c>
      <c r="S136" s="269">
        <f>+เม.ย.!S135+พ.ค.!S135+มิ.ย.!S135</f>
        <v>0</v>
      </c>
      <c r="T136" s="269"/>
      <c r="U136" s="269">
        <f>+เม.ย.!U135+พ.ค.!U135+มิ.ย.!U135</f>
        <v>0</v>
      </c>
      <c r="V136" s="269">
        <f>+เม.ย.!V135+พ.ค.!V135+มิ.ย.!V135</f>
        <v>0</v>
      </c>
      <c r="X136"/>
    </row>
    <row r="137" spans="1:24" s="310" customFormat="1" ht="25.5" customHeight="1">
      <c r="A137" s="9"/>
      <c r="B137" s="226" t="s">
        <v>265</v>
      </c>
      <c r="C137" s="279">
        <f>20000-20000</f>
        <v>0</v>
      </c>
      <c r="D137" s="195"/>
      <c r="E137" s="269">
        <f>+เม.ย.!E136+พ.ค.!E136+มิ.ย.!E136</f>
        <v>0</v>
      </c>
      <c r="F137" s="269">
        <f>+เม.ย.!F136+พ.ค.!F136+มิ.ย.!F136</f>
        <v>0</v>
      </c>
      <c r="G137" s="269">
        <f>+เม.ย.!G136+พ.ค.!G136+มิ.ย.!G136</f>
        <v>0</v>
      </c>
      <c r="H137" s="269">
        <f>+เม.ย.!H136+พ.ค.!H136+มิ.ย.!H136</f>
        <v>0</v>
      </c>
      <c r="I137" s="269">
        <f>+เม.ย.!I136+พ.ค.!I136+มิ.ย.!I136</f>
        <v>0</v>
      </c>
      <c r="J137" s="269">
        <f>+เม.ย.!J136+พ.ค.!J136+มิ.ย.!J136</f>
        <v>0</v>
      </c>
      <c r="K137" s="269">
        <f>+เม.ย.!K136+พ.ค.!K136+มิ.ย.!K136</f>
        <v>0</v>
      </c>
      <c r="L137" s="269">
        <f>+เม.ย.!L136+พ.ค.!L136+มิ.ย.!L136</f>
        <v>0</v>
      </c>
      <c r="M137" s="269">
        <f>+เม.ย.!M136+พ.ค.!M136+มิ.ย.!M136</f>
        <v>0</v>
      </c>
      <c r="N137" s="269">
        <f>+เม.ย.!N136+พ.ค.!N136+มิ.ย.!N136</f>
        <v>0</v>
      </c>
      <c r="O137" s="269">
        <f>+เม.ย.!O136+พ.ค.!O136+มิ.ย.!O136</f>
        <v>0</v>
      </c>
      <c r="P137" s="269">
        <f>+เม.ย.!P136+พ.ค.!P136+มิ.ย.!P136</f>
        <v>0</v>
      </c>
      <c r="Q137" s="269">
        <f>+เม.ย.!Q136+พ.ค.!Q136+มิ.ย.!Q136</f>
        <v>0</v>
      </c>
      <c r="R137" s="269">
        <f>+เม.ย.!R136+พ.ค.!R136+มิ.ย.!R136</f>
        <v>0</v>
      </c>
      <c r="S137" s="269">
        <f>+เม.ย.!S136+พ.ค.!S136+มิ.ย.!S136</f>
        <v>0</v>
      </c>
      <c r="T137" s="269"/>
      <c r="U137" s="269">
        <f>+เม.ย.!U136+พ.ค.!U136+มิ.ย.!U136</f>
        <v>0</v>
      </c>
      <c r="V137" s="269">
        <f>+เม.ย.!V136+พ.ค.!V136+มิ.ย.!V136</f>
        <v>0</v>
      </c>
      <c r="X137"/>
    </row>
    <row r="138" spans="1:24" s="310" customFormat="1" ht="25.5" customHeight="1">
      <c r="A138" s="9"/>
      <c r="B138" s="226" t="s">
        <v>353</v>
      </c>
      <c r="C138" s="279">
        <v>5000</v>
      </c>
      <c r="D138" s="195"/>
      <c r="E138" s="269">
        <f>+เม.ย.!E137+พ.ค.!E137+มิ.ย.!E137</f>
        <v>0</v>
      </c>
      <c r="F138" s="269">
        <f>+เม.ย.!F137+พ.ค.!F137+มิ.ย.!F137</f>
        <v>0</v>
      </c>
      <c r="G138" s="269">
        <f>+เม.ย.!G137+พ.ค.!G137+มิ.ย.!G137</f>
        <v>0</v>
      </c>
      <c r="H138" s="269">
        <f>+เม.ย.!H137+พ.ค.!H137+มิ.ย.!H137</f>
        <v>0</v>
      </c>
      <c r="I138" s="269">
        <f>+เม.ย.!I137+พ.ค.!I137+มิ.ย.!I137</f>
        <v>0</v>
      </c>
      <c r="J138" s="269">
        <f>+เม.ย.!J137+พ.ค.!J137+มิ.ย.!J137</f>
        <v>0</v>
      </c>
      <c r="K138" s="269">
        <f>+เม.ย.!K137+พ.ค.!K137+มิ.ย.!K137</f>
        <v>0</v>
      </c>
      <c r="L138" s="269">
        <f>+เม.ย.!L137+พ.ค.!L137+มิ.ย.!L137</f>
        <v>0</v>
      </c>
      <c r="M138" s="269">
        <f>+เม.ย.!M137+พ.ค.!M137+มิ.ย.!M137</f>
        <v>0</v>
      </c>
      <c r="N138" s="269">
        <f>+เม.ย.!N137+พ.ค.!N137+มิ.ย.!N137</f>
        <v>0</v>
      </c>
      <c r="O138" s="269">
        <f>+เม.ย.!O137+พ.ค.!O137+มิ.ย.!O137</f>
        <v>0</v>
      </c>
      <c r="P138" s="269">
        <f>+เม.ย.!P137+พ.ค.!P137+มิ.ย.!P137</f>
        <v>0</v>
      </c>
      <c r="Q138" s="269">
        <f>+เม.ย.!Q137+พ.ค.!Q137+มิ.ย.!Q137</f>
        <v>0</v>
      </c>
      <c r="R138" s="269">
        <f>+เม.ย.!R137+พ.ค.!R137+มิ.ย.!R137</f>
        <v>0</v>
      </c>
      <c r="S138" s="269">
        <f>+เม.ย.!S137+พ.ค.!S137+มิ.ย.!S137</f>
        <v>0</v>
      </c>
      <c r="T138" s="269"/>
      <c r="U138" s="269">
        <f>+เม.ย.!U137+พ.ค.!U137+มิ.ย.!U137</f>
        <v>0</v>
      </c>
      <c r="V138" s="269">
        <f>+เม.ย.!V137+พ.ค.!V137+มิ.ย.!V137</f>
        <v>0</v>
      </c>
      <c r="X138"/>
    </row>
    <row r="139" spans="1:24" s="310" customFormat="1" ht="25.5" customHeight="1">
      <c r="A139" s="9"/>
      <c r="B139" s="226" t="s">
        <v>354</v>
      </c>
      <c r="C139" s="279">
        <v>10000</v>
      </c>
      <c r="D139" s="195"/>
      <c r="E139" s="269">
        <f>+เม.ย.!E138+พ.ค.!E138+มิ.ย.!E138</f>
        <v>0</v>
      </c>
      <c r="F139" s="269">
        <f>+เม.ย.!F138+พ.ค.!F138+มิ.ย.!F138</f>
        <v>0</v>
      </c>
      <c r="G139" s="269">
        <f>+เม.ย.!G138+พ.ค.!G138+มิ.ย.!G138</f>
        <v>0</v>
      </c>
      <c r="H139" s="269">
        <f>+เม.ย.!H138+พ.ค.!H138+มิ.ย.!H138</f>
        <v>0</v>
      </c>
      <c r="I139" s="269">
        <f>+เม.ย.!I138+พ.ค.!I138+มิ.ย.!I138</f>
        <v>0</v>
      </c>
      <c r="J139" s="269">
        <f>+เม.ย.!J138+พ.ค.!J138+มิ.ย.!J138</f>
        <v>0</v>
      </c>
      <c r="K139" s="269">
        <f>+เม.ย.!K138+พ.ค.!K138+มิ.ย.!K138</f>
        <v>0</v>
      </c>
      <c r="L139" s="269">
        <f>+เม.ย.!L138+พ.ค.!L138+มิ.ย.!L138</f>
        <v>0</v>
      </c>
      <c r="M139" s="269">
        <f>+เม.ย.!M138+พ.ค.!M138+มิ.ย.!M138</f>
        <v>0</v>
      </c>
      <c r="N139" s="269">
        <f>+เม.ย.!N138+พ.ค.!N138+มิ.ย.!N138</f>
        <v>0</v>
      </c>
      <c r="O139" s="269">
        <f>+เม.ย.!O138+พ.ค.!O138+มิ.ย.!O138</f>
        <v>0</v>
      </c>
      <c r="P139" s="269">
        <f>+เม.ย.!P138+พ.ค.!P138+มิ.ย.!P138</f>
        <v>0</v>
      </c>
      <c r="Q139" s="269">
        <f>+เม.ย.!Q138+พ.ค.!Q138+มิ.ย.!Q138</f>
        <v>0</v>
      </c>
      <c r="R139" s="269">
        <f>+เม.ย.!R138+พ.ค.!R138+มิ.ย.!R138</f>
        <v>0</v>
      </c>
      <c r="S139" s="269">
        <f>+เม.ย.!S138+พ.ค.!S138+มิ.ย.!S138</f>
        <v>0</v>
      </c>
      <c r="T139" s="269"/>
      <c r="U139" s="269">
        <f>+เม.ย.!U138+พ.ค.!U138+มิ.ย.!U138</f>
        <v>0</v>
      </c>
      <c r="V139" s="269">
        <f>+เม.ย.!V138+พ.ค.!V138+มิ.ย.!V138</f>
        <v>0</v>
      </c>
      <c r="X139"/>
    </row>
    <row r="140" spans="1:24" s="310" customFormat="1" ht="25.5" customHeight="1">
      <c r="A140" s="9"/>
      <c r="B140" s="187" t="s">
        <v>355</v>
      </c>
      <c r="C140" s="279">
        <v>20000</v>
      </c>
      <c r="D140" s="195"/>
      <c r="E140" s="269">
        <f>+เม.ย.!E139+พ.ค.!E139+มิ.ย.!E139</f>
        <v>0</v>
      </c>
      <c r="F140" s="269">
        <f>+เม.ย.!F139+พ.ค.!F139+มิ.ย.!F139</f>
        <v>0</v>
      </c>
      <c r="G140" s="269">
        <f>+เม.ย.!G139+พ.ค.!G139+มิ.ย.!G139</f>
        <v>0</v>
      </c>
      <c r="H140" s="269">
        <f>+เม.ย.!H139+พ.ค.!H139+มิ.ย.!H139</f>
        <v>0</v>
      </c>
      <c r="I140" s="269">
        <f>+เม.ย.!I139+พ.ค.!I139+มิ.ย.!I139</f>
        <v>0</v>
      </c>
      <c r="J140" s="269">
        <f>+เม.ย.!J139+พ.ค.!J139+มิ.ย.!J139</f>
        <v>0</v>
      </c>
      <c r="K140" s="269">
        <f>+เม.ย.!K139+พ.ค.!K139+มิ.ย.!K139</f>
        <v>0</v>
      </c>
      <c r="L140" s="269">
        <f>+เม.ย.!L139+พ.ค.!L139+มิ.ย.!L139</f>
        <v>0</v>
      </c>
      <c r="M140" s="269">
        <f>+เม.ย.!M139+พ.ค.!M139+มิ.ย.!M139</f>
        <v>0</v>
      </c>
      <c r="N140" s="269">
        <f>+เม.ย.!N139+พ.ค.!N139+มิ.ย.!N139</f>
        <v>0</v>
      </c>
      <c r="O140" s="269">
        <f>+เม.ย.!O139+พ.ค.!O139+มิ.ย.!O139</f>
        <v>0</v>
      </c>
      <c r="P140" s="269">
        <f>+เม.ย.!P139+พ.ค.!P139+มิ.ย.!P139</f>
        <v>0</v>
      </c>
      <c r="Q140" s="269">
        <f>+เม.ย.!Q139+พ.ค.!Q139+มิ.ย.!Q139</f>
        <v>0</v>
      </c>
      <c r="R140" s="269">
        <f>+เม.ย.!R139+พ.ค.!R139+มิ.ย.!R139</f>
        <v>0</v>
      </c>
      <c r="S140" s="269">
        <f>+เม.ย.!S139+พ.ค.!S139+มิ.ย.!S139</f>
        <v>0</v>
      </c>
      <c r="T140" s="269"/>
      <c r="U140" s="269">
        <f>+เม.ย.!U139+พ.ค.!U139+มิ.ย.!U139</f>
        <v>0</v>
      </c>
      <c r="V140" s="269">
        <f>+เม.ย.!V139+พ.ค.!V139+มิ.ย.!V139</f>
        <v>0</v>
      </c>
      <c r="X140"/>
    </row>
    <row r="141" spans="1:24" s="310" customFormat="1" ht="25.5" customHeight="1">
      <c r="A141" s="9"/>
      <c r="B141" s="187" t="s">
        <v>356</v>
      </c>
      <c r="C141" s="279">
        <v>20000</v>
      </c>
      <c r="D141" s="195"/>
      <c r="E141" s="269">
        <f>+เม.ย.!E140+พ.ค.!E140+มิ.ย.!E140</f>
        <v>0</v>
      </c>
      <c r="F141" s="269">
        <f>+เม.ย.!F140+พ.ค.!F140+มิ.ย.!F140</f>
        <v>0</v>
      </c>
      <c r="G141" s="269">
        <f>+เม.ย.!G140+พ.ค.!G140+มิ.ย.!G140</f>
        <v>0</v>
      </c>
      <c r="H141" s="269">
        <f>+เม.ย.!H140+พ.ค.!H140+มิ.ย.!H140</f>
        <v>0</v>
      </c>
      <c r="I141" s="269">
        <f>+เม.ย.!I140+พ.ค.!I140+มิ.ย.!I140</f>
        <v>0</v>
      </c>
      <c r="J141" s="269">
        <f>+เม.ย.!J140+พ.ค.!J140+มิ.ย.!J140</f>
        <v>0</v>
      </c>
      <c r="K141" s="269">
        <f>+เม.ย.!K140+พ.ค.!K140+มิ.ย.!K140</f>
        <v>0</v>
      </c>
      <c r="L141" s="269">
        <f>+เม.ย.!L140+พ.ค.!L140+มิ.ย.!L140</f>
        <v>0</v>
      </c>
      <c r="M141" s="269">
        <f>+เม.ย.!M140+พ.ค.!M140+มิ.ย.!M140</f>
        <v>0</v>
      </c>
      <c r="N141" s="269">
        <f>+เม.ย.!N140+พ.ค.!N140+มิ.ย.!N140</f>
        <v>0</v>
      </c>
      <c r="O141" s="269">
        <f>+เม.ย.!O140+พ.ค.!O140+มิ.ย.!O140</f>
        <v>0</v>
      </c>
      <c r="P141" s="269">
        <f>+เม.ย.!P140+พ.ค.!P140+มิ.ย.!P140</f>
        <v>0</v>
      </c>
      <c r="Q141" s="269">
        <f>+เม.ย.!Q140+พ.ค.!Q140+มิ.ย.!Q140</f>
        <v>0</v>
      </c>
      <c r="R141" s="269">
        <f>+เม.ย.!R140+พ.ค.!R140+มิ.ย.!R140</f>
        <v>0</v>
      </c>
      <c r="S141" s="269">
        <f>+เม.ย.!S140+พ.ค.!S140+มิ.ย.!S140</f>
        <v>0</v>
      </c>
      <c r="T141" s="269"/>
      <c r="U141" s="269">
        <f>+เม.ย.!U140+พ.ค.!U140+มิ.ย.!U140</f>
        <v>0</v>
      </c>
      <c r="V141" s="269">
        <f>+เม.ย.!V140+พ.ค.!V140+มิ.ย.!V140</f>
        <v>0</v>
      </c>
      <c r="X141"/>
    </row>
    <row r="142" spans="1:24" s="310" customFormat="1" ht="25.5" customHeight="1">
      <c r="A142" s="9"/>
      <c r="B142" s="187" t="s">
        <v>357</v>
      </c>
      <c r="C142" s="279">
        <v>10000</v>
      </c>
      <c r="D142" s="195"/>
      <c r="E142" s="269">
        <f>+เม.ย.!E141+พ.ค.!E141+มิ.ย.!E141</f>
        <v>0</v>
      </c>
      <c r="F142" s="269">
        <f>+เม.ย.!F141+พ.ค.!F141+มิ.ย.!F141</f>
        <v>0</v>
      </c>
      <c r="G142" s="269">
        <f>+เม.ย.!G141+พ.ค.!G141+มิ.ย.!G141</f>
        <v>0</v>
      </c>
      <c r="H142" s="269">
        <f>+เม.ย.!H141+พ.ค.!H141+มิ.ย.!H141</f>
        <v>0</v>
      </c>
      <c r="I142" s="269">
        <f>+เม.ย.!I141+พ.ค.!I141+มิ.ย.!I141</f>
        <v>0</v>
      </c>
      <c r="J142" s="269">
        <f>+เม.ย.!J141+พ.ค.!J141+มิ.ย.!J141</f>
        <v>0</v>
      </c>
      <c r="K142" s="269">
        <f>+เม.ย.!K141+พ.ค.!K141+มิ.ย.!K141</f>
        <v>0</v>
      </c>
      <c r="L142" s="269">
        <f>+เม.ย.!L141+พ.ค.!L141+มิ.ย.!L141</f>
        <v>0</v>
      </c>
      <c r="M142" s="269">
        <f>+เม.ย.!M141+พ.ค.!M141+มิ.ย.!M141</f>
        <v>0</v>
      </c>
      <c r="N142" s="269">
        <f>+เม.ย.!N141+พ.ค.!N141+มิ.ย.!N141</f>
        <v>0</v>
      </c>
      <c r="O142" s="269">
        <f>+เม.ย.!O141+พ.ค.!O141+มิ.ย.!O141</f>
        <v>0</v>
      </c>
      <c r="P142" s="269">
        <f>+เม.ย.!P141+พ.ค.!P141+มิ.ย.!P141</f>
        <v>0</v>
      </c>
      <c r="Q142" s="269">
        <f>+เม.ย.!Q141+พ.ค.!Q141+มิ.ย.!Q141</f>
        <v>0</v>
      </c>
      <c r="R142" s="269">
        <f>+เม.ย.!R141+พ.ค.!R141+มิ.ย.!R141</f>
        <v>0</v>
      </c>
      <c r="S142" s="269">
        <f>+เม.ย.!S141+พ.ค.!S141+มิ.ย.!S141</f>
        <v>0</v>
      </c>
      <c r="T142" s="269"/>
      <c r="U142" s="269">
        <f>+เม.ย.!U141+พ.ค.!U141+มิ.ย.!U141</f>
        <v>0</v>
      </c>
      <c r="V142" s="269">
        <f>+เม.ย.!V141+พ.ค.!V141+มิ.ย.!V141</f>
        <v>0</v>
      </c>
      <c r="X142"/>
    </row>
    <row r="143" spans="1:24" s="310" customFormat="1" ht="25.5" customHeight="1">
      <c r="A143" s="9"/>
      <c r="B143" s="187" t="s">
        <v>358</v>
      </c>
      <c r="C143" s="279">
        <v>10000</v>
      </c>
      <c r="D143" s="195"/>
      <c r="E143" s="269">
        <f>+เม.ย.!E142+พ.ค.!E142+มิ.ย.!E142</f>
        <v>0</v>
      </c>
      <c r="F143" s="269">
        <f>+เม.ย.!F142+พ.ค.!F142+มิ.ย.!F142</f>
        <v>0</v>
      </c>
      <c r="G143" s="269">
        <f>+เม.ย.!G142+พ.ค.!G142+มิ.ย.!G142</f>
        <v>0</v>
      </c>
      <c r="H143" s="269">
        <f>+เม.ย.!H142+พ.ค.!H142+มิ.ย.!H142</f>
        <v>0</v>
      </c>
      <c r="I143" s="269">
        <f>+เม.ย.!I142+พ.ค.!I142+มิ.ย.!I142</f>
        <v>0</v>
      </c>
      <c r="J143" s="269">
        <f>+เม.ย.!J142+พ.ค.!J142+มิ.ย.!J142</f>
        <v>0</v>
      </c>
      <c r="K143" s="269">
        <f>+เม.ย.!K142+พ.ค.!K142+มิ.ย.!K142</f>
        <v>0</v>
      </c>
      <c r="L143" s="269">
        <f>+เม.ย.!L142+พ.ค.!L142+มิ.ย.!L142</f>
        <v>0</v>
      </c>
      <c r="M143" s="269">
        <f>+เม.ย.!M142+พ.ค.!M142+มิ.ย.!M142</f>
        <v>0</v>
      </c>
      <c r="N143" s="269">
        <f>+เม.ย.!N142+พ.ค.!N142+มิ.ย.!N142</f>
        <v>0</v>
      </c>
      <c r="O143" s="269">
        <f>+เม.ย.!O142+พ.ค.!O142+มิ.ย.!O142</f>
        <v>0</v>
      </c>
      <c r="P143" s="269">
        <f>+เม.ย.!P142+พ.ค.!P142+มิ.ย.!P142</f>
        <v>0</v>
      </c>
      <c r="Q143" s="269">
        <f>+เม.ย.!Q142+พ.ค.!Q142+มิ.ย.!Q142</f>
        <v>0</v>
      </c>
      <c r="R143" s="269">
        <f>+เม.ย.!R142+พ.ค.!R142+มิ.ย.!R142</f>
        <v>0</v>
      </c>
      <c r="S143" s="269">
        <f>+เม.ย.!S142+พ.ค.!S142+มิ.ย.!S142</f>
        <v>0</v>
      </c>
      <c r="T143" s="269"/>
      <c r="U143" s="269">
        <f>+เม.ย.!U142+พ.ค.!U142+มิ.ย.!U142</f>
        <v>0</v>
      </c>
      <c r="V143" s="269">
        <f>+เม.ย.!V142+พ.ค.!V142+มิ.ย.!V142</f>
        <v>0</v>
      </c>
      <c r="X143"/>
    </row>
    <row r="144" spans="1:24" s="310" customFormat="1" ht="25.5" customHeight="1">
      <c r="A144" s="9"/>
      <c r="B144" s="187" t="s">
        <v>359</v>
      </c>
      <c r="C144" s="279">
        <v>5000</v>
      </c>
      <c r="D144" s="195"/>
      <c r="E144" s="269">
        <f>+เม.ย.!E143+พ.ค.!E143+มิ.ย.!E143</f>
        <v>0</v>
      </c>
      <c r="F144" s="269">
        <f>+เม.ย.!F143+พ.ค.!F143+มิ.ย.!F143</f>
        <v>0</v>
      </c>
      <c r="G144" s="269">
        <f>+เม.ย.!G143+พ.ค.!G143+มิ.ย.!G143</f>
        <v>0</v>
      </c>
      <c r="H144" s="269">
        <f>+เม.ย.!H143+พ.ค.!H143+มิ.ย.!H143</f>
        <v>0</v>
      </c>
      <c r="I144" s="269">
        <f>+เม.ย.!I143+พ.ค.!I143+มิ.ย.!I143</f>
        <v>0</v>
      </c>
      <c r="J144" s="269">
        <f>+เม.ย.!J143+พ.ค.!J143+มิ.ย.!J143</f>
        <v>0</v>
      </c>
      <c r="K144" s="269">
        <f>+เม.ย.!K143+พ.ค.!K143+มิ.ย.!K143</f>
        <v>0</v>
      </c>
      <c r="L144" s="269">
        <f>+เม.ย.!L143+พ.ค.!L143+มิ.ย.!L143</f>
        <v>0</v>
      </c>
      <c r="M144" s="269">
        <f>+เม.ย.!M143+พ.ค.!M143+มิ.ย.!M143</f>
        <v>0</v>
      </c>
      <c r="N144" s="269">
        <f>+เม.ย.!N143+พ.ค.!N143+มิ.ย.!N143</f>
        <v>0</v>
      </c>
      <c r="O144" s="269">
        <f>+เม.ย.!O143+พ.ค.!O143+มิ.ย.!O143</f>
        <v>0</v>
      </c>
      <c r="P144" s="269">
        <f>+เม.ย.!P143+พ.ค.!P143+มิ.ย.!P143</f>
        <v>0</v>
      </c>
      <c r="Q144" s="269">
        <f>+เม.ย.!Q143+พ.ค.!Q143+มิ.ย.!Q143</f>
        <v>0</v>
      </c>
      <c r="R144" s="269">
        <f>+เม.ย.!R143+พ.ค.!R143+มิ.ย.!R143</f>
        <v>0</v>
      </c>
      <c r="S144" s="269">
        <f>+เม.ย.!S143+พ.ค.!S143+มิ.ย.!S143</f>
        <v>0</v>
      </c>
      <c r="T144" s="269"/>
      <c r="U144" s="269">
        <f>+เม.ย.!U143+พ.ค.!U143+มิ.ย.!U143</f>
        <v>0</v>
      </c>
      <c r="V144" s="269">
        <f>+เม.ย.!V143+พ.ค.!V143+มิ.ย.!V143</f>
        <v>0</v>
      </c>
      <c r="X144"/>
    </row>
    <row r="145" spans="1:24" s="310" customFormat="1" ht="25.5" customHeight="1">
      <c r="A145" s="9"/>
      <c r="B145" s="187" t="s">
        <v>360</v>
      </c>
      <c r="C145" s="279">
        <v>5000</v>
      </c>
      <c r="D145" s="195"/>
      <c r="E145" s="269">
        <f>+เม.ย.!E144+พ.ค.!E144+มิ.ย.!E144</f>
        <v>0</v>
      </c>
      <c r="F145" s="269">
        <f>+เม.ย.!F144+พ.ค.!F144+มิ.ย.!F144</f>
        <v>0</v>
      </c>
      <c r="G145" s="269">
        <f>+เม.ย.!G144+พ.ค.!G144+มิ.ย.!G144</f>
        <v>0</v>
      </c>
      <c r="H145" s="269">
        <f>+เม.ย.!H144+พ.ค.!H144+มิ.ย.!H144</f>
        <v>0</v>
      </c>
      <c r="I145" s="269">
        <f>+เม.ย.!I144+พ.ค.!I144+มิ.ย.!I144</f>
        <v>0</v>
      </c>
      <c r="J145" s="269">
        <f>+เม.ย.!J144+พ.ค.!J144+มิ.ย.!J144</f>
        <v>0</v>
      </c>
      <c r="K145" s="269">
        <f>+เม.ย.!K144+พ.ค.!K144+มิ.ย.!K144</f>
        <v>0</v>
      </c>
      <c r="L145" s="269">
        <f>+เม.ย.!L144+พ.ค.!L144+มิ.ย.!L144</f>
        <v>0</v>
      </c>
      <c r="M145" s="269">
        <f>+เม.ย.!M144+พ.ค.!M144+มิ.ย.!M144</f>
        <v>0</v>
      </c>
      <c r="N145" s="269">
        <f>+เม.ย.!N144+พ.ค.!N144+มิ.ย.!N144</f>
        <v>0</v>
      </c>
      <c r="O145" s="269">
        <f>+เม.ย.!O144+พ.ค.!O144+มิ.ย.!O144</f>
        <v>0</v>
      </c>
      <c r="P145" s="269">
        <f>+เม.ย.!P144+พ.ค.!P144+มิ.ย.!P144</f>
        <v>0</v>
      </c>
      <c r="Q145" s="269">
        <f>+เม.ย.!Q144+พ.ค.!Q144+มิ.ย.!Q144</f>
        <v>0</v>
      </c>
      <c r="R145" s="269">
        <f>+เม.ย.!R144+พ.ค.!R144+มิ.ย.!R144</f>
        <v>0</v>
      </c>
      <c r="S145" s="269">
        <f>+เม.ย.!S144+พ.ค.!S144+มิ.ย.!S144</f>
        <v>0</v>
      </c>
      <c r="T145" s="269"/>
      <c r="U145" s="269">
        <f>+เม.ย.!U144+พ.ค.!U144+มิ.ย.!U144</f>
        <v>0</v>
      </c>
      <c r="V145" s="269">
        <f>+เม.ย.!V144+พ.ค.!V144+มิ.ย.!V144</f>
        <v>0</v>
      </c>
      <c r="X145"/>
    </row>
    <row r="146" spans="1:24" s="310" customFormat="1" ht="25.5" customHeight="1">
      <c r="A146" s="9"/>
      <c r="B146" s="187" t="s">
        <v>361</v>
      </c>
      <c r="C146" s="279">
        <v>5000</v>
      </c>
      <c r="D146" s="195"/>
      <c r="E146" s="269">
        <f>+เม.ย.!E145+พ.ค.!E145+มิ.ย.!E145</f>
        <v>0</v>
      </c>
      <c r="F146" s="269">
        <f>+เม.ย.!F145+พ.ค.!F145+มิ.ย.!F145</f>
        <v>0</v>
      </c>
      <c r="G146" s="269">
        <f>+เม.ย.!G145+พ.ค.!G145+มิ.ย.!G145</f>
        <v>0</v>
      </c>
      <c r="H146" s="269">
        <f>+เม.ย.!H145+พ.ค.!H145+มิ.ย.!H145</f>
        <v>0</v>
      </c>
      <c r="I146" s="269">
        <f>+เม.ย.!I145+พ.ค.!I145+มิ.ย.!I145</f>
        <v>0</v>
      </c>
      <c r="J146" s="269">
        <f>+เม.ย.!J145+พ.ค.!J145+มิ.ย.!J145</f>
        <v>0</v>
      </c>
      <c r="K146" s="269">
        <f>+เม.ย.!K145+พ.ค.!K145+มิ.ย.!K145</f>
        <v>0</v>
      </c>
      <c r="L146" s="269">
        <f>+เม.ย.!L145+พ.ค.!L145+มิ.ย.!L145</f>
        <v>0</v>
      </c>
      <c r="M146" s="269">
        <f>+เม.ย.!M145+พ.ค.!M145+มิ.ย.!M145</f>
        <v>0</v>
      </c>
      <c r="N146" s="269">
        <f>+เม.ย.!N145+พ.ค.!N145+มิ.ย.!N145</f>
        <v>0</v>
      </c>
      <c r="O146" s="269">
        <f>+เม.ย.!O145+พ.ค.!O145+มิ.ย.!O145</f>
        <v>0</v>
      </c>
      <c r="P146" s="269">
        <f>+เม.ย.!P145+พ.ค.!P145+มิ.ย.!P145</f>
        <v>0</v>
      </c>
      <c r="Q146" s="269">
        <f>+เม.ย.!Q145+พ.ค.!Q145+มิ.ย.!Q145</f>
        <v>0</v>
      </c>
      <c r="R146" s="269">
        <f>+เม.ย.!R145+พ.ค.!R145+มิ.ย.!R145</f>
        <v>0</v>
      </c>
      <c r="S146" s="269">
        <f>+เม.ย.!S145+พ.ค.!S145+มิ.ย.!S145</f>
        <v>0</v>
      </c>
      <c r="T146" s="269"/>
      <c r="U146" s="269">
        <f>+เม.ย.!U145+พ.ค.!U145+มิ.ย.!U145</f>
        <v>0</v>
      </c>
      <c r="V146" s="269">
        <f>+เม.ย.!V145+พ.ค.!V145+มิ.ย.!V145</f>
        <v>0</v>
      </c>
      <c r="X146"/>
    </row>
    <row r="147" spans="1:24" s="310" customFormat="1" ht="25.5" customHeight="1">
      <c r="A147" s="9"/>
      <c r="B147" s="187" t="s">
        <v>362</v>
      </c>
      <c r="C147" s="279">
        <v>5000</v>
      </c>
      <c r="D147" s="195"/>
      <c r="E147" s="269">
        <f>+เม.ย.!E146+พ.ค.!E146+มิ.ย.!E146</f>
        <v>0</v>
      </c>
      <c r="F147" s="269">
        <f>+เม.ย.!F146+พ.ค.!F146+มิ.ย.!F146</f>
        <v>0</v>
      </c>
      <c r="G147" s="269">
        <f>+เม.ย.!G146+พ.ค.!G146+มิ.ย.!G146</f>
        <v>0</v>
      </c>
      <c r="H147" s="269">
        <f>+เม.ย.!H146+พ.ค.!H146+มิ.ย.!H146</f>
        <v>0</v>
      </c>
      <c r="I147" s="269">
        <f>+เม.ย.!I146+พ.ค.!I146+มิ.ย.!I146</f>
        <v>0</v>
      </c>
      <c r="J147" s="269">
        <f>+เม.ย.!J146+พ.ค.!J146+มิ.ย.!J146</f>
        <v>0</v>
      </c>
      <c r="K147" s="269">
        <f>+เม.ย.!K146+พ.ค.!K146+มิ.ย.!K146</f>
        <v>0</v>
      </c>
      <c r="L147" s="269">
        <f>+เม.ย.!L146+พ.ค.!L146+มิ.ย.!L146</f>
        <v>0</v>
      </c>
      <c r="M147" s="269">
        <f>+เม.ย.!M146+พ.ค.!M146+มิ.ย.!M146</f>
        <v>0</v>
      </c>
      <c r="N147" s="269">
        <f>+เม.ย.!N146+พ.ค.!N146+มิ.ย.!N146</f>
        <v>0</v>
      </c>
      <c r="O147" s="269">
        <f>+เม.ย.!O146+พ.ค.!O146+มิ.ย.!O146</f>
        <v>0</v>
      </c>
      <c r="P147" s="269">
        <f>+เม.ย.!P146+พ.ค.!P146+มิ.ย.!P146</f>
        <v>0</v>
      </c>
      <c r="Q147" s="269">
        <f>+เม.ย.!Q146+พ.ค.!Q146+มิ.ย.!Q146</f>
        <v>0</v>
      </c>
      <c r="R147" s="269">
        <f>+เม.ย.!R146+พ.ค.!R146+มิ.ย.!R146</f>
        <v>0</v>
      </c>
      <c r="S147" s="269">
        <f>+เม.ย.!S146+พ.ค.!S146+มิ.ย.!S146</f>
        <v>0</v>
      </c>
      <c r="T147" s="269"/>
      <c r="U147" s="269">
        <f>+เม.ย.!U146+พ.ค.!U146+มิ.ย.!U146</f>
        <v>0</v>
      </c>
      <c r="V147" s="269">
        <f>+เม.ย.!V146+พ.ค.!V146+มิ.ย.!V146</f>
        <v>0</v>
      </c>
      <c r="X147"/>
    </row>
    <row r="148" spans="1:24" s="310" customFormat="1" ht="25.5" customHeight="1">
      <c r="A148" s="9"/>
      <c r="B148" s="187" t="s">
        <v>363</v>
      </c>
      <c r="C148" s="279">
        <v>5000</v>
      </c>
      <c r="D148" s="131"/>
      <c r="E148" s="269">
        <f>+เม.ย.!E147+พ.ค.!E147+มิ.ย.!E147</f>
        <v>0</v>
      </c>
      <c r="F148" s="269">
        <f>+เม.ย.!F147+พ.ค.!F147+มิ.ย.!F147</f>
        <v>0</v>
      </c>
      <c r="G148" s="269">
        <f>+เม.ย.!G147+พ.ค.!G147+มิ.ย.!G147</f>
        <v>0</v>
      </c>
      <c r="H148" s="269">
        <f>+เม.ย.!H147+พ.ค.!H147+มิ.ย.!H147</f>
        <v>0</v>
      </c>
      <c r="I148" s="269">
        <f>+เม.ย.!I147+พ.ค.!I147+มิ.ย.!I147</f>
        <v>0</v>
      </c>
      <c r="J148" s="269">
        <f>+เม.ย.!J147+พ.ค.!J147+มิ.ย.!J147</f>
        <v>0</v>
      </c>
      <c r="K148" s="269">
        <f>+เม.ย.!K147+พ.ค.!K147+มิ.ย.!K147</f>
        <v>0</v>
      </c>
      <c r="L148" s="269">
        <f>+เม.ย.!L147+พ.ค.!L147+มิ.ย.!L147</f>
        <v>0</v>
      </c>
      <c r="M148" s="269">
        <f>+เม.ย.!M147+พ.ค.!M147+มิ.ย.!M147</f>
        <v>0</v>
      </c>
      <c r="N148" s="269">
        <f>+เม.ย.!N147+พ.ค.!N147+มิ.ย.!N147</f>
        <v>0</v>
      </c>
      <c r="O148" s="269">
        <f>+เม.ย.!O147+พ.ค.!O147+มิ.ย.!O147</f>
        <v>0</v>
      </c>
      <c r="P148" s="269">
        <f>+เม.ย.!P147+พ.ค.!P147+มิ.ย.!P147</f>
        <v>0</v>
      </c>
      <c r="Q148" s="269">
        <f>+เม.ย.!Q147+พ.ค.!Q147+มิ.ย.!Q147</f>
        <v>0</v>
      </c>
      <c r="R148" s="269">
        <f>+เม.ย.!R147+พ.ค.!R147+มิ.ย.!R147</f>
        <v>0</v>
      </c>
      <c r="S148" s="269">
        <f>+เม.ย.!S147+พ.ค.!S147+มิ.ย.!S147</f>
        <v>0</v>
      </c>
      <c r="T148" s="269"/>
      <c r="U148" s="269">
        <f>+เม.ย.!U147+พ.ค.!U147+มิ.ย.!U147</f>
        <v>0</v>
      </c>
      <c r="V148" s="269">
        <f>+เม.ย.!V147+พ.ค.!V147+มิ.ย.!V147</f>
        <v>0</v>
      </c>
      <c r="X148"/>
    </row>
    <row r="149" spans="1:24" s="310" customFormat="1" ht="25.5" customHeight="1">
      <c r="A149" s="9"/>
      <c r="B149" s="187" t="s">
        <v>364</v>
      </c>
      <c r="C149" s="279">
        <v>5000</v>
      </c>
      <c r="D149" s="131"/>
      <c r="E149" s="269">
        <f>+เม.ย.!E148+พ.ค.!E148+มิ.ย.!E148</f>
        <v>0</v>
      </c>
      <c r="F149" s="269">
        <f>+เม.ย.!F148+พ.ค.!F148+มิ.ย.!F148</f>
        <v>0</v>
      </c>
      <c r="G149" s="269">
        <f>+เม.ย.!G148+พ.ค.!G148+มิ.ย.!G148</f>
        <v>0</v>
      </c>
      <c r="H149" s="269">
        <f>+เม.ย.!H148+พ.ค.!H148+มิ.ย.!H148</f>
        <v>0</v>
      </c>
      <c r="I149" s="269">
        <f>+เม.ย.!I148+พ.ค.!I148+มิ.ย.!I148</f>
        <v>0</v>
      </c>
      <c r="J149" s="269">
        <f>+เม.ย.!J148+พ.ค.!J148+มิ.ย.!J148</f>
        <v>0</v>
      </c>
      <c r="K149" s="269">
        <f>+เม.ย.!K148+พ.ค.!K148+มิ.ย.!K148</f>
        <v>0</v>
      </c>
      <c r="L149" s="269">
        <f>+เม.ย.!L148+พ.ค.!L148+มิ.ย.!L148</f>
        <v>0</v>
      </c>
      <c r="M149" s="269">
        <f>+เม.ย.!M148+พ.ค.!M148+มิ.ย.!M148</f>
        <v>0</v>
      </c>
      <c r="N149" s="269">
        <f>+เม.ย.!N148+พ.ค.!N148+มิ.ย.!N148</f>
        <v>0</v>
      </c>
      <c r="O149" s="269">
        <f>+เม.ย.!O148+พ.ค.!O148+มิ.ย.!O148</f>
        <v>0</v>
      </c>
      <c r="P149" s="269">
        <f>+เม.ย.!P148+พ.ค.!P148+มิ.ย.!P148</f>
        <v>0</v>
      </c>
      <c r="Q149" s="269">
        <f>+เม.ย.!Q148+พ.ค.!Q148+มิ.ย.!Q148</f>
        <v>0</v>
      </c>
      <c r="R149" s="269">
        <f>+เม.ย.!R148+พ.ค.!R148+มิ.ย.!R148</f>
        <v>0</v>
      </c>
      <c r="S149" s="269">
        <f>+เม.ย.!S148+พ.ค.!S148+มิ.ย.!S148</f>
        <v>0</v>
      </c>
      <c r="T149" s="269"/>
      <c r="U149" s="269">
        <f>+เม.ย.!U148+พ.ค.!U148+มิ.ย.!U148</f>
        <v>0</v>
      </c>
      <c r="V149" s="269">
        <f>+เม.ย.!V148+พ.ค.!V148+มิ.ย.!V148</f>
        <v>0</v>
      </c>
      <c r="X149"/>
    </row>
    <row r="150" spans="1:24" s="310" customFormat="1" ht="25.5" customHeight="1">
      <c r="A150" s="9"/>
      <c r="B150" s="187" t="s">
        <v>365</v>
      </c>
      <c r="C150" s="279">
        <v>5000</v>
      </c>
      <c r="D150" s="131"/>
      <c r="E150" s="269">
        <f>+เม.ย.!E149+พ.ค.!E149+มิ.ย.!E149</f>
        <v>0</v>
      </c>
      <c r="F150" s="269">
        <f>+เม.ย.!F149+พ.ค.!F149+มิ.ย.!F149</f>
        <v>0</v>
      </c>
      <c r="G150" s="269">
        <f>+เม.ย.!G149+พ.ค.!G149+มิ.ย.!G149</f>
        <v>0</v>
      </c>
      <c r="H150" s="269">
        <f>+เม.ย.!H149+พ.ค.!H149+มิ.ย.!H149</f>
        <v>0</v>
      </c>
      <c r="I150" s="269">
        <f>+เม.ย.!I149+พ.ค.!I149+มิ.ย.!I149</f>
        <v>0</v>
      </c>
      <c r="J150" s="269">
        <f>+เม.ย.!J149+พ.ค.!J149+มิ.ย.!J149</f>
        <v>0</v>
      </c>
      <c r="K150" s="269">
        <f>+เม.ย.!K149+พ.ค.!K149+มิ.ย.!K149</f>
        <v>0</v>
      </c>
      <c r="L150" s="269">
        <f>+เม.ย.!L149+พ.ค.!L149+มิ.ย.!L149</f>
        <v>0</v>
      </c>
      <c r="M150" s="269">
        <f>+เม.ย.!M149+พ.ค.!M149+มิ.ย.!M149</f>
        <v>0</v>
      </c>
      <c r="N150" s="269">
        <f>+เม.ย.!N149+พ.ค.!N149+มิ.ย.!N149</f>
        <v>0</v>
      </c>
      <c r="O150" s="269">
        <f>+เม.ย.!O149+พ.ค.!O149+มิ.ย.!O149</f>
        <v>0</v>
      </c>
      <c r="P150" s="269">
        <f>+เม.ย.!P149+พ.ค.!P149+มิ.ย.!P149</f>
        <v>0</v>
      </c>
      <c r="Q150" s="269">
        <f>+เม.ย.!Q149+พ.ค.!Q149+มิ.ย.!Q149</f>
        <v>0</v>
      </c>
      <c r="R150" s="269">
        <f>+เม.ย.!R149+พ.ค.!R149+มิ.ย.!R149</f>
        <v>0</v>
      </c>
      <c r="S150" s="269">
        <f>+เม.ย.!S149+พ.ค.!S149+มิ.ย.!S149</f>
        <v>0</v>
      </c>
      <c r="T150" s="269"/>
      <c r="U150" s="269">
        <f>+เม.ย.!U149+พ.ค.!U149+มิ.ย.!U149</f>
        <v>0</v>
      </c>
      <c r="V150" s="269">
        <f>+เม.ย.!V149+พ.ค.!V149+มิ.ย.!V149</f>
        <v>0</v>
      </c>
      <c r="X150"/>
    </row>
    <row r="151" spans="1:24" s="310" customFormat="1" ht="25.5" customHeight="1">
      <c r="A151" s="9"/>
      <c r="B151" s="187" t="s">
        <v>366</v>
      </c>
      <c r="C151" s="279">
        <v>5000</v>
      </c>
      <c r="D151" s="131"/>
      <c r="E151" s="269">
        <f>+เม.ย.!E150+พ.ค.!E150+มิ.ย.!E150</f>
        <v>0</v>
      </c>
      <c r="F151" s="269">
        <f>+เม.ย.!F150+พ.ค.!F150+มิ.ย.!F150</f>
        <v>0</v>
      </c>
      <c r="G151" s="269">
        <f>+เม.ย.!G150+พ.ค.!G150+มิ.ย.!G150</f>
        <v>0</v>
      </c>
      <c r="H151" s="269">
        <f>+เม.ย.!H150+พ.ค.!H150+มิ.ย.!H150</f>
        <v>0</v>
      </c>
      <c r="I151" s="269">
        <f>+เม.ย.!I150+พ.ค.!I150+มิ.ย.!I150</f>
        <v>0</v>
      </c>
      <c r="J151" s="269">
        <f>+เม.ย.!J150+พ.ค.!J150+มิ.ย.!J150</f>
        <v>0</v>
      </c>
      <c r="K151" s="269">
        <f>+เม.ย.!K150+พ.ค.!K150+มิ.ย.!K150</f>
        <v>0</v>
      </c>
      <c r="L151" s="269">
        <f>+เม.ย.!L150+พ.ค.!L150+มิ.ย.!L150</f>
        <v>0</v>
      </c>
      <c r="M151" s="269">
        <f>+เม.ย.!M150+พ.ค.!M150+มิ.ย.!M150</f>
        <v>0</v>
      </c>
      <c r="N151" s="269">
        <f>+เม.ย.!N150+พ.ค.!N150+มิ.ย.!N150</f>
        <v>0</v>
      </c>
      <c r="O151" s="269">
        <f>+เม.ย.!O150+พ.ค.!O150+มิ.ย.!O150</f>
        <v>0</v>
      </c>
      <c r="P151" s="269">
        <f>+เม.ย.!P150+พ.ค.!P150+มิ.ย.!P150</f>
        <v>0</v>
      </c>
      <c r="Q151" s="269">
        <f>+เม.ย.!Q150+พ.ค.!Q150+มิ.ย.!Q150</f>
        <v>0</v>
      </c>
      <c r="R151" s="269">
        <f>+เม.ย.!R150+พ.ค.!R150+มิ.ย.!R150</f>
        <v>0</v>
      </c>
      <c r="S151" s="269">
        <f>+เม.ย.!S150+พ.ค.!S150+มิ.ย.!S150</f>
        <v>0</v>
      </c>
      <c r="T151" s="269"/>
      <c r="U151" s="269">
        <f>+เม.ย.!U150+พ.ค.!U150+มิ.ย.!U150</f>
        <v>0</v>
      </c>
      <c r="V151" s="269">
        <f>+เม.ย.!V150+พ.ค.!V150+มิ.ย.!V150</f>
        <v>0</v>
      </c>
      <c r="X151"/>
    </row>
    <row r="152" spans="1:24" s="310" customFormat="1" ht="25.5" customHeight="1">
      <c r="A152" s="9"/>
      <c r="B152" s="187" t="s">
        <v>367</v>
      </c>
      <c r="C152" s="279">
        <v>5000</v>
      </c>
      <c r="D152" s="131"/>
      <c r="E152" s="269">
        <f>+เม.ย.!E151+พ.ค.!E151+มิ.ย.!E151</f>
        <v>0</v>
      </c>
      <c r="F152" s="269">
        <f>+เม.ย.!F151+พ.ค.!F151+มิ.ย.!F151</f>
        <v>0</v>
      </c>
      <c r="G152" s="269">
        <f>+เม.ย.!G151+พ.ค.!G151+มิ.ย.!G151</f>
        <v>0</v>
      </c>
      <c r="H152" s="269">
        <f>+เม.ย.!H151+พ.ค.!H151+มิ.ย.!H151</f>
        <v>0</v>
      </c>
      <c r="I152" s="269">
        <f>+เม.ย.!I151+พ.ค.!I151+มิ.ย.!I151</f>
        <v>0</v>
      </c>
      <c r="J152" s="269">
        <f>+เม.ย.!J151+พ.ค.!J151+มิ.ย.!J151</f>
        <v>0</v>
      </c>
      <c r="K152" s="269">
        <f>+เม.ย.!K151+พ.ค.!K151+มิ.ย.!K151</f>
        <v>0</v>
      </c>
      <c r="L152" s="269">
        <f>+เม.ย.!L151+พ.ค.!L151+มิ.ย.!L151</f>
        <v>0</v>
      </c>
      <c r="M152" s="269">
        <f>+เม.ย.!M151+พ.ค.!M151+มิ.ย.!M151</f>
        <v>0</v>
      </c>
      <c r="N152" s="269">
        <f>+เม.ย.!N151+พ.ค.!N151+มิ.ย.!N151</f>
        <v>0</v>
      </c>
      <c r="O152" s="269">
        <f>+เม.ย.!O151+พ.ค.!O151+มิ.ย.!O151</f>
        <v>0</v>
      </c>
      <c r="P152" s="269">
        <f>+เม.ย.!P151+พ.ค.!P151+มิ.ย.!P151</f>
        <v>0</v>
      </c>
      <c r="Q152" s="269">
        <f>+เม.ย.!Q151+พ.ค.!Q151+มิ.ย.!Q151</f>
        <v>0</v>
      </c>
      <c r="R152" s="269">
        <f>+เม.ย.!R151+พ.ค.!R151+มิ.ย.!R151</f>
        <v>0</v>
      </c>
      <c r="S152" s="269">
        <f>+เม.ย.!S151+พ.ค.!S151+มิ.ย.!S151</f>
        <v>0</v>
      </c>
      <c r="T152" s="269"/>
      <c r="U152" s="269">
        <f>+เม.ย.!U151+พ.ค.!U151+มิ.ย.!U151</f>
        <v>0</v>
      </c>
      <c r="V152" s="269">
        <f>+เม.ย.!V151+พ.ค.!V151+มิ.ย.!V151</f>
        <v>0</v>
      </c>
      <c r="X152"/>
    </row>
    <row r="153" spans="1:24" s="310" customFormat="1" ht="25.5" customHeight="1">
      <c r="A153" s="9"/>
      <c r="B153" s="187" t="s">
        <v>368</v>
      </c>
      <c r="C153" s="279">
        <v>5000</v>
      </c>
      <c r="D153" s="131"/>
      <c r="E153" s="269">
        <f>+เม.ย.!E152+พ.ค.!E152+มิ.ย.!E152</f>
        <v>0</v>
      </c>
      <c r="F153" s="269">
        <f>+เม.ย.!F152+พ.ค.!F152+มิ.ย.!F152</f>
        <v>0</v>
      </c>
      <c r="G153" s="269">
        <f>+เม.ย.!G152+พ.ค.!G152+มิ.ย.!G152</f>
        <v>0</v>
      </c>
      <c r="H153" s="269">
        <f>+เม.ย.!H152+พ.ค.!H152+มิ.ย.!H152</f>
        <v>0</v>
      </c>
      <c r="I153" s="269">
        <f>+เม.ย.!I152+พ.ค.!I152+มิ.ย.!I152</f>
        <v>0</v>
      </c>
      <c r="J153" s="269">
        <f>+เม.ย.!J152+พ.ค.!J152+มิ.ย.!J152</f>
        <v>0</v>
      </c>
      <c r="K153" s="269">
        <f>+เม.ย.!K152+พ.ค.!K152+มิ.ย.!K152</f>
        <v>0</v>
      </c>
      <c r="L153" s="269">
        <f>+เม.ย.!L152+พ.ค.!L152+มิ.ย.!L152</f>
        <v>0</v>
      </c>
      <c r="M153" s="269">
        <f>+เม.ย.!M152+พ.ค.!M152+มิ.ย.!M152</f>
        <v>0</v>
      </c>
      <c r="N153" s="269">
        <f>+เม.ย.!N152+พ.ค.!N152+มิ.ย.!N152</f>
        <v>0</v>
      </c>
      <c r="O153" s="269">
        <f>+เม.ย.!O152+พ.ค.!O152+มิ.ย.!O152</f>
        <v>0</v>
      </c>
      <c r="P153" s="269">
        <f>+เม.ย.!P152+พ.ค.!P152+มิ.ย.!P152</f>
        <v>0</v>
      </c>
      <c r="Q153" s="269">
        <f>+เม.ย.!Q152+พ.ค.!Q152+มิ.ย.!Q152</f>
        <v>0</v>
      </c>
      <c r="R153" s="269">
        <f>+เม.ย.!R152+พ.ค.!R152+มิ.ย.!R152</f>
        <v>0</v>
      </c>
      <c r="S153" s="269">
        <f>+เม.ย.!S152+พ.ค.!S152+มิ.ย.!S152</f>
        <v>0</v>
      </c>
      <c r="T153" s="269"/>
      <c r="U153" s="269">
        <f>+เม.ย.!U152+พ.ค.!U152+มิ.ย.!U152</f>
        <v>0</v>
      </c>
      <c r="V153" s="269">
        <f>+เม.ย.!V152+พ.ค.!V152+มิ.ย.!V152</f>
        <v>0</v>
      </c>
      <c r="X153"/>
    </row>
    <row r="154" spans="1:24" s="310" customFormat="1" ht="25.5" customHeight="1">
      <c r="A154" s="9"/>
      <c r="B154" s="187" t="s">
        <v>369</v>
      </c>
      <c r="C154" s="279">
        <f>10000-10000</f>
        <v>0</v>
      </c>
      <c r="D154" s="131"/>
      <c r="E154" s="269">
        <f>+เม.ย.!E153+พ.ค.!E153+มิ.ย.!E153</f>
        <v>0</v>
      </c>
      <c r="F154" s="269">
        <f>+เม.ย.!F153+พ.ค.!F153+มิ.ย.!F153</f>
        <v>0</v>
      </c>
      <c r="G154" s="269">
        <f>+เม.ย.!G153+พ.ค.!G153+มิ.ย.!G153</f>
        <v>0</v>
      </c>
      <c r="H154" s="269">
        <f>+เม.ย.!H153+พ.ค.!H153+มิ.ย.!H153</f>
        <v>0</v>
      </c>
      <c r="I154" s="269">
        <f>+เม.ย.!I153+พ.ค.!I153+มิ.ย.!I153</f>
        <v>0</v>
      </c>
      <c r="J154" s="269">
        <f>+เม.ย.!J153+พ.ค.!J153+มิ.ย.!J153</f>
        <v>0</v>
      </c>
      <c r="K154" s="269">
        <f>+เม.ย.!K153+พ.ค.!K153+มิ.ย.!K153</f>
        <v>0</v>
      </c>
      <c r="L154" s="269">
        <f>+เม.ย.!L153+พ.ค.!L153+มิ.ย.!L153</f>
        <v>0</v>
      </c>
      <c r="M154" s="269">
        <f>+เม.ย.!M153+พ.ค.!M153+มิ.ย.!M153</f>
        <v>0</v>
      </c>
      <c r="N154" s="269">
        <f>+เม.ย.!N153+พ.ค.!N153+มิ.ย.!N153</f>
        <v>0</v>
      </c>
      <c r="O154" s="269">
        <f>+เม.ย.!O153+พ.ค.!O153+มิ.ย.!O153</f>
        <v>0</v>
      </c>
      <c r="P154" s="269">
        <f>+เม.ย.!P153+พ.ค.!P153+มิ.ย.!P153</f>
        <v>0</v>
      </c>
      <c r="Q154" s="269">
        <f>+เม.ย.!Q153+พ.ค.!Q153+มิ.ย.!Q153</f>
        <v>0</v>
      </c>
      <c r="R154" s="269">
        <f>+เม.ย.!R153+พ.ค.!R153+มิ.ย.!R153</f>
        <v>0</v>
      </c>
      <c r="S154" s="269">
        <f>+เม.ย.!S153+พ.ค.!S153+มิ.ย.!S153</f>
        <v>0</v>
      </c>
      <c r="T154" s="269"/>
      <c r="U154" s="269">
        <f>+เม.ย.!U153+พ.ค.!U153+มิ.ย.!U153</f>
        <v>0</v>
      </c>
      <c r="V154" s="269">
        <f>+เม.ย.!V153+พ.ค.!V153+มิ.ย.!V153</f>
        <v>0</v>
      </c>
      <c r="X154"/>
    </row>
    <row r="155" spans="1:24" s="310" customFormat="1" ht="25.5" customHeight="1">
      <c r="A155" s="9"/>
      <c r="B155" s="187" t="s">
        <v>370</v>
      </c>
      <c r="C155" s="279">
        <v>10000</v>
      </c>
      <c r="D155" s="131"/>
      <c r="E155" s="269">
        <f>+เม.ย.!E154+พ.ค.!E154+มิ.ย.!E154</f>
        <v>0</v>
      </c>
      <c r="F155" s="269">
        <f>+เม.ย.!F154+พ.ค.!F154+มิ.ย.!F154</f>
        <v>0</v>
      </c>
      <c r="G155" s="269">
        <f>+เม.ย.!G154+พ.ค.!G154+มิ.ย.!G154</f>
        <v>0</v>
      </c>
      <c r="H155" s="269">
        <f>+เม.ย.!H154+พ.ค.!H154+มิ.ย.!H154</f>
        <v>0</v>
      </c>
      <c r="I155" s="269">
        <f>+เม.ย.!I154+พ.ค.!I154+มิ.ย.!I154</f>
        <v>0</v>
      </c>
      <c r="J155" s="269">
        <f>+เม.ย.!J154+พ.ค.!J154+มิ.ย.!J154</f>
        <v>0</v>
      </c>
      <c r="K155" s="269">
        <f>+เม.ย.!K154+พ.ค.!K154+มิ.ย.!K154</f>
        <v>0</v>
      </c>
      <c r="L155" s="269">
        <f>+เม.ย.!L154+พ.ค.!L154+มิ.ย.!L154</f>
        <v>0</v>
      </c>
      <c r="M155" s="269">
        <f>+เม.ย.!M154+พ.ค.!M154+มิ.ย.!M154</f>
        <v>0</v>
      </c>
      <c r="N155" s="269">
        <f>+เม.ย.!N154+พ.ค.!N154+มิ.ย.!N154</f>
        <v>0</v>
      </c>
      <c r="O155" s="269">
        <f>+เม.ย.!O154+พ.ค.!O154+มิ.ย.!O154</f>
        <v>0</v>
      </c>
      <c r="P155" s="269">
        <f>+เม.ย.!P154+พ.ค.!P154+มิ.ย.!P154</f>
        <v>0</v>
      </c>
      <c r="Q155" s="269">
        <f>+เม.ย.!Q154+พ.ค.!Q154+มิ.ย.!Q154</f>
        <v>0</v>
      </c>
      <c r="R155" s="269">
        <f>+เม.ย.!R154+พ.ค.!R154+มิ.ย.!R154</f>
        <v>0</v>
      </c>
      <c r="S155" s="269">
        <f>+เม.ย.!S154+พ.ค.!S154+มิ.ย.!S154</f>
        <v>0</v>
      </c>
      <c r="T155" s="269"/>
      <c r="U155" s="269">
        <f>+เม.ย.!U154+พ.ค.!U154+มิ.ย.!U154</f>
        <v>0</v>
      </c>
      <c r="V155" s="269">
        <f>+เม.ย.!V154+พ.ค.!V154+มิ.ย.!V154</f>
        <v>0</v>
      </c>
      <c r="X155"/>
    </row>
    <row r="156" spans="1:24" s="310" customFormat="1" ht="25.5" customHeight="1">
      <c r="A156" s="9"/>
      <c r="B156" s="187" t="s">
        <v>163</v>
      </c>
      <c r="C156" s="279">
        <f>350000-156000-153000-11000-10000-20000</f>
        <v>0</v>
      </c>
      <c r="D156" s="131"/>
      <c r="E156" s="269">
        <f>+เม.ย.!E155+พ.ค.!E155+มิ.ย.!E155</f>
        <v>0</v>
      </c>
      <c r="F156" s="269">
        <f>+เม.ย.!F155+พ.ค.!F155+มิ.ย.!F155</f>
        <v>0</v>
      </c>
      <c r="G156" s="269">
        <f>+เม.ย.!G155+พ.ค.!G155+มิ.ย.!G155</f>
        <v>0</v>
      </c>
      <c r="H156" s="269">
        <f>+เม.ย.!H155+พ.ค.!H155+มิ.ย.!H155</f>
        <v>0</v>
      </c>
      <c r="I156" s="269">
        <f>+เม.ย.!I155+พ.ค.!I155+มิ.ย.!I155</f>
        <v>0</v>
      </c>
      <c r="J156" s="269">
        <f>+เม.ย.!J155+พ.ค.!J155+มิ.ย.!J155</f>
        <v>0</v>
      </c>
      <c r="K156" s="269">
        <f>+เม.ย.!K155+พ.ค.!K155+มิ.ย.!K155</f>
        <v>0</v>
      </c>
      <c r="L156" s="269">
        <f>+เม.ย.!L155+พ.ค.!L155+มิ.ย.!L155</f>
        <v>0</v>
      </c>
      <c r="M156" s="269">
        <f>+เม.ย.!M155+พ.ค.!M155+มิ.ย.!M155</f>
        <v>0</v>
      </c>
      <c r="N156" s="269">
        <f>+เม.ย.!N155+พ.ค.!N155+มิ.ย.!N155</f>
        <v>0</v>
      </c>
      <c r="O156" s="269">
        <f>+เม.ย.!O155+พ.ค.!O155+มิ.ย.!O155</f>
        <v>0</v>
      </c>
      <c r="P156" s="269">
        <f>+เม.ย.!P155+พ.ค.!P155+มิ.ย.!P155</f>
        <v>0</v>
      </c>
      <c r="Q156" s="269">
        <f>+เม.ย.!Q155+พ.ค.!Q155+มิ.ย.!Q155</f>
        <v>0</v>
      </c>
      <c r="R156" s="269">
        <f>+เม.ย.!R155+พ.ค.!R155+มิ.ย.!R155</f>
        <v>0</v>
      </c>
      <c r="S156" s="269">
        <f>+เม.ย.!S155+พ.ค.!S155+มิ.ย.!S155</f>
        <v>0</v>
      </c>
      <c r="T156" s="269"/>
      <c r="U156" s="269">
        <f>+เม.ย.!U155+พ.ค.!U155+มิ.ย.!U155</f>
        <v>0</v>
      </c>
      <c r="V156" s="269">
        <f>+เม.ย.!V155+พ.ค.!V155+มิ.ย.!V155</f>
        <v>0</v>
      </c>
      <c r="X156"/>
    </row>
    <row r="157" spans="1:24" s="310" customFormat="1" ht="25.5" customHeight="1">
      <c r="A157" s="9"/>
      <c r="B157" s="187" t="s">
        <v>214</v>
      </c>
      <c r="C157" s="279">
        <v>25000</v>
      </c>
      <c r="D157" s="131"/>
      <c r="E157" s="269">
        <f>+เม.ย.!E156+พ.ค.!E156+มิ.ย.!E156</f>
        <v>0</v>
      </c>
      <c r="F157" s="269">
        <f>+เม.ย.!F156+พ.ค.!F156+มิ.ย.!F156</f>
        <v>0</v>
      </c>
      <c r="G157" s="269">
        <f>+เม.ย.!G156+พ.ค.!G156+มิ.ย.!G156</f>
        <v>0</v>
      </c>
      <c r="H157" s="269">
        <f>+เม.ย.!H156+พ.ค.!H156+มิ.ย.!H156</f>
        <v>0</v>
      </c>
      <c r="I157" s="269">
        <f>+เม.ย.!I156+พ.ค.!I156+มิ.ย.!I156</f>
        <v>0</v>
      </c>
      <c r="J157" s="269">
        <f>+เม.ย.!J156+พ.ค.!J156+มิ.ย.!J156</f>
        <v>0</v>
      </c>
      <c r="K157" s="269">
        <f>+เม.ย.!K156+พ.ค.!K156+มิ.ย.!K156</f>
        <v>0</v>
      </c>
      <c r="L157" s="269">
        <f>+เม.ย.!L156+พ.ค.!L156+มิ.ย.!L156</f>
        <v>0</v>
      </c>
      <c r="M157" s="269">
        <f>+เม.ย.!M156+พ.ค.!M156+มิ.ย.!M156</f>
        <v>0</v>
      </c>
      <c r="N157" s="269">
        <f>+เม.ย.!N156+พ.ค.!N156+มิ.ย.!N156</f>
        <v>0</v>
      </c>
      <c r="O157" s="269">
        <f>+เม.ย.!O156+พ.ค.!O156+มิ.ย.!O156</f>
        <v>0</v>
      </c>
      <c r="P157" s="269">
        <f>+เม.ย.!P156+พ.ค.!P156+มิ.ย.!P156</f>
        <v>0</v>
      </c>
      <c r="Q157" s="269">
        <f>+เม.ย.!Q156+พ.ค.!Q156+มิ.ย.!Q156</f>
        <v>0</v>
      </c>
      <c r="R157" s="269">
        <f>+เม.ย.!R156+พ.ค.!R156+มิ.ย.!R156</f>
        <v>0</v>
      </c>
      <c r="S157" s="269">
        <f>+เม.ย.!S156+พ.ค.!S156+มิ.ย.!S156</f>
        <v>0</v>
      </c>
      <c r="T157" s="269"/>
      <c r="U157" s="269">
        <f>+เม.ย.!U156+พ.ค.!U156+มิ.ย.!U156</f>
        <v>0</v>
      </c>
      <c r="V157" s="269">
        <f>+เม.ย.!V156+พ.ค.!V156+มิ.ย.!V156</f>
        <v>0</v>
      </c>
      <c r="X157"/>
    </row>
    <row r="158" spans="1:24" s="310" customFormat="1" ht="25.5" customHeight="1">
      <c r="A158" s="9"/>
      <c r="B158" s="187" t="s">
        <v>167</v>
      </c>
      <c r="C158" s="279">
        <f>30000-30000</f>
        <v>0</v>
      </c>
      <c r="D158" s="131"/>
      <c r="E158" s="269">
        <f>+เม.ย.!E157+พ.ค.!E157+มิ.ย.!E157</f>
        <v>0</v>
      </c>
      <c r="F158" s="269">
        <f>+เม.ย.!F157+พ.ค.!F157+มิ.ย.!F157</f>
        <v>0</v>
      </c>
      <c r="G158" s="269">
        <f>+เม.ย.!G157+พ.ค.!G157+มิ.ย.!G157</f>
        <v>0</v>
      </c>
      <c r="H158" s="269">
        <f>+เม.ย.!H157+พ.ค.!H157+มิ.ย.!H157</f>
        <v>0</v>
      </c>
      <c r="I158" s="269">
        <f>+เม.ย.!I157+พ.ค.!I157+มิ.ย.!I157</f>
        <v>0</v>
      </c>
      <c r="J158" s="269">
        <f>+เม.ย.!J157+พ.ค.!J157+มิ.ย.!J157</f>
        <v>0</v>
      </c>
      <c r="K158" s="269">
        <f>+เม.ย.!K157+พ.ค.!K157+มิ.ย.!K157</f>
        <v>0</v>
      </c>
      <c r="L158" s="269">
        <f>+เม.ย.!L157+พ.ค.!L157+มิ.ย.!L157</f>
        <v>0</v>
      </c>
      <c r="M158" s="269">
        <f>+เม.ย.!M157+พ.ค.!M157+มิ.ย.!M157</f>
        <v>0</v>
      </c>
      <c r="N158" s="269">
        <f>+เม.ย.!N157+พ.ค.!N157+มิ.ย.!N157</f>
        <v>0</v>
      </c>
      <c r="O158" s="269">
        <f>+เม.ย.!O157+พ.ค.!O157+มิ.ย.!O157</f>
        <v>0</v>
      </c>
      <c r="P158" s="269">
        <f>+เม.ย.!P157+พ.ค.!P157+มิ.ย.!P157</f>
        <v>0</v>
      </c>
      <c r="Q158" s="269">
        <f>+เม.ย.!Q157+พ.ค.!Q157+มิ.ย.!Q157</f>
        <v>0</v>
      </c>
      <c r="R158" s="269">
        <f>+เม.ย.!R157+พ.ค.!R157+มิ.ย.!R157</f>
        <v>0</v>
      </c>
      <c r="S158" s="269">
        <f>+เม.ย.!S157+พ.ค.!S157+มิ.ย.!S157</f>
        <v>0</v>
      </c>
      <c r="T158" s="269"/>
      <c r="U158" s="269">
        <f>+เม.ย.!U157+พ.ค.!U157+มิ.ย.!U157</f>
        <v>0</v>
      </c>
      <c r="V158" s="269">
        <f>+เม.ย.!V157+พ.ค.!V157+มิ.ย.!V157</f>
        <v>0</v>
      </c>
      <c r="X158"/>
    </row>
    <row r="159" spans="1:24" s="310" customFormat="1" ht="25.5" customHeight="1">
      <c r="A159" s="9"/>
      <c r="B159" s="187" t="s">
        <v>371</v>
      </c>
      <c r="C159" s="279">
        <v>30000</v>
      </c>
      <c r="D159" s="131"/>
      <c r="E159" s="269">
        <f>+เม.ย.!E158+พ.ค.!E158+มิ.ย.!E158</f>
        <v>0</v>
      </c>
      <c r="F159" s="269">
        <f>+เม.ย.!F158+พ.ค.!F158+มิ.ย.!F158</f>
        <v>0</v>
      </c>
      <c r="G159" s="269">
        <f>+เม.ย.!G158+พ.ค.!G158+มิ.ย.!G158</f>
        <v>0</v>
      </c>
      <c r="H159" s="269">
        <f>+เม.ย.!H158+พ.ค.!H158+มิ.ย.!H158</f>
        <v>0</v>
      </c>
      <c r="I159" s="269">
        <f>+เม.ย.!I158+พ.ค.!I158+มิ.ย.!I158</f>
        <v>0</v>
      </c>
      <c r="J159" s="269">
        <f>+เม.ย.!J158+พ.ค.!J158+มิ.ย.!J158</f>
        <v>0</v>
      </c>
      <c r="K159" s="269">
        <f>+เม.ย.!K158+พ.ค.!K158+มิ.ย.!K158</f>
        <v>0</v>
      </c>
      <c r="L159" s="269">
        <f>+เม.ย.!L158+พ.ค.!L158+มิ.ย.!L158</f>
        <v>0</v>
      </c>
      <c r="M159" s="269">
        <f>+เม.ย.!M158+พ.ค.!M158+มิ.ย.!M158</f>
        <v>0</v>
      </c>
      <c r="N159" s="269">
        <f>+เม.ย.!N158+พ.ค.!N158+มิ.ย.!N158</f>
        <v>0</v>
      </c>
      <c r="O159" s="269">
        <f>+เม.ย.!O158+พ.ค.!O158+มิ.ย.!O158</f>
        <v>0</v>
      </c>
      <c r="P159" s="269">
        <f>+เม.ย.!P158+พ.ค.!P158+มิ.ย.!P158</f>
        <v>0</v>
      </c>
      <c r="Q159" s="269">
        <f>+เม.ย.!Q158+พ.ค.!Q158+มิ.ย.!Q158</f>
        <v>0</v>
      </c>
      <c r="R159" s="269">
        <f>+เม.ย.!R158+พ.ค.!R158+มิ.ย.!R158</f>
        <v>0</v>
      </c>
      <c r="S159" s="269">
        <f>+เม.ย.!S158+พ.ค.!S158+มิ.ย.!S158</f>
        <v>30000</v>
      </c>
      <c r="T159" s="269"/>
      <c r="U159" s="269">
        <f>+เม.ย.!U158+พ.ค.!U158+มิ.ย.!U158</f>
        <v>0</v>
      </c>
      <c r="V159" s="269">
        <f>+เม.ย.!V158+พ.ค.!V158+มิ.ย.!V158</f>
        <v>0</v>
      </c>
      <c r="X159"/>
    </row>
    <row r="160" spans="1:24" s="310" customFormat="1" ht="25.5" customHeight="1">
      <c r="A160" s="9"/>
      <c r="B160" s="187" t="s">
        <v>170</v>
      </c>
      <c r="C160" s="279">
        <v>40000</v>
      </c>
      <c r="D160" s="131"/>
      <c r="E160" s="269">
        <f>+เม.ย.!E159+พ.ค.!E159+มิ.ย.!E159</f>
        <v>0</v>
      </c>
      <c r="F160" s="269">
        <f>+เม.ย.!F159+พ.ค.!F159+มิ.ย.!F159</f>
        <v>0</v>
      </c>
      <c r="G160" s="269">
        <f>+เม.ย.!G159+พ.ค.!G159+มิ.ย.!G159</f>
        <v>0</v>
      </c>
      <c r="H160" s="269">
        <f>+เม.ย.!H159+พ.ค.!H159+มิ.ย.!H159</f>
        <v>0</v>
      </c>
      <c r="I160" s="269">
        <f>+เม.ย.!I159+พ.ค.!I159+มิ.ย.!I159</f>
        <v>0</v>
      </c>
      <c r="J160" s="269">
        <f>+เม.ย.!J159+พ.ค.!J159+มิ.ย.!J159</f>
        <v>0</v>
      </c>
      <c r="K160" s="269">
        <f>+เม.ย.!K159+พ.ค.!K159+มิ.ย.!K159</f>
        <v>0</v>
      </c>
      <c r="L160" s="269">
        <f>+เม.ย.!L159+พ.ค.!L159+มิ.ย.!L159</f>
        <v>0</v>
      </c>
      <c r="M160" s="269">
        <f>+เม.ย.!M159+พ.ค.!M159+มิ.ย.!M159</f>
        <v>0</v>
      </c>
      <c r="N160" s="269">
        <f>+เม.ย.!N159+พ.ค.!N159+มิ.ย.!N159</f>
        <v>0</v>
      </c>
      <c r="O160" s="269">
        <f>+เม.ย.!O159+พ.ค.!O159+มิ.ย.!O159</f>
        <v>0</v>
      </c>
      <c r="P160" s="269">
        <f>+เม.ย.!P159+พ.ค.!P159+มิ.ย.!P159</f>
        <v>0</v>
      </c>
      <c r="Q160" s="269">
        <f>+เม.ย.!Q159+พ.ค.!Q159+มิ.ย.!Q159</f>
        <v>0</v>
      </c>
      <c r="R160" s="269">
        <f>+เม.ย.!R159+พ.ค.!R159+มิ.ย.!R159</f>
        <v>0</v>
      </c>
      <c r="S160" s="269">
        <f>+เม.ย.!S159+พ.ค.!S159+มิ.ย.!S159</f>
        <v>40000</v>
      </c>
      <c r="T160" s="269"/>
      <c r="U160" s="269">
        <f>+เม.ย.!U159+พ.ค.!U159+มิ.ย.!U159</f>
        <v>0</v>
      </c>
      <c r="V160" s="269">
        <f>+เม.ย.!V159+พ.ค.!V159+มิ.ย.!V159</f>
        <v>0</v>
      </c>
      <c r="X160"/>
    </row>
    <row r="161" spans="1:24" s="310" customFormat="1" ht="25.5" customHeight="1">
      <c r="A161" s="9"/>
      <c r="B161" s="187" t="s">
        <v>266</v>
      </c>
      <c r="C161" s="279">
        <v>15000</v>
      </c>
      <c r="D161" s="131"/>
      <c r="E161" s="269">
        <f>+เม.ย.!E160+พ.ค.!E160+มิ.ย.!E160</f>
        <v>0</v>
      </c>
      <c r="F161" s="269">
        <f>+เม.ย.!F160+พ.ค.!F160+มิ.ย.!F160</f>
        <v>0</v>
      </c>
      <c r="G161" s="269">
        <f>+เม.ย.!G160+พ.ค.!G160+มิ.ย.!G160</f>
        <v>0</v>
      </c>
      <c r="H161" s="269">
        <f>+เม.ย.!H160+พ.ค.!H160+มิ.ย.!H160</f>
        <v>0</v>
      </c>
      <c r="I161" s="269">
        <f>+เม.ย.!I160+พ.ค.!I160+มิ.ย.!I160</f>
        <v>0</v>
      </c>
      <c r="J161" s="269">
        <f>+เม.ย.!J160+พ.ค.!J160+มิ.ย.!J160</f>
        <v>0</v>
      </c>
      <c r="K161" s="269">
        <f>+เม.ย.!K160+พ.ค.!K160+มิ.ย.!K160</f>
        <v>0</v>
      </c>
      <c r="L161" s="269">
        <f>+เม.ย.!L160+พ.ค.!L160+มิ.ย.!L160</f>
        <v>0</v>
      </c>
      <c r="M161" s="269">
        <f>+เม.ย.!M160+พ.ค.!M160+มิ.ย.!M160</f>
        <v>0</v>
      </c>
      <c r="N161" s="269">
        <f>+เม.ย.!N160+พ.ค.!N160+มิ.ย.!N160</f>
        <v>0</v>
      </c>
      <c r="O161" s="269">
        <f>+เม.ย.!O160+พ.ค.!O160+มิ.ย.!O160</f>
        <v>0</v>
      </c>
      <c r="P161" s="269">
        <f>+เม.ย.!P160+พ.ค.!P160+มิ.ย.!P160</f>
        <v>0</v>
      </c>
      <c r="Q161" s="269">
        <f>+เม.ย.!Q160+พ.ค.!Q160+มิ.ย.!Q160</f>
        <v>0</v>
      </c>
      <c r="R161" s="269">
        <f>+เม.ย.!R160+พ.ค.!R160+มิ.ย.!R160</f>
        <v>0</v>
      </c>
      <c r="S161" s="269">
        <f>+เม.ย.!S160+พ.ค.!S160+มิ.ย.!S160</f>
        <v>0</v>
      </c>
      <c r="T161" s="269"/>
      <c r="U161" s="269">
        <f>+เม.ย.!U160+พ.ค.!U160+มิ.ย.!U160</f>
        <v>0</v>
      </c>
      <c r="V161" s="269">
        <f>+เม.ย.!V160+พ.ค.!V160+มิ.ย.!V160</f>
        <v>0</v>
      </c>
      <c r="X161"/>
    </row>
    <row r="162" spans="1:24" s="310" customFormat="1" ht="25.5" customHeight="1">
      <c r="A162" s="9"/>
      <c r="B162" s="187" t="s">
        <v>372</v>
      </c>
      <c r="C162" s="279">
        <v>65000</v>
      </c>
      <c r="D162" s="131"/>
      <c r="E162" s="269">
        <f>+เม.ย.!E161+พ.ค.!E161+มิ.ย.!E161</f>
        <v>0</v>
      </c>
      <c r="F162" s="269">
        <f>+เม.ย.!F161+พ.ค.!F161+มิ.ย.!F161</f>
        <v>0</v>
      </c>
      <c r="G162" s="269">
        <f>+เม.ย.!G161+พ.ค.!G161+มิ.ย.!G161</f>
        <v>0</v>
      </c>
      <c r="H162" s="269">
        <f>+เม.ย.!H161+พ.ค.!H161+มิ.ย.!H161</f>
        <v>0</v>
      </c>
      <c r="I162" s="269">
        <f>+เม.ย.!I161+พ.ค.!I161+มิ.ย.!I161</f>
        <v>0</v>
      </c>
      <c r="J162" s="269">
        <f>+เม.ย.!J161+พ.ค.!J161+มิ.ย.!J161</f>
        <v>0</v>
      </c>
      <c r="K162" s="269">
        <f>+เม.ย.!K161+พ.ค.!K161+มิ.ย.!K161</f>
        <v>0</v>
      </c>
      <c r="L162" s="269">
        <f>+เม.ย.!L161+พ.ค.!L161+มิ.ย.!L161</f>
        <v>0</v>
      </c>
      <c r="M162" s="269">
        <f>+เม.ย.!M161+พ.ค.!M161+มิ.ย.!M161</f>
        <v>0</v>
      </c>
      <c r="N162" s="269">
        <f>+เม.ย.!N161+พ.ค.!N161+มิ.ย.!N161</f>
        <v>0</v>
      </c>
      <c r="O162" s="269">
        <f>+เม.ย.!O161+พ.ค.!O161+มิ.ย.!O161</f>
        <v>0</v>
      </c>
      <c r="P162" s="269">
        <f>+เม.ย.!P161+พ.ค.!P161+มิ.ย.!P161</f>
        <v>0</v>
      </c>
      <c r="Q162" s="269">
        <f>+เม.ย.!Q161+พ.ค.!Q161+มิ.ย.!Q161</f>
        <v>0</v>
      </c>
      <c r="R162" s="269">
        <f>+เม.ย.!R161+พ.ค.!R161+มิ.ย.!R161</f>
        <v>0</v>
      </c>
      <c r="S162" s="269">
        <f>+เม.ย.!S161+พ.ค.!S161+มิ.ย.!S161</f>
        <v>0</v>
      </c>
      <c r="T162" s="269"/>
      <c r="U162" s="269">
        <f>+เม.ย.!U161+พ.ค.!U161+มิ.ย.!U161</f>
        <v>0</v>
      </c>
      <c r="V162" s="269">
        <f>+เม.ย.!V161+พ.ค.!V161+มิ.ย.!V161</f>
        <v>0</v>
      </c>
      <c r="X162"/>
    </row>
    <row r="163" spans="1:24" ht="25.5" customHeight="1">
      <c r="A163" s="9"/>
      <c r="B163" s="187" t="s">
        <v>373</v>
      </c>
      <c r="C163" s="279">
        <f>65000-65000</f>
        <v>0</v>
      </c>
      <c r="D163" s="131"/>
      <c r="E163" s="269">
        <f>+เม.ย.!E162+พ.ค.!E162+มิ.ย.!E162</f>
        <v>0</v>
      </c>
      <c r="F163" s="269">
        <f>+เม.ย.!F162+พ.ค.!F162+มิ.ย.!F162</f>
        <v>0</v>
      </c>
      <c r="G163" s="269">
        <f>+เม.ย.!G162+พ.ค.!G162+มิ.ย.!G162</f>
        <v>0</v>
      </c>
      <c r="H163" s="269">
        <f>+เม.ย.!H162+พ.ค.!H162+มิ.ย.!H162</f>
        <v>0</v>
      </c>
      <c r="I163" s="269">
        <f>+เม.ย.!I162+พ.ค.!I162+มิ.ย.!I162</f>
        <v>0</v>
      </c>
      <c r="J163" s="269">
        <f>+เม.ย.!J162+พ.ค.!J162+มิ.ย.!J162</f>
        <v>0</v>
      </c>
      <c r="K163" s="269">
        <f>+เม.ย.!K162+พ.ค.!K162+มิ.ย.!K162</f>
        <v>0</v>
      </c>
      <c r="L163" s="269">
        <f>+เม.ย.!L162+พ.ค.!L162+มิ.ย.!L162</f>
        <v>0</v>
      </c>
      <c r="M163" s="269">
        <f>+เม.ย.!M162+พ.ค.!M162+มิ.ย.!M162</f>
        <v>0</v>
      </c>
      <c r="N163" s="269">
        <f>+เม.ย.!N162+พ.ค.!N162+มิ.ย.!N162</f>
        <v>0</v>
      </c>
      <c r="O163" s="269">
        <f>+เม.ย.!O162+พ.ค.!O162+มิ.ย.!O162</f>
        <v>0</v>
      </c>
      <c r="P163" s="269">
        <f>+เม.ย.!P162+พ.ค.!P162+มิ.ย.!P162</f>
        <v>0</v>
      </c>
      <c r="Q163" s="269">
        <f>+เม.ย.!Q162+พ.ค.!Q162+มิ.ย.!Q162</f>
        <v>0</v>
      </c>
      <c r="R163" s="269">
        <f>+เม.ย.!R162+พ.ค.!R162+มิ.ย.!R162</f>
        <v>0</v>
      </c>
      <c r="S163" s="269">
        <f>+เม.ย.!S162+พ.ค.!S162+มิ.ย.!S162</f>
        <v>0</v>
      </c>
      <c r="T163" s="269"/>
      <c r="U163" s="269">
        <f>+เม.ย.!U162+พ.ค.!U162+มิ.ย.!U162</f>
        <v>0</v>
      </c>
      <c r="V163" s="269">
        <f>+เม.ย.!V162+พ.ค.!V162+มิ.ย.!V162</f>
        <v>0</v>
      </c>
    </row>
    <row r="164" spans="1:24" ht="25.5" customHeight="1">
      <c r="A164" s="9"/>
      <c r="B164" s="187" t="s">
        <v>374</v>
      </c>
      <c r="C164" s="279">
        <v>20000</v>
      </c>
      <c r="D164" s="131"/>
      <c r="E164" s="269">
        <f>+เม.ย.!E163+พ.ค.!E163+มิ.ย.!E163</f>
        <v>0</v>
      </c>
      <c r="F164" s="269">
        <f>+เม.ย.!F163+พ.ค.!F163+มิ.ย.!F163</f>
        <v>0</v>
      </c>
      <c r="G164" s="269">
        <f>+เม.ย.!G163+พ.ค.!G163+มิ.ย.!G163</f>
        <v>0</v>
      </c>
      <c r="H164" s="269">
        <f>+เม.ย.!H163+พ.ค.!H163+มิ.ย.!H163</f>
        <v>0</v>
      </c>
      <c r="I164" s="269">
        <f>+เม.ย.!I163+พ.ค.!I163+มิ.ย.!I163</f>
        <v>0</v>
      </c>
      <c r="J164" s="269">
        <f>+เม.ย.!J163+พ.ค.!J163+มิ.ย.!J163</f>
        <v>0</v>
      </c>
      <c r="K164" s="269">
        <f>+เม.ย.!K163+พ.ค.!K163+มิ.ย.!K163</f>
        <v>0</v>
      </c>
      <c r="L164" s="269">
        <f>+เม.ย.!L163+พ.ค.!L163+มิ.ย.!L163</f>
        <v>0</v>
      </c>
      <c r="M164" s="269">
        <f>+เม.ย.!M163+พ.ค.!M163+มิ.ย.!M163</f>
        <v>0</v>
      </c>
      <c r="N164" s="269">
        <f>+เม.ย.!N163+พ.ค.!N163+มิ.ย.!N163</f>
        <v>0</v>
      </c>
      <c r="O164" s="269">
        <f>+เม.ย.!O163+พ.ค.!O163+มิ.ย.!O163</f>
        <v>0</v>
      </c>
      <c r="P164" s="269">
        <f>+เม.ย.!P163+พ.ค.!P163+มิ.ย.!P163</f>
        <v>0</v>
      </c>
      <c r="Q164" s="269">
        <f>+เม.ย.!Q163+พ.ค.!Q163+มิ.ย.!Q163</f>
        <v>0</v>
      </c>
      <c r="R164" s="269">
        <f>+เม.ย.!R163+พ.ค.!R163+มิ.ย.!R163</f>
        <v>0</v>
      </c>
      <c r="S164" s="269">
        <f>+เม.ย.!S163+พ.ค.!S163+มิ.ย.!S163</f>
        <v>20000</v>
      </c>
      <c r="T164" s="269"/>
      <c r="U164" s="269">
        <f>+เม.ย.!U163+พ.ค.!U163+มิ.ย.!U163</f>
        <v>0</v>
      </c>
      <c r="V164" s="269">
        <f>+เม.ย.!V163+พ.ค.!V163+มิ.ย.!V163</f>
        <v>0</v>
      </c>
    </row>
    <row r="165" spans="1:24" ht="25.5" customHeight="1">
      <c r="A165" s="9"/>
      <c r="B165" s="187" t="s">
        <v>375</v>
      </c>
      <c r="C165" s="279">
        <v>20000</v>
      </c>
      <c r="D165" s="131"/>
      <c r="E165" s="269">
        <f>+เม.ย.!E164+พ.ค.!E164+มิ.ย.!E164</f>
        <v>0</v>
      </c>
      <c r="F165" s="269">
        <f>+เม.ย.!F164+พ.ค.!F164+มิ.ย.!F164</f>
        <v>0</v>
      </c>
      <c r="G165" s="269">
        <f>+เม.ย.!G164+พ.ค.!G164+มิ.ย.!G164</f>
        <v>0</v>
      </c>
      <c r="H165" s="269">
        <f>+เม.ย.!H164+พ.ค.!H164+มิ.ย.!H164</f>
        <v>0</v>
      </c>
      <c r="I165" s="269">
        <f>+เม.ย.!I164+พ.ค.!I164+มิ.ย.!I164</f>
        <v>0</v>
      </c>
      <c r="J165" s="269">
        <f>+เม.ย.!J164+พ.ค.!J164+มิ.ย.!J164</f>
        <v>0</v>
      </c>
      <c r="K165" s="269">
        <f>+เม.ย.!K164+พ.ค.!K164+มิ.ย.!K164</f>
        <v>0</v>
      </c>
      <c r="L165" s="269">
        <f>+เม.ย.!L164+พ.ค.!L164+มิ.ย.!L164</f>
        <v>0</v>
      </c>
      <c r="M165" s="269">
        <f>+เม.ย.!M164+พ.ค.!M164+มิ.ย.!M164</f>
        <v>0</v>
      </c>
      <c r="N165" s="269">
        <f>+เม.ย.!N164+พ.ค.!N164+มิ.ย.!N164</f>
        <v>0</v>
      </c>
      <c r="O165" s="269">
        <f>+เม.ย.!O164+พ.ค.!O164+มิ.ย.!O164</f>
        <v>0</v>
      </c>
      <c r="P165" s="269">
        <f>+เม.ย.!P164+พ.ค.!P164+มิ.ย.!P164</f>
        <v>0</v>
      </c>
      <c r="Q165" s="269">
        <f>+เม.ย.!Q164+พ.ค.!Q164+มิ.ย.!Q164</f>
        <v>0</v>
      </c>
      <c r="R165" s="269">
        <f>+เม.ย.!R164+พ.ค.!R164+มิ.ย.!R164</f>
        <v>0</v>
      </c>
      <c r="S165" s="269">
        <f>+เม.ย.!S164+พ.ค.!S164+มิ.ย.!S164</f>
        <v>4000</v>
      </c>
      <c r="T165" s="269"/>
      <c r="U165" s="269">
        <f>+เม.ย.!U164+พ.ค.!U164+มิ.ย.!U164</f>
        <v>0</v>
      </c>
      <c r="V165" s="269">
        <f>+เม.ย.!V164+พ.ค.!V164+มิ.ย.!V164</f>
        <v>0</v>
      </c>
    </row>
    <row r="166" spans="1:24" ht="25.5" customHeight="1">
      <c r="A166" s="9"/>
      <c r="B166" s="187" t="s">
        <v>376</v>
      </c>
      <c r="C166" s="279">
        <v>25000</v>
      </c>
      <c r="D166" s="131"/>
      <c r="E166" s="269">
        <f>+เม.ย.!E165+พ.ค.!E165+มิ.ย.!E165</f>
        <v>0</v>
      </c>
      <c r="F166" s="269">
        <f>+เม.ย.!F165+พ.ค.!F165+มิ.ย.!F165</f>
        <v>0</v>
      </c>
      <c r="G166" s="269">
        <f>+เม.ย.!G165+พ.ค.!G165+มิ.ย.!G165</f>
        <v>0</v>
      </c>
      <c r="H166" s="269">
        <f>+เม.ย.!H165+พ.ค.!H165+มิ.ย.!H165</f>
        <v>0</v>
      </c>
      <c r="I166" s="269">
        <f>+เม.ย.!I165+พ.ค.!I165+มิ.ย.!I165</f>
        <v>0</v>
      </c>
      <c r="J166" s="269">
        <f>+เม.ย.!J165+พ.ค.!J165+มิ.ย.!J165</f>
        <v>0</v>
      </c>
      <c r="K166" s="269">
        <f>+เม.ย.!K165+พ.ค.!K165+มิ.ย.!K165</f>
        <v>0</v>
      </c>
      <c r="L166" s="269">
        <f>+เม.ย.!L165+พ.ค.!L165+มิ.ย.!L165</f>
        <v>0</v>
      </c>
      <c r="M166" s="269">
        <f>+เม.ย.!M165+พ.ค.!M165+มิ.ย.!M165</f>
        <v>0</v>
      </c>
      <c r="N166" s="269">
        <f>+เม.ย.!N165+พ.ค.!N165+มิ.ย.!N165</f>
        <v>0</v>
      </c>
      <c r="O166" s="269">
        <f>+เม.ย.!O165+พ.ค.!O165+มิ.ย.!O165</f>
        <v>0</v>
      </c>
      <c r="P166" s="269">
        <f>+เม.ย.!P165+พ.ค.!P165+มิ.ย.!P165</f>
        <v>0</v>
      </c>
      <c r="Q166" s="269">
        <f>+เม.ย.!Q165+พ.ค.!Q165+มิ.ย.!Q165</f>
        <v>0</v>
      </c>
      <c r="R166" s="269">
        <f>+เม.ย.!R165+พ.ค.!R165+มิ.ย.!R165</f>
        <v>0</v>
      </c>
      <c r="S166" s="269">
        <f>+เม.ย.!S165+พ.ค.!S165+มิ.ย.!S165</f>
        <v>0</v>
      </c>
      <c r="T166" s="269"/>
      <c r="U166" s="269">
        <f>+เม.ย.!U165+พ.ค.!U165+มิ.ย.!U165</f>
        <v>0</v>
      </c>
      <c r="V166" s="269">
        <f>+เม.ย.!V165+พ.ค.!V165+มิ.ย.!V165</f>
        <v>0</v>
      </c>
    </row>
    <row r="167" spans="1:24" ht="25.5" customHeight="1">
      <c r="A167" s="9"/>
      <c r="B167" s="187" t="s">
        <v>377</v>
      </c>
      <c r="C167" s="279">
        <v>20000</v>
      </c>
      <c r="D167" s="131"/>
      <c r="E167" s="269">
        <f>+เม.ย.!E166+พ.ค.!E166+มิ.ย.!E166</f>
        <v>0</v>
      </c>
      <c r="F167" s="269">
        <f>+เม.ย.!F166+พ.ค.!F166+มิ.ย.!F166</f>
        <v>0</v>
      </c>
      <c r="G167" s="269">
        <f>+เม.ย.!G166+พ.ค.!G166+มิ.ย.!G166</f>
        <v>0</v>
      </c>
      <c r="H167" s="269">
        <f>+เม.ย.!H166+พ.ค.!H166+มิ.ย.!H166</f>
        <v>0</v>
      </c>
      <c r="I167" s="269">
        <f>+เม.ย.!I166+พ.ค.!I166+มิ.ย.!I166</f>
        <v>0</v>
      </c>
      <c r="J167" s="269">
        <f>+เม.ย.!J166+พ.ค.!J166+มิ.ย.!J166</f>
        <v>0</v>
      </c>
      <c r="K167" s="269">
        <f>+เม.ย.!K166+พ.ค.!K166+มิ.ย.!K166</f>
        <v>0</v>
      </c>
      <c r="L167" s="269">
        <f>+เม.ย.!L166+พ.ค.!L166+มิ.ย.!L166</f>
        <v>0</v>
      </c>
      <c r="M167" s="269">
        <f>+เม.ย.!M166+พ.ค.!M166+มิ.ย.!M166</f>
        <v>0</v>
      </c>
      <c r="N167" s="269">
        <f>+เม.ย.!N166+พ.ค.!N166+มิ.ย.!N166</f>
        <v>0</v>
      </c>
      <c r="O167" s="269">
        <f>+เม.ย.!O166+พ.ค.!O166+มิ.ย.!O166</f>
        <v>0</v>
      </c>
      <c r="P167" s="269">
        <f>+เม.ย.!P166+พ.ค.!P166+มิ.ย.!P166</f>
        <v>0</v>
      </c>
      <c r="Q167" s="269">
        <f>+เม.ย.!Q166+พ.ค.!Q166+มิ.ย.!Q166</f>
        <v>0</v>
      </c>
      <c r="R167" s="269">
        <f>+เม.ย.!R166+พ.ค.!R166+มิ.ย.!R166</f>
        <v>0</v>
      </c>
      <c r="S167" s="269">
        <f>+เม.ย.!S166+พ.ค.!S166+มิ.ย.!S166</f>
        <v>0</v>
      </c>
      <c r="T167" s="269"/>
      <c r="U167" s="269">
        <f>+เม.ย.!U166+พ.ค.!U166+มิ.ย.!U166</f>
        <v>0</v>
      </c>
      <c r="V167" s="269">
        <f>+เม.ย.!V166+พ.ค.!V166+มิ.ย.!V166</f>
        <v>0</v>
      </c>
    </row>
    <row r="168" spans="1:24" ht="25.5" customHeight="1">
      <c r="A168" s="9"/>
      <c r="B168" s="187" t="s">
        <v>267</v>
      </c>
      <c r="C168" s="279">
        <v>15000</v>
      </c>
      <c r="D168" s="131"/>
      <c r="E168" s="269">
        <f>+เม.ย.!E167+พ.ค.!E167+มิ.ย.!E167</f>
        <v>0</v>
      </c>
      <c r="F168" s="269">
        <f>+เม.ย.!F167+พ.ค.!F167+มิ.ย.!F167</f>
        <v>0</v>
      </c>
      <c r="G168" s="269">
        <f>+เม.ย.!G167+พ.ค.!G167+มิ.ย.!G167</f>
        <v>0</v>
      </c>
      <c r="H168" s="269">
        <f>+เม.ย.!H167+พ.ค.!H167+มิ.ย.!H167</f>
        <v>0</v>
      </c>
      <c r="I168" s="269">
        <f>+เม.ย.!I167+พ.ค.!I167+มิ.ย.!I167</f>
        <v>0</v>
      </c>
      <c r="J168" s="269">
        <f>+เม.ย.!J167+พ.ค.!J167+มิ.ย.!J167</f>
        <v>0</v>
      </c>
      <c r="K168" s="269">
        <f>+เม.ย.!K167+พ.ค.!K167+มิ.ย.!K167</f>
        <v>0</v>
      </c>
      <c r="L168" s="269">
        <f>+เม.ย.!L167+พ.ค.!L167+มิ.ย.!L167</f>
        <v>0</v>
      </c>
      <c r="M168" s="269">
        <f>+เม.ย.!M167+พ.ค.!M167+มิ.ย.!M167</f>
        <v>0</v>
      </c>
      <c r="N168" s="269">
        <f>+เม.ย.!N167+พ.ค.!N167+มิ.ย.!N167</f>
        <v>0</v>
      </c>
      <c r="O168" s="269">
        <f>+เม.ย.!O167+พ.ค.!O167+มิ.ย.!O167</f>
        <v>0</v>
      </c>
      <c r="P168" s="269">
        <f>+เม.ย.!P167+พ.ค.!P167+มิ.ย.!P167</f>
        <v>0</v>
      </c>
      <c r="Q168" s="269">
        <f>+เม.ย.!Q167+พ.ค.!Q167+มิ.ย.!Q167</f>
        <v>0</v>
      </c>
      <c r="R168" s="269">
        <f>+เม.ย.!R167+พ.ค.!R167+มิ.ย.!R167</f>
        <v>0</v>
      </c>
      <c r="S168" s="269">
        <f>+เม.ย.!S167+พ.ค.!S167+มิ.ย.!S167</f>
        <v>0</v>
      </c>
      <c r="T168" s="269"/>
      <c r="U168" s="269">
        <f>+เม.ย.!U167+พ.ค.!U167+มิ.ย.!U167</f>
        <v>0</v>
      </c>
      <c r="V168" s="269">
        <f>+เม.ย.!V167+พ.ค.!V167+มิ.ย.!V167</f>
        <v>0</v>
      </c>
    </row>
    <row r="169" spans="1:24" ht="25.5" customHeight="1">
      <c r="A169" s="9"/>
      <c r="B169" s="187" t="s">
        <v>215</v>
      </c>
      <c r="C169" s="279">
        <v>10000</v>
      </c>
      <c r="D169" s="131"/>
      <c r="E169" s="269">
        <f>+เม.ย.!E168+พ.ค.!E168+มิ.ย.!E168</f>
        <v>0</v>
      </c>
      <c r="F169" s="269">
        <f>+เม.ย.!F168+พ.ค.!F168+มิ.ย.!F168</f>
        <v>0</v>
      </c>
      <c r="G169" s="269">
        <f>+เม.ย.!G168+พ.ค.!G168+มิ.ย.!G168</f>
        <v>0</v>
      </c>
      <c r="H169" s="269">
        <f>+เม.ย.!H168+พ.ค.!H168+มิ.ย.!H168</f>
        <v>0</v>
      </c>
      <c r="I169" s="269">
        <f>+เม.ย.!I168+พ.ค.!I168+มิ.ย.!I168</f>
        <v>0</v>
      </c>
      <c r="J169" s="269">
        <f>+เม.ย.!J168+พ.ค.!J168+มิ.ย.!J168</f>
        <v>0</v>
      </c>
      <c r="K169" s="269">
        <f>+เม.ย.!K168+พ.ค.!K168+มิ.ย.!K168</f>
        <v>0</v>
      </c>
      <c r="L169" s="269">
        <f>+เม.ย.!L168+พ.ค.!L168+มิ.ย.!L168</f>
        <v>0</v>
      </c>
      <c r="M169" s="269">
        <f>+เม.ย.!M168+พ.ค.!M168+มิ.ย.!M168</f>
        <v>0</v>
      </c>
      <c r="N169" s="269">
        <f>+เม.ย.!N168+พ.ค.!N168+มิ.ย.!N168</f>
        <v>0</v>
      </c>
      <c r="O169" s="269">
        <f>+เม.ย.!O168+พ.ค.!O168+มิ.ย.!O168</f>
        <v>0</v>
      </c>
      <c r="P169" s="269">
        <f>+เม.ย.!P168+พ.ค.!P168+มิ.ย.!P168</f>
        <v>0</v>
      </c>
      <c r="Q169" s="269">
        <f>+เม.ย.!Q168+พ.ค.!Q168+มิ.ย.!Q168</f>
        <v>0</v>
      </c>
      <c r="R169" s="269">
        <f>+เม.ย.!R168+พ.ค.!R168+มิ.ย.!R168</f>
        <v>0</v>
      </c>
      <c r="S169" s="269">
        <f>+เม.ย.!S168+พ.ค.!S168+มิ.ย.!S168</f>
        <v>0</v>
      </c>
      <c r="T169" s="269"/>
      <c r="U169" s="269">
        <f>+เม.ย.!U168+พ.ค.!U168+มิ.ย.!U168</f>
        <v>0</v>
      </c>
      <c r="V169" s="269">
        <f>+เม.ย.!V168+พ.ค.!V168+มิ.ย.!V168</f>
        <v>0</v>
      </c>
    </row>
    <row r="170" spans="1:24" ht="25.5" customHeight="1">
      <c r="A170" s="9"/>
      <c r="B170" s="187" t="s">
        <v>268</v>
      </c>
      <c r="C170" s="279">
        <v>5000</v>
      </c>
      <c r="D170" s="131"/>
      <c r="E170" s="269">
        <f>+เม.ย.!E169+พ.ค.!E169+มิ.ย.!E169</f>
        <v>0</v>
      </c>
      <c r="F170" s="269">
        <f>+เม.ย.!F169+พ.ค.!F169+มิ.ย.!F169</f>
        <v>0</v>
      </c>
      <c r="G170" s="269">
        <f>+เม.ย.!G169+พ.ค.!G169+มิ.ย.!G169</f>
        <v>0</v>
      </c>
      <c r="H170" s="269">
        <f>+เม.ย.!H169+พ.ค.!H169+มิ.ย.!H169</f>
        <v>0</v>
      </c>
      <c r="I170" s="269">
        <f>+เม.ย.!I169+พ.ค.!I169+มิ.ย.!I169</f>
        <v>0</v>
      </c>
      <c r="J170" s="269">
        <f>+เม.ย.!J169+พ.ค.!J169+มิ.ย.!J169</f>
        <v>0</v>
      </c>
      <c r="K170" s="269">
        <f>+เม.ย.!K169+พ.ค.!K169+มิ.ย.!K169</f>
        <v>0</v>
      </c>
      <c r="L170" s="269">
        <f>+เม.ย.!L169+พ.ค.!L169+มิ.ย.!L169</f>
        <v>0</v>
      </c>
      <c r="M170" s="269">
        <f>+เม.ย.!M169+พ.ค.!M169+มิ.ย.!M169</f>
        <v>0</v>
      </c>
      <c r="N170" s="269">
        <f>+เม.ย.!N169+พ.ค.!N169+มิ.ย.!N169</f>
        <v>0</v>
      </c>
      <c r="O170" s="269">
        <f>+เม.ย.!O169+พ.ค.!O169+มิ.ย.!O169</f>
        <v>0</v>
      </c>
      <c r="P170" s="269">
        <f>+เม.ย.!P169+พ.ค.!P169+มิ.ย.!P169</f>
        <v>0</v>
      </c>
      <c r="Q170" s="269">
        <f>+เม.ย.!Q169+พ.ค.!Q169+มิ.ย.!Q169</f>
        <v>0</v>
      </c>
      <c r="R170" s="269">
        <f>+เม.ย.!R169+พ.ค.!R169+มิ.ย.!R169</f>
        <v>0</v>
      </c>
      <c r="S170" s="269">
        <f>+เม.ย.!S169+พ.ค.!S169+มิ.ย.!S169</f>
        <v>0</v>
      </c>
      <c r="T170" s="269"/>
      <c r="U170" s="269">
        <f>+เม.ย.!U169+พ.ค.!U169+มิ.ย.!U169</f>
        <v>0</v>
      </c>
      <c r="V170" s="269">
        <f>+เม.ย.!V169+พ.ค.!V169+มิ.ย.!V169</f>
        <v>0</v>
      </c>
    </row>
    <row r="171" spans="1:24" ht="25.5" customHeight="1">
      <c r="A171" s="9"/>
      <c r="B171" s="187" t="s">
        <v>413</v>
      </c>
      <c r="C171" s="279">
        <v>140000</v>
      </c>
      <c r="D171" s="131"/>
      <c r="E171" s="269">
        <f>+เม.ย.!E170+พ.ค.!E170+มิ.ย.!E170</f>
        <v>0</v>
      </c>
      <c r="F171" s="269">
        <f>+เม.ย.!F170+พ.ค.!F170+มิ.ย.!F170</f>
        <v>112880</v>
      </c>
      <c r="G171" s="269">
        <f>+เม.ย.!G170+พ.ค.!G170+มิ.ย.!G170</f>
        <v>0</v>
      </c>
      <c r="H171" s="269">
        <f>+เม.ย.!H170+พ.ค.!H170+มิ.ย.!H170</f>
        <v>0</v>
      </c>
      <c r="I171" s="269">
        <f>+เม.ย.!I170+พ.ค.!I170+มิ.ย.!I170</f>
        <v>0</v>
      </c>
      <c r="J171" s="269">
        <f>+เม.ย.!J170+พ.ค.!J170+มิ.ย.!J170</f>
        <v>0</v>
      </c>
      <c r="K171" s="269">
        <f>+เม.ย.!K170+พ.ค.!K170+มิ.ย.!K170</f>
        <v>0</v>
      </c>
      <c r="L171" s="269">
        <f>+เม.ย.!L170+พ.ค.!L170+มิ.ย.!L170</f>
        <v>0</v>
      </c>
      <c r="M171" s="269">
        <f>+เม.ย.!M170+พ.ค.!M170+มิ.ย.!M170</f>
        <v>0</v>
      </c>
      <c r="N171" s="269">
        <f>+เม.ย.!N170+พ.ค.!N170+มิ.ย.!N170</f>
        <v>0</v>
      </c>
      <c r="O171" s="269">
        <f>+เม.ย.!O170+พ.ค.!O170+มิ.ย.!O170</f>
        <v>0</v>
      </c>
      <c r="P171" s="269">
        <f>+เม.ย.!P170+พ.ค.!P170+มิ.ย.!P170</f>
        <v>0</v>
      </c>
      <c r="Q171" s="269">
        <f>+เม.ย.!Q170+พ.ค.!Q170+มิ.ย.!Q170</f>
        <v>0</v>
      </c>
      <c r="R171" s="269">
        <f>+เม.ย.!R170+พ.ค.!R170+มิ.ย.!R170</f>
        <v>0</v>
      </c>
      <c r="S171" s="269">
        <f>+เม.ย.!S170+พ.ค.!S170+มิ.ย.!S170</f>
        <v>0</v>
      </c>
      <c r="T171" s="269"/>
      <c r="U171" s="269">
        <f>+เม.ย.!U170+พ.ค.!U170+มิ.ย.!U170</f>
        <v>0</v>
      </c>
      <c r="V171" s="269">
        <f>+เม.ย.!V170+พ.ค.!V170+มิ.ย.!V170</f>
        <v>0</v>
      </c>
      <c r="W171" s="321"/>
    </row>
    <row r="172" spans="1:24" ht="25.5" customHeight="1">
      <c r="A172" s="9"/>
      <c r="B172" s="187" t="s">
        <v>414</v>
      </c>
      <c r="C172" s="279">
        <v>40000</v>
      </c>
      <c r="D172" s="131"/>
      <c r="E172" s="269">
        <f>+เม.ย.!E171+พ.ค.!E171+มิ.ย.!E171</f>
        <v>0</v>
      </c>
      <c r="F172" s="269">
        <f>+เม.ย.!F171+พ.ค.!F171+มิ.ย.!F171</f>
        <v>0</v>
      </c>
      <c r="G172" s="269">
        <f>+เม.ย.!G171+พ.ค.!G171+มิ.ย.!G171</f>
        <v>0</v>
      </c>
      <c r="H172" s="269">
        <f>+เม.ย.!H171+พ.ค.!H171+มิ.ย.!H171</f>
        <v>0</v>
      </c>
      <c r="I172" s="269">
        <f>+เม.ย.!I171+พ.ค.!I171+มิ.ย.!I171</f>
        <v>0</v>
      </c>
      <c r="J172" s="269">
        <f>+เม.ย.!J171+พ.ค.!J171+มิ.ย.!J171</f>
        <v>0</v>
      </c>
      <c r="K172" s="269">
        <f>+เม.ย.!K171+พ.ค.!K171+มิ.ย.!K171</f>
        <v>0</v>
      </c>
      <c r="L172" s="269">
        <f>+เม.ย.!L171+พ.ค.!L171+มิ.ย.!L171</f>
        <v>0</v>
      </c>
      <c r="M172" s="269">
        <f>+เม.ย.!M171+พ.ค.!M171+มิ.ย.!M171</f>
        <v>0</v>
      </c>
      <c r="N172" s="269">
        <f>+เม.ย.!N171+พ.ค.!N171+มิ.ย.!N171</f>
        <v>0</v>
      </c>
      <c r="O172" s="269">
        <f>+เม.ย.!O171+พ.ค.!O171+มิ.ย.!O171</f>
        <v>0</v>
      </c>
      <c r="P172" s="269">
        <f>+เม.ย.!P171+พ.ค.!P171+มิ.ย.!P171</f>
        <v>0</v>
      </c>
      <c r="Q172" s="269">
        <f>+เม.ย.!Q171+พ.ค.!Q171+มิ.ย.!Q171</f>
        <v>0</v>
      </c>
      <c r="R172" s="269">
        <f>+เม.ย.!R171+พ.ค.!R171+มิ.ย.!R171</f>
        <v>0</v>
      </c>
      <c r="S172" s="269">
        <f>+เม.ย.!S171+พ.ค.!S171+มิ.ย.!S171</f>
        <v>0</v>
      </c>
      <c r="T172" s="269"/>
      <c r="U172" s="269">
        <f>+เม.ย.!U171+พ.ค.!U171+มิ.ย.!U171</f>
        <v>0</v>
      </c>
      <c r="V172" s="269">
        <f>+เม.ย.!V171+พ.ค.!V171+มิ.ย.!V171</f>
        <v>0</v>
      </c>
    </row>
    <row r="173" spans="1:24" ht="25.5" customHeight="1">
      <c r="A173" s="9"/>
      <c r="B173" s="187" t="s">
        <v>415</v>
      </c>
      <c r="C173" s="279">
        <v>20000</v>
      </c>
      <c r="D173" s="131"/>
      <c r="E173" s="269">
        <f>+เม.ย.!E172+พ.ค.!E172+มิ.ย.!E172</f>
        <v>0</v>
      </c>
      <c r="F173" s="269">
        <f>+เม.ย.!F172+พ.ค.!F172+มิ.ย.!F172</f>
        <v>0</v>
      </c>
      <c r="G173" s="269">
        <f>+เม.ย.!G172+พ.ค.!G172+มิ.ย.!G172</f>
        <v>0</v>
      </c>
      <c r="H173" s="269">
        <f>+เม.ย.!H172+พ.ค.!H172+มิ.ย.!H172</f>
        <v>0</v>
      </c>
      <c r="I173" s="269">
        <f>+เม.ย.!I172+พ.ค.!I172+มิ.ย.!I172</f>
        <v>0</v>
      </c>
      <c r="J173" s="269">
        <f>+เม.ย.!J172+พ.ค.!J172+มิ.ย.!J172</f>
        <v>0</v>
      </c>
      <c r="K173" s="269">
        <f>+เม.ย.!K172+พ.ค.!K172+มิ.ย.!K172</f>
        <v>0</v>
      </c>
      <c r="L173" s="269">
        <f>+เม.ย.!L172+พ.ค.!L172+มิ.ย.!L172</f>
        <v>0</v>
      </c>
      <c r="M173" s="269">
        <f>+เม.ย.!M172+พ.ค.!M172+มิ.ย.!M172</f>
        <v>0</v>
      </c>
      <c r="N173" s="269">
        <f>+เม.ย.!N172+พ.ค.!N172+มิ.ย.!N172</f>
        <v>0</v>
      </c>
      <c r="O173" s="269">
        <f>+เม.ย.!O172+พ.ค.!O172+มิ.ย.!O172</f>
        <v>0</v>
      </c>
      <c r="P173" s="269">
        <f>+เม.ย.!P172+พ.ค.!P172+มิ.ย.!P172</f>
        <v>18800</v>
      </c>
      <c r="Q173" s="269">
        <f>+เม.ย.!Q172+พ.ค.!Q172+มิ.ย.!Q172</f>
        <v>0</v>
      </c>
      <c r="R173" s="269">
        <f>+เม.ย.!R172+พ.ค.!R172+มิ.ย.!R172</f>
        <v>0</v>
      </c>
      <c r="S173" s="269">
        <f>+เม.ย.!S172+พ.ค.!S172+มิ.ย.!S172</f>
        <v>0</v>
      </c>
      <c r="T173" s="269"/>
      <c r="U173" s="269">
        <f>+เม.ย.!U172+พ.ค.!U172+มิ.ย.!U172</f>
        <v>0</v>
      </c>
      <c r="V173" s="269">
        <f>+เม.ย.!V172+พ.ค.!V172+มิ.ย.!V172</f>
        <v>0</v>
      </c>
      <c r="W173" s="321"/>
    </row>
    <row r="174" spans="1:24" ht="25.5" customHeight="1">
      <c r="A174" s="9"/>
      <c r="B174" s="187" t="s">
        <v>330</v>
      </c>
      <c r="C174" s="279"/>
      <c r="D174" s="131"/>
      <c r="E174" s="269">
        <f>+เม.ย.!E173+พ.ค.!E173+มิ.ย.!E173</f>
        <v>0</v>
      </c>
      <c r="F174" s="269">
        <f>+เม.ย.!F173+พ.ค.!F173+มิ.ย.!F173</f>
        <v>0</v>
      </c>
      <c r="G174" s="269">
        <f>+เม.ย.!G173+พ.ค.!G173+มิ.ย.!G173</f>
        <v>0</v>
      </c>
      <c r="H174" s="269">
        <f>+เม.ย.!H173+พ.ค.!H173+มิ.ย.!H173</f>
        <v>0</v>
      </c>
      <c r="I174" s="269">
        <f>+เม.ย.!I173+พ.ค.!I173+มิ.ย.!I173</f>
        <v>0</v>
      </c>
      <c r="J174" s="269">
        <f>+เม.ย.!J173+พ.ค.!J173+มิ.ย.!J173</f>
        <v>0</v>
      </c>
      <c r="K174" s="269">
        <f>+เม.ย.!K173+พ.ค.!K173+มิ.ย.!K173</f>
        <v>0</v>
      </c>
      <c r="L174" s="269">
        <f>+เม.ย.!L173+พ.ค.!L173+มิ.ย.!L173</f>
        <v>0</v>
      </c>
      <c r="M174" s="269">
        <f>+เม.ย.!M173+พ.ค.!M173+มิ.ย.!M173</f>
        <v>0</v>
      </c>
      <c r="N174" s="269">
        <f>+เม.ย.!N173+พ.ค.!N173+มิ.ย.!N173</f>
        <v>0</v>
      </c>
      <c r="O174" s="269">
        <f>+เม.ย.!O173+พ.ค.!O173+มิ.ย.!O173</f>
        <v>0</v>
      </c>
      <c r="P174" s="269">
        <f>+เม.ย.!P173+พ.ค.!P173+มิ.ย.!P173</f>
        <v>0</v>
      </c>
      <c r="Q174" s="269">
        <f>+เม.ย.!Q173+พ.ค.!Q173+มิ.ย.!Q173</f>
        <v>0</v>
      </c>
      <c r="R174" s="269">
        <f>+เม.ย.!R173+พ.ค.!R173+มิ.ย.!R173</f>
        <v>0</v>
      </c>
      <c r="S174" s="269">
        <f>+เม.ย.!S173+พ.ค.!S173+มิ.ย.!S173</f>
        <v>0</v>
      </c>
      <c r="T174" s="269"/>
      <c r="U174" s="269">
        <f>+เม.ย.!U173+พ.ค.!U173+มิ.ย.!U173</f>
        <v>0</v>
      </c>
      <c r="V174" s="269">
        <f>+เม.ย.!V173+พ.ค.!V173+มิ.ย.!V173</f>
        <v>0</v>
      </c>
    </row>
    <row r="175" spans="1:24" ht="25.5" customHeight="1">
      <c r="A175" s="9"/>
      <c r="B175" s="187"/>
      <c r="C175" s="279"/>
      <c r="D175" s="131"/>
      <c r="E175" s="269">
        <f>+เม.ย.!E174+พ.ค.!E174+มิ.ย.!E174</f>
        <v>0</v>
      </c>
      <c r="F175" s="269">
        <f>+เม.ย.!F174+พ.ค.!F174+มิ.ย.!F174</f>
        <v>0</v>
      </c>
      <c r="G175" s="269">
        <f>+เม.ย.!G174+พ.ค.!G174+มิ.ย.!G174</f>
        <v>0</v>
      </c>
      <c r="H175" s="269">
        <f>+เม.ย.!H174+พ.ค.!H174+มิ.ย.!H174</f>
        <v>0</v>
      </c>
      <c r="I175" s="269">
        <f>+เม.ย.!I174+พ.ค.!I174+มิ.ย.!I174</f>
        <v>0</v>
      </c>
      <c r="J175" s="269">
        <f>+เม.ย.!J174+พ.ค.!J174+มิ.ย.!J174</f>
        <v>0</v>
      </c>
      <c r="K175" s="269">
        <f>+เม.ย.!K174+พ.ค.!K174+มิ.ย.!K174</f>
        <v>0</v>
      </c>
      <c r="L175" s="269">
        <f>+เม.ย.!L174+พ.ค.!L174+มิ.ย.!L174</f>
        <v>0</v>
      </c>
      <c r="M175" s="269">
        <f>+เม.ย.!M174+พ.ค.!M174+มิ.ย.!M174</f>
        <v>0</v>
      </c>
      <c r="N175" s="269">
        <f>+เม.ย.!N174+พ.ค.!N174+มิ.ย.!N174</f>
        <v>0</v>
      </c>
      <c r="O175" s="269">
        <f>+เม.ย.!O174+พ.ค.!O174+มิ.ย.!O174</f>
        <v>0</v>
      </c>
      <c r="P175" s="269">
        <f>+เม.ย.!P174+พ.ค.!P174+มิ.ย.!P174</f>
        <v>0</v>
      </c>
      <c r="Q175" s="269">
        <f>+เม.ย.!Q174+พ.ค.!Q174+มิ.ย.!Q174</f>
        <v>0</v>
      </c>
      <c r="R175" s="269">
        <f>+เม.ย.!R174+พ.ค.!R174+มิ.ย.!R174</f>
        <v>0</v>
      </c>
      <c r="S175" s="269">
        <f>+เม.ย.!S174+พ.ค.!S174+มิ.ย.!S174</f>
        <v>0</v>
      </c>
      <c r="T175" s="269"/>
      <c r="U175" s="269">
        <f>+เม.ย.!U174+พ.ค.!U174+มิ.ย.!U174</f>
        <v>0</v>
      </c>
      <c r="V175" s="269">
        <f>+เม.ย.!V174+พ.ค.!V174+มิ.ย.!V174</f>
        <v>0</v>
      </c>
    </row>
    <row r="176" spans="1:24" ht="25.5" customHeight="1" thickBot="1">
      <c r="A176" s="15"/>
      <c r="B176" s="14" t="s">
        <v>5</v>
      </c>
      <c r="C176" s="170">
        <f>SUM(C51:C175)</f>
        <v>6374300</v>
      </c>
      <c r="D176" s="255">
        <f t="shared" ref="D176:V176" si="4">SUM(D51:D175)</f>
        <v>0</v>
      </c>
      <c r="E176" s="254">
        <f>SUM(E51:E175)</f>
        <v>700427.04</v>
      </c>
      <c r="F176" s="254">
        <f>SUM(F51:F175)</f>
        <v>174346</v>
      </c>
      <c r="G176" s="254">
        <f t="shared" si="4"/>
        <v>19688</v>
      </c>
      <c r="H176" s="254">
        <f>SUM(H51:H175)</f>
        <v>238631</v>
      </c>
      <c r="I176" s="255">
        <f>SUM(I51:I175)</f>
        <v>251400</v>
      </c>
      <c r="J176" s="255">
        <f t="shared" si="4"/>
        <v>0</v>
      </c>
      <c r="K176" s="255">
        <f t="shared" si="4"/>
        <v>0</v>
      </c>
      <c r="L176" s="255">
        <f t="shared" si="4"/>
        <v>0</v>
      </c>
      <c r="M176" s="254">
        <f>SUM(M51:M175)</f>
        <v>120900</v>
      </c>
      <c r="N176" s="255">
        <f t="shared" si="4"/>
        <v>0</v>
      </c>
      <c r="O176" s="255">
        <f t="shared" si="4"/>
        <v>0</v>
      </c>
      <c r="P176" s="255">
        <f>SUM(P51:P175)</f>
        <v>22400</v>
      </c>
      <c r="Q176" s="255">
        <f t="shared" si="4"/>
        <v>0</v>
      </c>
      <c r="R176" s="255">
        <f t="shared" si="4"/>
        <v>0</v>
      </c>
      <c r="S176" s="255">
        <f t="shared" si="4"/>
        <v>94000</v>
      </c>
      <c r="T176" s="255"/>
      <c r="U176" s="255">
        <f t="shared" si="4"/>
        <v>0</v>
      </c>
      <c r="V176" s="255">
        <f t="shared" si="4"/>
        <v>0</v>
      </c>
      <c r="W176" s="314">
        <f>SUM(D176:V176)</f>
        <v>1621792.04</v>
      </c>
    </row>
    <row r="177" spans="1:23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3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3" ht="25.5" customHeight="1">
      <c r="A178" s="9"/>
      <c r="B178" s="130" t="s">
        <v>111</v>
      </c>
      <c r="C178" s="216">
        <f>50000+25000+5000+25000+10000+10000-8000</f>
        <v>117000</v>
      </c>
      <c r="D178" s="131"/>
      <c r="E178" s="267">
        <f>+เม.ย.!E177+พ.ค.!E177+มิ.ย.!E177</f>
        <v>10355</v>
      </c>
      <c r="F178" s="267">
        <f>+เม.ย.!F177+พ.ค.!F177+มิ.ย.!F177</f>
        <v>6519</v>
      </c>
      <c r="G178" s="267">
        <f>+เม.ย.!G177+พ.ค.!G177+มิ.ย.!G177</f>
        <v>0</v>
      </c>
      <c r="H178" s="267">
        <f>+เม.ย.!H177+พ.ค.!H177+มิ.ย.!H177</f>
        <v>5935</v>
      </c>
      <c r="I178" s="267">
        <f>+เม.ย.!I177+พ.ค.!I177+มิ.ย.!I177</f>
        <v>0</v>
      </c>
      <c r="J178" s="267">
        <f>+เม.ย.!J177+พ.ค.!J177+มิ.ย.!J177</f>
        <v>0</v>
      </c>
      <c r="K178" s="267">
        <f>+เม.ย.!K177+พ.ค.!K177+มิ.ย.!K177</f>
        <v>0</v>
      </c>
      <c r="L178" s="267">
        <f>+เม.ย.!L177+พ.ค.!L177+มิ.ย.!L177</f>
        <v>0</v>
      </c>
      <c r="M178" s="267">
        <f>+เม.ย.!M177+พ.ค.!M177+มิ.ย.!M177</f>
        <v>6649</v>
      </c>
      <c r="N178" s="267">
        <f>+เม.ย.!N177+พ.ค.!N177+มิ.ย.!N177</f>
        <v>0</v>
      </c>
      <c r="O178" s="267">
        <f>+เม.ย.!O177+พ.ค.!O177+มิ.ย.!O177</f>
        <v>0</v>
      </c>
      <c r="P178" s="267">
        <f>+เม.ย.!P177+พ.ค.!P177+มิ.ย.!P177</f>
        <v>0</v>
      </c>
      <c r="Q178" s="267">
        <f>+เม.ย.!Q177+พ.ค.!Q177+มิ.ย.!Q177</f>
        <v>0</v>
      </c>
      <c r="R178" s="267">
        <f>+เม.ย.!R177+พ.ค.!R177+มิ.ย.!R177</f>
        <v>0</v>
      </c>
      <c r="S178" s="267">
        <f>+เม.ย.!S177+พ.ค.!S177+มิ.ย.!S177</f>
        <v>0</v>
      </c>
      <c r="T178" s="267"/>
      <c r="U178" s="267">
        <f>+เม.ย.!U177+พ.ค.!U177+มิ.ย.!U177</f>
        <v>0</v>
      </c>
      <c r="V178" s="267">
        <f>+เม.ย.!V177+พ.ค.!V177+มิ.ย.!V177</f>
        <v>0</v>
      </c>
    </row>
    <row r="179" spans="1:23" s="67" customFormat="1" ht="25.5" customHeight="1">
      <c r="A179" s="9"/>
      <c r="B179" s="130" t="s">
        <v>302</v>
      </c>
      <c r="C179" s="216">
        <v>10000</v>
      </c>
      <c r="D179" s="131"/>
      <c r="E179" s="267">
        <f>+เม.ย.!E178+พ.ค.!E178+มิ.ย.!E178</f>
        <v>0</v>
      </c>
      <c r="F179" s="267">
        <f>+เม.ย.!F178+พ.ค.!F178+มิ.ย.!F178</f>
        <v>0</v>
      </c>
      <c r="G179" s="267">
        <f>+เม.ย.!G178+พ.ค.!G178+มิ.ย.!G178</f>
        <v>0</v>
      </c>
      <c r="H179" s="267">
        <f>+เม.ย.!H178+พ.ค.!H178+มิ.ย.!H178</f>
        <v>0</v>
      </c>
      <c r="I179" s="267">
        <f>+เม.ย.!I178+พ.ค.!I178+มิ.ย.!I178</f>
        <v>0</v>
      </c>
      <c r="J179" s="267">
        <f>+เม.ย.!J178+พ.ค.!J178+มิ.ย.!J178</f>
        <v>0</v>
      </c>
      <c r="K179" s="267">
        <f>+เม.ย.!K178+พ.ค.!K178+มิ.ย.!K178</f>
        <v>0</v>
      </c>
      <c r="L179" s="267">
        <f>+เม.ย.!L178+พ.ค.!L178+มิ.ย.!L178</f>
        <v>0</v>
      </c>
      <c r="M179" s="267">
        <f>+เม.ย.!M178+พ.ค.!M178+มิ.ย.!M178</f>
        <v>0</v>
      </c>
      <c r="N179" s="267">
        <f>+เม.ย.!N178+พ.ค.!N178+มิ.ย.!N178</f>
        <v>0</v>
      </c>
      <c r="O179" s="267">
        <f>+เม.ย.!O178+พ.ค.!O178+มิ.ย.!O178</f>
        <v>0</v>
      </c>
      <c r="P179" s="267">
        <f>+เม.ย.!P178+พ.ค.!P178+มิ.ย.!P178</f>
        <v>0</v>
      </c>
      <c r="Q179" s="267">
        <f>+เม.ย.!Q178+พ.ค.!Q178+มิ.ย.!Q178</f>
        <v>0</v>
      </c>
      <c r="R179" s="267">
        <f>+เม.ย.!R178+พ.ค.!R178+มิ.ย.!R178</f>
        <v>0</v>
      </c>
      <c r="S179" s="267">
        <f>+เม.ย.!S178+พ.ค.!S178+มิ.ย.!S178</f>
        <v>0</v>
      </c>
      <c r="T179" s="267"/>
      <c r="U179" s="267">
        <f>+เม.ย.!U178+พ.ค.!U178+มิ.ย.!U178</f>
        <v>0</v>
      </c>
      <c r="V179" s="267">
        <f>+เม.ย.!V178+พ.ค.!V178+มิ.ย.!V178</f>
        <v>0</v>
      </c>
      <c r="W179" s="312"/>
    </row>
    <row r="180" spans="1:23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>
        <f>+เม.ย.!E179+พ.ค.!E179+มิ.ย.!E179</f>
        <v>0</v>
      </c>
      <c r="F180" s="267">
        <f>+เม.ย.!F179+พ.ค.!F179+มิ.ย.!F179</f>
        <v>0</v>
      </c>
      <c r="G180" s="267">
        <f>+เม.ย.!G179+พ.ค.!G179+มิ.ย.!G179</f>
        <v>0</v>
      </c>
      <c r="H180" s="267">
        <f>+เม.ย.!H179+พ.ค.!H179+มิ.ย.!H179</f>
        <v>1370</v>
      </c>
      <c r="I180" s="267">
        <f>+เม.ย.!I179+พ.ค.!I179+มิ.ย.!I179</f>
        <v>0</v>
      </c>
      <c r="J180" s="267">
        <f>+เม.ย.!J179+พ.ค.!J179+มิ.ย.!J179</f>
        <v>0</v>
      </c>
      <c r="K180" s="267">
        <f>+เม.ย.!K179+พ.ค.!K179+มิ.ย.!K179</f>
        <v>0</v>
      </c>
      <c r="L180" s="267">
        <f>+เม.ย.!L179+พ.ค.!L179+มิ.ย.!L179</f>
        <v>0</v>
      </c>
      <c r="M180" s="267">
        <f>+เม.ย.!M179+พ.ค.!M179+มิ.ย.!M179</f>
        <v>0</v>
      </c>
      <c r="N180" s="267">
        <f>+เม.ย.!N179+พ.ค.!N179+มิ.ย.!N179</f>
        <v>0</v>
      </c>
      <c r="O180" s="267">
        <f>+เม.ย.!O179+พ.ค.!O179+มิ.ย.!O179</f>
        <v>0</v>
      </c>
      <c r="P180" s="267">
        <f>+เม.ย.!P179+พ.ค.!P179+มิ.ย.!P179</f>
        <v>0</v>
      </c>
      <c r="Q180" s="267">
        <f>+เม.ย.!Q179+พ.ค.!Q179+มิ.ย.!Q179</f>
        <v>0</v>
      </c>
      <c r="R180" s="267">
        <f>+เม.ย.!R179+พ.ค.!R179+มิ.ย.!R179</f>
        <v>0</v>
      </c>
      <c r="S180" s="267">
        <f>+เม.ย.!S179+พ.ค.!S179+มิ.ย.!S179</f>
        <v>0</v>
      </c>
      <c r="T180" s="267"/>
      <c r="U180" s="267">
        <f>+เม.ย.!U179+พ.ค.!U179+มิ.ย.!U179</f>
        <v>0</v>
      </c>
      <c r="V180" s="267">
        <f>+เม.ย.!V179+พ.ค.!V179+มิ.ย.!V179</f>
        <v>0</v>
      </c>
      <c r="W180" s="312"/>
    </row>
    <row r="181" spans="1:23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>
        <f>+เม.ย.!E180+พ.ค.!E180+มิ.ย.!E180</f>
        <v>1920</v>
      </c>
      <c r="F181" s="267">
        <f>+เม.ย.!F180+พ.ค.!F180+มิ.ย.!F180</f>
        <v>0</v>
      </c>
      <c r="G181" s="267">
        <f>+เม.ย.!G180+พ.ค.!G180+มิ.ย.!G180</f>
        <v>0</v>
      </c>
      <c r="H181" s="267">
        <f>+เม.ย.!H180+พ.ค.!H180+มิ.ย.!H180</f>
        <v>0</v>
      </c>
      <c r="I181" s="267">
        <f>+เม.ย.!I180+พ.ค.!I180+มิ.ย.!I180</f>
        <v>0</v>
      </c>
      <c r="J181" s="267">
        <f>+เม.ย.!J180+พ.ค.!J180+มิ.ย.!J180</f>
        <v>0</v>
      </c>
      <c r="K181" s="267">
        <f>+เม.ย.!K180+พ.ค.!K180+มิ.ย.!K180</f>
        <v>0</v>
      </c>
      <c r="L181" s="267">
        <f>+เม.ย.!L180+พ.ค.!L180+มิ.ย.!L180</f>
        <v>0</v>
      </c>
      <c r="M181" s="267">
        <f>+เม.ย.!M180+พ.ค.!M180+มิ.ย.!M180</f>
        <v>0</v>
      </c>
      <c r="N181" s="267">
        <f>+เม.ย.!N180+พ.ค.!N180+มิ.ย.!N180</f>
        <v>0</v>
      </c>
      <c r="O181" s="267">
        <f>+เม.ย.!O180+พ.ค.!O180+มิ.ย.!O180</f>
        <v>0</v>
      </c>
      <c r="P181" s="267">
        <f>+เม.ย.!P180+พ.ค.!P180+มิ.ย.!P180</f>
        <v>0</v>
      </c>
      <c r="Q181" s="267">
        <f>+เม.ย.!Q180+พ.ค.!Q180+มิ.ย.!Q180</f>
        <v>0</v>
      </c>
      <c r="R181" s="267">
        <f>+เม.ย.!R180+พ.ค.!R180+มิ.ย.!R180</f>
        <v>0</v>
      </c>
      <c r="S181" s="267">
        <f>+เม.ย.!S180+พ.ค.!S180+มิ.ย.!S180</f>
        <v>0</v>
      </c>
      <c r="T181" s="267"/>
      <c r="U181" s="267">
        <f>+เม.ย.!U180+พ.ค.!U180+มิ.ย.!U180</f>
        <v>0</v>
      </c>
      <c r="V181" s="267">
        <f>+เม.ย.!V180+พ.ค.!V180+มิ.ย.!V180</f>
        <v>0</v>
      </c>
      <c r="W181" s="312"/>
    </row>
    <row r="182" spans="1:23" ht="25.5" customHeight="1">
      <c r="A182" s="9"/>
      <c r="B182" s="130" t="s">
        <v>17</v>
      </c>
      <c r="C182" s="216">
        <f>15000+25000+20000-10000+8000-3000</f>
        <v>55000</v>
      </c>
      <c r="D182" s="133"/>
      <c r="E182" s="267">
        <f>+เม.ย.!E181+พ.ค.!E181+มิ.ย.!E181</f>
        <v>0</v>
      </c>
      <c r="F182" s="267">
        <f>+เม.ย.!F181+พ.ค.!F181+มิ.ย.!F181</f>
        <v>0</v>
      </c>
      <c r="G182" s="267">
        <f>+เม.ย.!G181+พ.ค.!G181+มิ.ย.!G181</f>
        <v>0</v>
      </c>
      <c r="H182" s="267">
        <f>+เม.ย.!H181+พ.ค.!H181+มิ.ย.!H181</f>
        <v>0</v>
      </c>
      <c r="I182" s="267">
        <f>+เม.ย.!I181+พ.ค.!I181+มิ.ย.!I181</f>
        <v>0</v>
      </c>
      <c r="J182" s="267">
        <f>+เม.ย.!J181+พ.ค.!J181+มิ.ย.!J181</f>
        <v>0</v>
      </c>
      <c r="K182" s="267">
        <f>+เม.ย.!K181+พ.ค.!K181+มิ.ย.!K181</f>
        <v>0</v>
      </c>
      <c r="L182" s="267">
        <f>+เม.ย.!L181+พ.ค.!L181+มิ.ย.!L181</f>
        <v>0</v>
      </c>
      <c r="M182" s="267">
        <f>+เม.ย.!M181+พ.ค.!M181+มิ.ย.!M181</f>
        <v>0</v>
      </c>
      <c r="N182" s="267">
        <f>+เม.ย.!N181+พ.ค.!N181+มิ.ย.!N181</f>
        <v>0</v>
      </c>
      <c r="O182" s="267">
        <f>+เม.ย.!O181+พ.ค.!O181+มิ.ย.!O181</f>
        <v>0</v>
      </c>
      <c r="P182" s="267">
        <f>+เม.ย.!P181+พ.ค.!P181+มิ.ย.!P181</f>
        <v>0</v>
      </c>
      <c r="Q182" s="267">
        <f>+เม.ย.!Q181+พ.ค.!Q181+มิ.ย.!Q181</f>
        <v>0</v>
      </c>
      <c r="R182" s="267">
        <f>+เม.ย.!R181+พ.ค.!R181+มิ.ย.!R181</f>
        <v>0</v>
      </c>
      <c r="S182" s="267">
        <f>+เม.ย.!S181+พ.ค.!S181+มิ.ย.!S181</f>
        <v>0</v>
      </c>
      <c r="T182" s="267"/>
      <c r="U182" s="267">
        <f>+เม.ย.!U181+พ.ค.!U181+มิ.ย.!U181</f>
        <v>0</v>
      </c>
      <c r="V182" s="267">
        <f>+เม.ย.!V181+พ.ค.!V181+มิ.ย.!V181</f>
        <v>0</v>
      </c>
    </row>
    <row r="183" spans="1:23" ht="25.5" customHeight="1">
      <c r="A183" s="9"/>
      <c r="B183" s="130" t="s">
        <v>13</v>
      </c>
      <c r="C183" s="216">
        <v>15000</v>
      </c>
      <c r="D183" s="131"/>
      <c r="E183" s="267">
        <f>+เม.ย.!E182+พ.ค.!E182+มิ.ย.!E182</f>
        <v>0</v>
      </c>
      <c r="F183" s="267">
        <f>+เม.ย.!F182+พ.ค.!F182+มิ.ย.!F182</f>
        <v>0</v>
      </c>
      <c r="G183" s="267">
        <f>+เม.ย.!G182+พ.ค.!G182+มิ.ย.!G182</f>
        <v>0</v>
      </c>
      <c r="H183" s="267">
        <f>+เม.ย.!H182+พ.ค.!H182+มิ.ย.!H182</f>
        <v>0</v>
      </c>
      <c r="I183" s="267">
        <f>+เม.ย.!I182+พ.ค.!I182+มิ.ย.!I182</f>
        <v>0</v>
      </c>
      <c r="J183" s="267">
        <f>+เม.ย.!J182+พ.ค.!J182+มิ.ย.!J182</f>
        <v>0</v>
      </c>
      <c r="K183" s="267">
        <f>+เม.ย.!K182+พ.ค.!K182+มิ.ย.!K182</f>
        <v>0</v>
      </c>
      <c r="L183" s="267">
        <f>+เม.ย.!L182+พ.ค.!L182+มิ.ย.!L182</f>
        <v>0</v>
      </c>
      <c r="M183" s="267">
        <f>+เม.ย.!M182+พ.ค.!M182+มิ.ย.!M182</f>
        <v>0</v>
      </c>
      <c r="N183" s="267">
        <f>+เม.ย.!N182+พ.ค.!N182+มิ.ย.!N182</f>
        <v>0</v>
      </c>
      <c r="O183" s="267">
        <f>+เม.ย.!O182+พ.ค.!O182+มิ.ย.!O182</f>
        <v>0</v>
      </c>
      <c r="P183" s="267">
        <f>+เม.ย.!P182+พ.ค.!P182+มิ.ย.!P182</f>
        <v>0</v>
      </c>
      <c r="Q183" s="267">
        <f>+เม.ย.!Q182+พ.ค.!Q182+มิ.ย.!Q182</f>
        <v>0</v>
      </c>
      <c r="R183" s="267">
        <f>+เม.ย.!R182+พ.ค.!R182+มิ.ย.!R182</f>
        <v>0</v>
      </c>
      <c r="S183" s="267">
        <f>+เม.ย.!S182+พ.ค.!S182+มิ.ย.!S182</f>
        <v>0</v>
      </c>
      <c r="T183" s="267"/>
      <c r="U183" s="267">
        <f>+เม.ย.!U182+พ.ค.!U182+มิ.ย.!U182</f>
        <v>0</v>
      </c>
      <c r="V183" s="267">
        <f>+เม.ย.!V182+พ.ค.!V182+มิ.ย.!V182</f>
        <v>0</v>
      </c>
    </row>
    <row r="184" spans="1:23" ht="25.5" customHeight="1">
      <c r="A184" s="9"/>
      <c r="B184" s="130" t="s">
        <v>14</v>
      </c>
      <c r="C184" s="216">
        <f>240000+5000+20000</f>
        <v>265000</v>
      </c>
      <c r="D184" s="133"/>
      <c r="E184" s="267">
        <f>+เม.ย.!E183+พ.ค.!E183+มิ.ย.!E183</f>
        <v>60689.56</v>
      </c>
      <c r="F184" s="267">
        <f>+เม.ย.!F183+พ.ค.!F183+มิ.ย.!F183</f>
        <v>181.8</v>
      </c>
      <c r="G184" s="267">
        <f>+เม.ย.!G183+พ.ค.!G183+มิ.ย.!G183</f>
        <v>0</v>
      </c>
      <c r="H184" s="267">
        <f>+เม.ย.!H183+พ.ค.!H183+มิ.ย.!H183</f>
        <v>0</v>
      </c>
      <c r="I184" s="267">
        <f>+เม.ย.!I183+พ.ค.!I183+มิ.ย.!I183</f>
        <v>0</v>
      </c>
      <c r="J184" s="267">
        <f>+เม.ย.!J183+พ.ค.!J183+มิ.ย.!J183</f>
        <v>0</v>
      </c>
      <c r="K184" s="267">
        <f>+เม.ย.!K183+พ.ค.!K183+มิ.ย.!K183</f>
        <v>0</v>
      </c>
      <c r="L184" s="267">
        <f>+เม.ย.!L183+พ.ค.!L183+มิ.ย.!L183</f>
        <v>0</v>
      </c>
      <c r="M184" s="267">
        <f>+เม.ย.!M183+พ.ค.!M183+มิ.ย.!M183</f>
        <v>1534.25</v>
      </c>
      <c r="N184" s="267">
        <f>+เม.ย.!N183+พ.ค.!N183+มิ.ย.!N183</f>
        <v>0</v>
      </c>
      <c r="O184" s="267">
        <f>+เม.ย.!O183+พ.ค.!O183+มิ.ย.!O183</f>
        <v>0</v>
      </c>
      <c r="P184" s="267">
        <f>+เม.ย.!P183+พ.ค.!P183+มิ.ย.!P183</f>
        <v>0</v>
      </c>
      <c r="Q184" s="267">
        <f>+เม.ย.!Q183+พ.ค.!Q183+มิ.ย.!Q183</f>
        <v>0</v>
      </c>
      <c r="R184" s="267">
        <f>+เม.ย.!R183+พ.ค.!R183+มิ.ย.!R183</f>
        <v>0</v>
      </c>
      <c r="S184" s="267">
        <f>+เม.ย.!S183+พ.ค.!S183+มิ.ย.!S183</f>
        <v>0</v>
      </c>
      <c r="T184" s="267"/>
      <c r="U184" s="267">
        <f>+เม.ย.!U183+พ.ค.!U183+มิ.ย.!U183</f>
        <v>0</v>
      </c>
      <c r="V184" s="267">
        <f>+เม.ย.!V183+พ.ค.!V183+มิ.ย.!V183</f>
        <v>0</v>
      </c>
    </row>
    <row r="185" spans="1:23" ht="25.5" customHeight="1">
      <c r="A185" s="9"/>
      <c r="B185" s="130" t="s">
        <v>112</v>
      </c>
      <c r="C185" s="216">
        <f>5000+5000+5000-5000</f>
        <v>10000</v>
      </c>
      <c r="D185" s="133"/>
      <c r="E185" s="267">
        <f>+เม.ย.!E184+พ.ค.!E184+มิ.ย.!E184</f>
        <v>0</v>
      </c>
      <c r="F185" s="267">
        <f>+เม.ย.!F184+พ.ค.!F184+มิ.ย.!F184</f>
        <v>0</v>
      </c>
      <c r="G185" s="267">
        <f>+เม.ย.!G184+พ.ค.!G184+มิ.ย.!G184</f>
        <v>0</v>
      </c>
      <c r="H185" s="267">
        <f>+เม.ย.!H184+พ.ค.!H184+มิ.ย.!H184</f>
        <v>0</v>
      </c>
      <c r="I185" s="267">
        <f>+เม.ย.!I184+พ.ค.!I184+มิ.ย.!I184</f>
        <v>0</v>
      </c>
      <c r="J185" s="267">
        <f>+เม.ย.!J184+พ.ค.!J184+มิ.ย.!J184</f>
        <v>0</v>
      </c>
      <c r="K185" s="267">
        <f>+เม.ย.!K184+พ.ค.!K184+มิ.ย.!K184</f>
        <v>0</v>
      </c>
      <c r="L185" s="267">
        <f>+เม.ย.!L184+พ.ค.!L184+มิ.ย.!L184</f>
        <v>0</v>
      </c>
      <c r="M185" s="267">
        <f>+เม.ย.!M184+พ.ค.!M184+มิ.ย.!M184</f>
        <v>0</v>
      </c>
      <c r="N185" s="267">
        <f>+เม.ย.!N184+พ.ค.!N184+มิ.ย.!N184</f>
        <v>0</v>
      </c>
      <c r="O185" s="267">
        <f>+เม.ย.!O184+พ.ค.!O184+มิ.ย.!O184</f>
        <v>0</v>
      </c>
      <c r="P185" s="267">
        <f>+เม.ย.!P184+พ.ค.!P184+มิ.ย.!P184</f>
        <v>0</v>
      </c>
      <c r="Q185" s="267">
        <f>+เม.ย.!Q184+พ.ค.!Q184+มิ.ย.!Q184</f>
        <v>0</v>
      </c>
      <c r="R185" s="267">
        <f>+เม.ย.!R184+พ.ค.!R184+มิ.ย.!R184</f>
        <v>0</v>
      </c>
      <c r="S185" s="267">
        <f>+เม.ย.!S184+พ.ค.!S184+มิ.ย.!S184</f>
        <v>0</v>
      </c>
      <c r="T185" s="267"/>
      <c r="U185" s="267">
        <f>+เม.ย.!U184+พ.ค.!U184+มิ.ย.!U184</f>
        <v>0</v>
      </c>
      <c r="V185" s="267">
        <f>+เม.ย.!V184+พ.ค.!V184+มิ.ย.!V184</f>
        <v>0</v>
      </c>
    </row>
    <row r="186" spans="1:23" ht="25.5" customHeight="1">
      <c r="A186" s="9"/>
      <c r="B186" s="130" t="s">
        <v>208</v>
      </c>
      <c r="C186" s="216">
        <v>5000</v>
      </c>
      <c r="D186" s="133"/>
      <c r="E186" s="267">
        <f>+เม.ย.!E185+พ.ค.!E185+มิ.ย.!E185</f>
        <v>0</v>
      </c>
      <c r="F186" s="267">
        <f>+เม.ย.!F185+พ.ค.!F185+มิ.ย.!F185</f>
        <v>0</v>
      </c>
      <c r="G186" s="267">
        <f>+เม.ย.!G185+พ.ค.!G185+มิ.ย.!G185</f>
        <v>0</v>
      </c>
      <c r="H186" s="267">
        <f>+เม.ย.!H185+พ.ค.!H185+มิ.ย.!H185</f>
        <v>0</v>
      </c>
      <c r="I186" s="267">
        <f>+เม.ย.!I185+พ.ค.!I185+มิ.ย.!I185</f>
        <v>0</v>
      </c>
      <c r="J186" s="267">
        <f>+เม.ย.!J185+พ.ค.!J185+มิ.ย.!J185</f>
        <v>0</v>
      </c>
      <c r="K186" s="267">
        <f>+เม.ย.!K185+พ.ค.!K185+มิ.ย.!K185</f>
        <v>0</v>
      </c>
      <c r="L186" s="267">
        <f>+เม.ย.!L185+พ.ค.!L185+มิ.ย.!L185</f>
        <v>0</v>
      </c>
      <c r="M186" s="267">
        <f>+เม.ย.!M185+พ.ค.!M185+มิ.ย.!M185</f>
        <v>0</v>
      </c>
      <c r="N186" s="267">
        <f>+เม.ย.!N185+พ.ค.!N185+มิ.ย.!N185</f>
        <v>0</v>
      </c>
      <c r="O186" s="267">
        <f>+เม.ย.!O185+พ.ค.!O185+มิ.ย.!O185</f>
        <v>0</v>
      </c>
      <c r="P186" s="267">
        <f>+เม.ย.!P185+พ.ค.!P185+มิ.ย.!P185</f>
        <v>0</v>
      </c>
      <c r="Q186" s="267">
        <f>+เม.ย.!Q185+พ.ค.!Q185+มิ.ย.!Q185</f>
        <v>0</v>
      </c>
      <c r="R186" s="267">
        <f>+เม.ย.!R185+พ.ค.!R185+มิ.ย.!R185</f>
        <v>0</v>
      </c>
      <c r="S186" s="267">
        <f>+เม.ย.!S185+พ.ค.!S185+มิ.ย.!S185</f>
        <v>0</v>
      </c>
      <c r="T186" s="267"/>
      <c r="U186" s="267">
        <f>+เม.ย.!U185+พ.ค.!U185+มิ.ย.!U185</f>
        <v>0</v>
      </c>
      <c r="V186" s="267">
        <f>+เม.ย.!V185+พ.ค.!V185+มิ.ย.!V185</f>
        <v>0</v>
      </c>
    </row>
    <row r="187" spans="1:23" ht="25.5" customHeight="1">
      <c r="A187" s="9"/>
      <c r="B187" s="130" t="s">
        <v>15</v>
      </c>
      <c r="C187" s="216">
        <f>40000+15000+15000+40000+40000+15000</f>
        <v>165000</v>
      </c>
      <c r="D187" s="195"/>
      <c r="E187" s="267">
        <f>+เม.ย.!E186+พ.ค.!E186+มิ.ย.!E186</f>
        <v>21220</v>
      </c>
      <c r="F187" s="267">
        <f>+เม.ย.!F186+พ.ค.!F186+มิ.ย.!F186</f>
        <v>0</v>
      </c>
      <c r="G187" s="267">
        <f>+เม.ย.!G186+พ.ค.!G186+มิ.ย.!G186</f>
        <v>0</v>
      </c>
      <c r="H187" s="267">
        <f>+เม.ย.!H186+พ.ค.!H186+มิ.ย.!H186</f>
        <v>9020</v>
      </c>
      <c r="I187" s="267">
        <f>+เม.ย.!I186+พ.ค.!I186+มิ.ย.!I186</f>
        <v>0</v>
      </c>
      <c r="J187" s="267">
        <f>+เม.ย.!J186+พ.ค.!J186+มิ.ย.!J186</f>
        <v>0</v>
      </c>
      <c r="K187" s="267">
        <f>+เม.ย.!K186+พ.ค.!K186+มิ.ย.!K186</f>
        <v>0</v>
      </c>
      <c r="L187" s="267">
        <f>+เม.ย.!L186+พ.ค.!L186+มิ.ย.!L186</f>
        <v>0</v>
      </c>
      <c r="M187" s="267">
        <f>+เม.ย.!M186+พ.ค.!M186+มิ.ย.!M186</f>
        <v>36900</v>
      </c>
      <c r="N187" s="267">
        <f>+เม.ย.!N186+พ.ค.!N186+มิ.ย.!N186</f>
        <v>0</v>
      </c>
      <c r="O187" s="267">
        <f>+เม.ย.!O186+พ.ค.!O186+มิ.ย.!O186</f>
        <v>0</v>
      </c>
      <c r="P187" s="267">
        <f>+เม.ย.!P186+พ.ค.!P186+มิ.ย.!P186</f>
        <v>0</v>
      </c>
      <c r="Q187" s="267">
        <f>+เม.ย.!Q186+พ.ค.!Q186+มิ.ย.!Q186</f>
        <v>0</v>
      </c>
      <c r="R187" s="267">
        <f>+เม.ย.!R186+พ.ค.!R186+มิ.ย.!R186</f>
        <v>0</v>
      </c>
      <c r="S187" s="267">
        <f>+เม.ย.!S186+พ.ค.!S186+มิ.ย.!S186</f>
        <v>0</v>
      </c>
      <c r="T187" s="267"/>
      <c r="U187" s="267">
        <f>+เม.ย.!U186+พ.ค.!U186+มิ.ย.!U186</f>
        <v>0</v>
      </c>
      <c r="V187" s="267">
        <f>+เม.ย.!V186+พ.ค.!V186+มิ.ย.!V186</f>
        <v>0</v>
      </c>
    </row>
    <row r="188" spans="1:23" ht="25.5" customHeight="1">
      <c r="A188" s="9"/>
      <c r="B188" s="130" t="s">
        <v>303</v>
      </c>
      <c r="C188" s="216">
        <v>10000</v>
      </c>
      <c r="D188" s="195"/>
      <c r="E188" s="267">
        <f>+เม.ย.!E187+พ.ค.!E187+มิ.ย.!E187</f>
        <v>0</v>
      </c>
      <c r="F188" s="267">
        <f>+เม.ย.!F187+พ.ค.!F187+มิ.ย.!F187</f>
        <v>0</v>
      </c>
      <c r="G188" s="267">
        <f>+เม.ย.!G187+พ.ค.!G187+มิ.ย.!G187</f>
        <v>0</v>
      </c>
      <c r="H188" s="267">
        <f>+เม.ย.!H187+พ.ค.!H187+มิ.ย.!H187</f>
        <v>0</v>
      </c>
      <c r="I188" s="267">
        <f>+เม.ย.!I187+พ.ค.!I187+มิ.ย.!I187</f>
        <v>0</v>
      </c>
      <c r="J188" s="267">
        <f>+เม.ย.!J187+พ.ค.!J187+มิ.ย.!J187</f>
        <v>0</v>
      </c>
      <c r="K188" s="267">
        <f>+เม.ย.!K187+พ.ค.!K187+มิ.ย.!K187</f>
        <v>0</v>
      </c>
      <c r="L188" s="267">
        <f>+เม.ย.!L187+พ.ค.!L187+มิ.ย.!L187</f>
        <v>0</v>
      </c>
      <c r="M188" s="267">
        <f>+เม.ย.!M187+พ.ค.!M187+มิ.ย.!M187</f>
        <v>0</v>
      </c>
      <c r="N188" s="267">
        <f>+เม.ย.!N187+พ.ค.!N187+มิ.ย.!N187</f>
        <v>0</v>
      </c>
      <c r="O188" s="267">
        <f>+เม.ย.!O187+พ.ค.!O187+มิ.ย.!O187</f>
        <v>0</v>
      </c>
      <c r="P188" s="267">
        <f>+เม.ย.!P187+พ.ค.!P187+มิ.ย.!P187</f>
        <v>0</v>
      </c>
      <c r="Q188" s="267">
        <f>+เม.ย.!Q187+พ.ค.!Q187+มิ.ย.!Q187</f>
        <v>0</v>
      </c>
      <c r="R188" s="267">
        <f>+เม.ย.!R187+พ.ค.!R187+มิ.ย.!R187</f>
        <v>0</v>
      </c>
      <c r="S188" s="267">
        <f>+เม.ย.!S187+พ.ค.!S187+มิ.ย.!S187</f>
        <v>0</v>
      </c>
      <c r="T188" s="267"/>
      <c r="U188" s="267">
        <f>+เม.ย.!U187+พ.ค.!U187+มิ.ย.!U187</f>
        <v>0</v>
      </c>
      <c r="V188" s="267">
        <f>+เม.ย.!V187+พ.ค.!V187+มิ.ย.!V187</f>
        <v>0</v>
      </c>
    </row>
    <row r="189" spans="1:23" ht="25.5" customHeight="1">
      <c r="A189" s="9"/>
      <c r="B189" s="130" t="s">
        <v>304</v>
      </c>
      <c r="C189" s="216">
        <f>5000+20000</f>
        <v>25000</v>
      </c>
      <c r="D189" s="195"/>
      <c r="E189" s="267">
        <f>+เม.ย.!E188+พ.ค.!E188+มิ.ย.!E188</f>
        <v>0</v>
      </c>
      <c r="F189" s="267">
        <f>+เม.ย.!F188+พ.ค.!F188+มิ.ย.!F188</f>
        <v>0</v>
      </c>
      <c r="G189" s="267">
        <f>+เม.ย.!G188+พ.ค.!G188+มิ.ย.!G188</f>
        <v>0</v>
      </c>
      <c r="H189" s="267">
        <f>+เม.ย.!H188+พ.ค.!H188+มิ.ย.!H188</f>
        <v>0</v>
      </c>
      <c r="I189" s="267">
        <f>+เม.ย.!I188+พ.ค.!I188+มิ.ย.!I188</f>
        <v>0</v>
      </c>
      <c r="J189" s="267">
        <f>+เม.ย.!J188+พ.ค.!J188+มิ.ย.!J188</f>
        <v>0</v>
      </c>
      <c r="K189" s="267">
        <f>+เม.ย.!K188+พ.ค.!K188+มิ.ย.!K188</f>
        <v>0</v>
      </c>
      <c r="L189" s="267">
        <f>+เม.ย.!L188+พ.ค.!L188+มิ.ย.!L188</f>
        <v>0</v>
      </c>
      <c r="M189" s="267">
        <f>+เม.ย.!M188+พ.ค.!M188+มิ.ย.!M188</f>
        <v>0</v>
      </c>
      <c r="N189" s="267">
        <f>+เม.ย.!N188+พ.ค.!N188+มิ.ย.!N188</f>
        <v>0</v>
      </c>
      <c r="O189" s="267">
        <f>+เม.ย.!O188+พ.ค.!O188+มิ.ย.!O188</f>
        <v>0</v>
      </c>
      <c r="P189" s="267">
        <f>+เม.ย.!P188+พ.ค.!P188+มิ.ย.!P188</f>
        <v>0</v>
      </c>
      <c r="Q189" s="267">
        <f>+เม.ย.!Q188+พ.ค.!Q188+มิ.ย.!Q188</f>
        <v>0</v>
      </c>
      <c r="R189" s="267">
        <f>+เม.ย.!R188+พ.ค.!R188+มิ.ย.!R188</f>
        <v>0</v>
      </c>
      <c r="S189" s="267">
        <f>+เม.ย.!S188+พ.ค.!S188+มิ.ย.!S188</f>
        <v>0</v>
      </c>
      <c r="T189" s="267"/>
      <c r="U189" s="267">
        <f>+เม.ย.!U188+พ.ค.!U188+มิ.ย.!U188</f>
        <v>0</v>
      </c>
      <c r="V189" s="267">
        <f>+เม.ย.!V188+พ.ค.!V188+มิ.ย.!V188</f>
        <v>0</v>
      </c>
    </row>
    <row r="190" spans="1:23" ht="25.5" customHeight="1">
      <c r="A190" s="9"/>
      <c r="B190" s="130" t="s">
        <v>332</v>
      </c>
      <c r="C190" s="216">
        <v>10000</v>
      </c>
      <c r="D190" s="195"/>
      <c r="E190" s="267">
        <f>+เม.ย.!E189+พ.ค.!E189+มิ.ย.!E189</f>
        <v>0</v>
      </c>
      <c r="F190" s="267">
        <f>+เม.ย.!F189+พ.ค.!F189+มิ.ย.!F189</f>
        <v>0</v>
      </c>
      <c r="G190" s="267">
        <f>+เม.ย.!G189+พ.ค.!G189+มิ.ย.!G189</f>
        <v>0</v>
      </c>
      <c r="H190" s="267">
        <f>+เม.ย.!H189+พ.ค.!H189+มิ.ย.!H189</f>
        <v>0</v>
      </c>
      <c r="I190" s="267">
        <f>+เม.ย.!I189+พ.ค.!I189+มิ.ย.!I189</f>
        <v>0</v>
      </c>
      <c r="J190" s="267">
        <f>+เม.ย.!J189+พ.ค.!J189+มิ.ย.!J189</f>
        <v>0</v>
      </c>
      <c r="K190" s="267">
        <f>+เม.ย.!K189+พ.ค.!K189+มิ.ย.!K189</f>
        <v>0</v>
      </c>
      <c r="L190" s="267">
        <f>+เม.ย.!L189+พ.ค.!L189+มิ.ย.!L189</f>
        <v>0</v>
      </c>
      <c r="M190" s="267">
        <f>+เม.ย.!M189+พ.ค.!M189+มิ.ย.!M189</f>
        <v>0</v>
      </c>
      <c r="N190" s="267">
        <f>+เม.ย.!N189+พ.ค.!N189+มิ.ย.!N189</f>
        <v>0</v>
      </c>
      <c r="O190" s="267">
        <f>+เม.ย.!O189+พ.ค.!O189+มิ.ย.!O189</f>
        <v>0</v>
      </c>
      <c r="P190" s="267">
        <f>+เม.ย.!P189+พ.ค.!P189+มิ.ย.!P189</f>
        <v>0</v>
      </c>
      <c r="Q190" s="267">
        <f>+เม.ย.!Q189+พ.ค.!Q189+มิ.ย.!Q189</f>
        <v>0</v>
      </c>
      <c r="R190" s="267">
        <f>+เม.ย.!R189+พ.ค.!R189+มิ.ย.!R189</f>
        <v>0</v>
      </c>
      <c r="S190" s="267">
        <f>+เม.ย.!S189+พ.ค.!S189+มิ.ย.!S189</f>
        <v>0</v>
      </c>
      <c r="T190" s="267"/>
      <c r="U190" s="267">
        <f>+เม.ย.!U189+พ.ค.!U189+มิ.ย.!U189</f>
        <v>0</v>
      </c>
      <c r="V190" s="267">
        <f>+เม.ย.!V189+พ.ค.!V189+มิ.ย.!V189</f>
        <v>0</v>
      </c>
    </row>
    <row r="191" spans="1:23" ht="25.5" customHeight="1">
      <c r="A191" s="9"/>
      <c r="B191" s="130" t="s">
        <v>46</v>
      </c>
      <c r="C191" s="216">
        <v>80000</v>
      </c>
      <c r="D191" s="195"/>
      <c r="E191" s="267">
        <f>+เม.ย.!E190+พ.ค.!E190+มิ.ย.!E190</f>
        <v>0</v>
      </c>
      <c r="F191" s="267">
        <f>+เม.ย.!F190+พ.ค.!F190+มิ.ย.!F190</f>
        <v>0</v>
      </c>
      <c r="G191" s="267">
        <f>+เม.ย.!G190+พ.ค.!G190+มิ.ย.!G190</f>
        <v>0</v>
      </c>
      <c r="H191" s="267">
        <f>+เม.ย.!H190+พ.ค.!H190+มิ.ย.!H190</f>
        <v>0</v>
      </c>
      <c r="I191" s="267">
        <f>+เม.ย.!I190+พ.ค.!I190+มิ.ย.!I190</f>
        <v>0</v>
      </c>
      <c r="J191" s="267">
        <f>+เม.ย.!J190+พ.ค.!J190+มิ.ย.!J190</f>
        <v>0</v>
      </c>
      <c r="K191" s="267">
        <f>+เม.ย.!K190+พ.ค.!K190+มิ.ย.!K190</f>
        <v>0</v>
      </c>
      <c r="L191" s="267">
        <f>+เม.ย.!L190+พ.ค.!L190+มิ.ย.!L190</f>
        <v>0</v>
      </c>
      <c r="M191" s="267">
        <f>+เม.ย.!M190+พ.ค.!M190+มิ.ย.!M190</f>
        <v>0</v>
      </c>
      <c r="N191" s="267">
        <f>+เม.ย.!N190+พ.ค.!N190+มิ.ย.!N190</f>
        <v>0</v>
      </c>
      <c r="O191" s="267">
        <f>+เม.ย.!O190+พ.ค.!O190+มิ.ย.!O190</f>
        <v>0</v>
      </c>
      <c r="P191" s="267">
        <f>+เม.ย.!P190+พ.ค.!P190+มิ.ย.!P190</f>
        <v>0</v>
      </c>
      <c r="Q191" s="267">
        <f>+เม.ย.!Q190+พ.ค.!Q190+มิ.ย.!Q190</f>
        <v>0</v>
      </c>
      <c r="R191" s="267">
        <f>+เม.ย.!R190+พ.ค.!R190+มิ.ย.!R190</f>
        <v>65658</v>
      </c>
      <c r="S191" s="267">
        <f>+เม.ย.!S190+พ.ค.!S190+มิ.ย.!S190</f>
        <v>0</v>
      </c>
      <c r="T191" s="267"/>
      <c r="U191" s="267">
        <f>+เม.ย.!U190+พ.ค.!U190+มิ.ย.!U190</f>
        <v>0</v>
      </c>
      <c r="V191" s="267">
        <f>+เม.ย.!V190+พ.ค.!V190+มิ.ย.!V190</f>
        <v>0</v>
      </c>
    </row>
    <row r="192" spans="1:23" ht="25.5" customHeight="1">
      <c r="A192" s="9"/>
      <c r="B192" s="130" t="s">
        <v>316</v>
      </c>
      <c r="C192" s="216">
        <v>1216788</v>
      </c>
      <c r="D192" s="131"/>
      <c r="E192" s="267">
        <f>+เม.ย.!E191+พ.ค.!E191+มิ.ย.!E191</f>
        <v>0</v>
      </c>
      <c r="F192" s="267">
        <f>+เม.ย.!F191+พ.ค.!F191+มิ.ย.!F191</f>
        <v>0</v>
      </c>
      <c r="G192" s="267">
        <f>+เม.ย.!G191+พ.ค.!G191+มิ.ย.!G191</f>
        <v>0</v>
      </c>
      <c r="H192" s="267">
        <f>+เม.ย.!H191+พ.ค.!H191+มิ.ย.!H191</f>
        <v>0</v>
      </c>
      <c r="I192" s="267">
        <f>+เม.ย.!I191+พ.ค.!I191+มิ.ย.!I191</f>
        <v>248460.79999999999</v>
      </c>
      <c r="J192" s="267">
        <f>+เม.ย.!J191+พ.ค.!J191+มิ.ย.!J191</f>
        <v>0</v>
      </c>
      <c r="K192" s="267">
        <f>+เม.ย.!K191+พ.ค.!K191+มิ.ย.!K191</f>
        <v>0</v>
      </c>
      <c r="L192" s="267">
        <f>+เม.ย.!L191+พ.ค.!L191+มิ.ย.!L191</f>
        <v>0</v>
      </c>
      <c r="M192" s="267">
        <f>+เม.ย.!M191+พ.ค.!M191+มิ.ย.!M191</f>
        <v>0</v>
      </c>
      <c r="N192" s="267">
        <f>+เม.ย.!N191+พ.ค.!N191+มิ.ย.!N191</f>
        <v>0</v>
      </c>
      <c r="O192" s="267">
        <f>+เม.ย.!O191+พ.ค.!O191+มิ.ย.!O191</f>
        <v>0</v>
      </c>
      <c r="P192" s="267">
        <f>+เม.ย.!P191+พ.ค.!P191+มิ.ย.!P191</f>
        <v>0</v>
      </c>
      <c r="Q192" s="267">
        <f>+เม.ย.!Q191+พ.ค.!Q191+มิ.ย.!Q191</f>
        <v>0</v>
      </c>
      <c r="R192" s="267">
        <f>+เม.ย.!R191+พ.ค.!R191+มิ.ย.!R191</f>
        <v>0</v>
      </c>
      <c r="S192" s="267">
        <f>+เม.ย.!S191+พ.ค.!S191+มิ.ย.!S191</f>
        <v>0</v>
      </c>
      <c r="T192" s="267"/>
      <c r="U192" s="267">
        <f>+เม.ย.!U191+พ.ค.!U191+มิ.ย.!U191</f>
        <v>0</v>
      </c>
      <c r="V192" s="267">
        <f>+เม.ย.!V191+พ.ค.!V191+มิ.ย.!V191</f>
        <v>0</v>
      </c>
    </row>
    <row r="193" spans="1:23" ht="25.5" customHeight="1">
      <c r="A193" s="9"/>
      <c r="B193" s="130" t="s">
        <v>317</v>
      </c>
      <c r="C193" s="290">
        <v>0</v>
      </c>
      <c r="D193" s="133"/>
      <c r="E193" s="267">
        <f>+เม.ย.!E192+พ.ค.!E192+มิ.ย.!E192</f>
        <v>0</v>
      </c>
      <c r="F193" s="267">
        <f>+เม.ย.!F192+พ.ค.!F192+มิ.ย.!F192</f>
        <v>0</v>
      </c>
      <c r="G193" s="267">
        <f>+เม.ย.!G192+พ.ค.!G192+มิ.ย.!G192</f>
        <v>0</v>
      </c>
      <c r="H193" s="267">
        <f>+เม.ย.!H192+พ.ค.!H192+มิ.ย.!H192</f>
        <v>0</v>
      </c>
      <c r="I193" s="267">
        <f>+เม.ย.!I192+พ.ค.!I192+มิ.ย.!I192</f>
        <v>0</v>
      </c>
      <c r="J193" s="267">
        <f>+เม.ย.!J192+พ.ค.!J192+มิ.ย.!J192</f>
        <v>0</v>
      </c>
      <c r="K193" s="267">
        <f>+เม.ย.!K192+พ.ค.!K192+มิ.ย.!K192</f>
        <v>0</v>
      </c>
      <c r="L193" s="267">
        <f>+เม.ย.!L192+พ.ค.!L192+มิ.ย.!L192</f>
        <v>0</v>
      </c>
      <c r="M193" s="267">
        <f>+เม.ย.!M192+พ.ค.!M192+มิ.ย.!M192</f>
        <v>0</v>
      </c>
      <c r="N193" s="267">
        <f>+เม.ย.!N192+พ.ค.!N192+มิ.ย.!N192</f>
        <v>0</v>
      </c>
      <c r="O193" s="267">
        <f>+เม.ย.!O192+พ.ค.!O192+มิ.ย.!O192</f>
        <v>0</v>
      </c>
      <c r="P193" s="267">
        <f>+เม.ย.!P192+พ.ค.!P192+มิ.ย.!P192</f>
        <v>0</v>
      </c>
      <c r="Q193" s="267">
        <f>+เม.ย.!Q192+พ.ค.!Q192+มิ.ย.!Q192</f>
        <v>0</v>
      </c>
      <c r="R193" s="267">
        <f>+เม.ย.!R192+พ.ค.!R192+มิ.ย.!R192</f>
        <v>0</v>
      </c>
      <c r="S193" s="267">
        <f>+เม.ย.!S192+พ.ค.!S192+มิ.ย.!S192</f>
        <v>0</v>
      </c>
      <c r="T193" s="267"/>
      <c r="U193" s="267">
        <f>+เม.ย.!U192+พ.ค.!U192+มิ.ย.!U192</f>
        <v>0</v>
      </c>
      <c r="V193" s="267">
        <f>+เม.ย.!V192+พ.ค.!V192+มิ.ย.!V192</f>
        <v>0</v>
      </c>
    </row>
    <row r="194" spans="1:23" ht="25.5" customHeight="1">
      <c r="A194" s="9"/>
      <c r="B194" s="130" t="s">
        <v>318</v>
      </c>
      <c r="C194" s="216">
        <v>0</v>
      </c>
      <c r="D194" s="133"/>
      <c r="E194" s="267">
        <f>+เม.ย.!E193+พ.ค.!E193+มิ.ย.!E193</f>
        <v>0</v>
      </c>
      <c r="F194" s="267">
        <f>+เม.ย.!F193+พ.ค.!F193+มิ.ย.!F193</f>
        <v>0</v>
      </c>
      <c r="G194" s="267">
        <f>+เม.ย.!G193+พ.ค.!G193+มิ.ย.!G193</f>
        <v>0</v>
      </c>
      <c r="H194" s="267">
        <f>+เม.ย.!H193+พ.ค.!H193+มิ.ย.!H193</f>
        <v>0</v>
      </c>
      <c r="I194" s="267">
        <f>+เม.ย.!I193+พ.ค.!I193+มิ.ย.!I193</f>
        <v>0</v>
      </c>
      <c r="J194" s="267">
        <f>+เม.ย.!J193+พ.ค.!J193+มิ.ย.!J193</f>
        <v>0</v>
      </c>
      <c r="K194" s="267">
        <f>+เม.ย.!K193+พ.ค.!K193+มิ.ย.!K193</f>
        <v>0</v>
      </c>
      <c r="L194" s="267">
        <f>+เม.ย.!L193+พ.ค.!L193+มิ.ย.!L193</f>
        <v>0</v>
      </c>
      <c r="M194" s="267">
        <f>+เม.ย.!M193+พ.ค.!M193+มิ.ย.!M193</f>
        <v>0</v>
      </c>
      <c r="N194" s="267">
        <f>+เม.ย.!N193+พ.ค.!N193+มิ.ย.!N193</f>
        <v>0</v>
      </c>
      <c r="O194" s="267">
        <f>+เม.ย.!O193+พ.ค.!O193+มิ.ย.!O193</f>
        <v>0</v>
      </c>
      <c r="P194" s="267">
        <f>+เม.ย.!P193+พ.ค.!P193+มิ.ย.!P193</f>
        <v>0</v>
      </c>
      <c r="Q194" s="267">
        <f>+เม.ย.!Q193+พ.ค.!Q193+มิ.ย.!Q193</f>
        <v>0</v>
      </c>
      <c r="R194" s="267">
        <f>+เม.ย.!R193+พ.ค.!R193+มิ.ย.!R193</f>
        <v>0</v>
      </c>
      <c r="S194" s="267">
        <f>+เม.ย.!S193+พ.ค.!S193+มิ.ย.!S193</f>
        <v>0</v>
      </c>
      <c r="T194" s="267"/>
      <c r="U194" s="267">
        <f>+เม.ย.!U193+พ.ค.!U193+มิ.ย.!U193</f>
        <v>0</v>
      </c>
      <c r="V194" s="267">
        <f>+เม.ย.!V193+พ.ค.!V193+มิ.ย.!V193</f>
        <v>0</v>
      </c>
    </row>
    <row r="195" spans="1:23" ht="25.5" customHeight="1">
      <c r="A195" s="9"/>
      <c r="B195" s="185" t="s">
        <v>319</v>
      </c>
      <c r="C195" s="216">
        <v>153296</v>
      </c>
      <c r="D195" s="133"/>
      <c r="E195" s="267">
        <f>+เม.ย.!E194+พ.ค.!E194+มิ.ย.!E194</f>
        <v>0</v>
      </c>
      <c r="F195" s="267">
        <f>+เม.ย.!F194+พ.ค.!F194+มิ.ย.!F194</f>
        <v>0</v>
      </c>
      <c r="G195" s="267">
        <f>+เม.ย.!G194+พ.ค.!G194+มิ.ย.!G194</f>
        <v>0</v>
      </c>
      <c r="H195" s="267">
        <f>+เม.ย.!H194+พ.ค.!H194+มิ.ย.!H194</f>
        <v>0</v>
      </c>
      <c r="I195" s="267">
        <f>+เม.ย.!I194+พ.ค.!I194+มิ.ย.!I194</f>
        <v>78420.44</v>
      </c>
      <c r="J195" s="267">
        <f>+เม.ย.!J194+พ.ค.!J194+มิ.ย.!J194</f>
        <v>0</v>
      </c>
      <c r="K195" s="267">
        <f>+เม.ย.!K194+พ.ค.!K194+มิ.ย.!K194</f>
        <v>0</v>
      </c>
      <c r="L195" s="267">
        <f>+เม.ย.!L194+พ.ค.!L194+มิ.ย.!L194</f>
        <v>0</v>
      </c>
      <c r="M195" s="267">
        <f>+เม.ย.!M194+พ.ค.!M194+มิ.ย.!M194</f>
        <v>0</v>
      </c>
      <c r="N195" s="267">
        <f>+เม.ย.!N194+พ.ค.!N194+มิ.ย.!N194</f>
        <v>0</v>
      </c>
      <c r="O195" s="267">
        <f>+เม.ย.!O194+พ.ค.!O194+มิ.ย.!O194</f>
        <v>0</v>
      </c>
      <c r="P195" s="267">
        <f>+เม.ย.!P194+พ.ค.!P194+มิ.ย.!P194</f>
        <v>0</v>
      </c>
      <c r="Q195" s="267">
        <f>+เม.ย.!Q194+พ.ค.!Q194+มิ.ย.!Q194</f>
        <v>0</v>
      </c>
      <c r="R195" s="267">
        <f>+เม.ย.!R194+พ.ค.!R194+มิ.ย.!R194</f>
        <v>0</v>
      </c>
      <c r="S195" s="267">
        <f>+เม.ย.!S194+พ.ค.!S194+มิ.ย.!S194</f>
        <v>0</v>
      </c>
      <c r="T195" s="267"/>
      <c r="U195" s="267">
        <f>+เม.ย.!U194+พ.ค.!U194+มิ.ย.!U194</f>
        <v>0</v>
      </c>
      <c r="V195" s="267">
        <f>+เม.ย.!V194+พ.ค.!V194+มิ.ย.!V194</f>
        <v>0</v>
      </c>
    </row>
    <row r="196" spans="1:23" ht="25.5" customHeight="1">
      <c r="A196" s="9"/>
      <c r="B196" s="185" t="s">
        <v>320</v>
      </c>
      <c r="C196" s="216">
        <v>78565</v>
      </c>
      <c r="D196" s="133"/>
      <c r="E196" s="267">
        <f>+เม.ย.!E195+พ.ค.!E195+มิ.ย.!E195</f>
        <v>0</v>
      </c>
      <c r="F196" s="267">
        <f>+เม.ย.!F195+พ.ค.!F195+มิ.ย.!F195</f>
        <v>0</v>
      </c>
      <c r="G196" s="267">
        <f>+เม.ย.!G195+พ.ค.!G195+มิ.ย.!G195</f>
        <v>0</v>
      </c>
      <c r="H196" s="267">
        <f>+เม.ย.!H195+พ.ค.!H195+มิ.ย.!H195</f>
        <v>0</v>
      </c>
      <c r="I196" s="267">
        <f>+เม.ย.!I195+พ.ค.!I195+มิ.ย.!I195</f>
        <v>0</v>
      </c>
      <c r="J196" s="267">
        <f>+เม.ย.!J195+พ.ค.!J195+มิ.ย.!J195</f>
        <v>0</v>
      </c>
      <c r="K196" s="267">
        <f>+เม.ย.!K195+พ.ค.!K195+มิ.ย.!K195</f>
        <v>0</v>
      </c>
      <c r="L196" s="267">
        <f>+เม.ย.!L195+พ.ค.!L195+มิ.ย.!L195</f>
        <v>0</v>
      </c>
      <c r="M196" s="267">
        <f>+เม.ย.!M195+พ.ค.!M195+มิ.ย.!M195</f>
        <v>0</v>
      </c>
      <c r="N196" s="267">
        <f>+เม.ย.!N195+พ.ค.!N195+มิ.ย.!N195</f>
        <v>0</v>
      </c>
      <c r="O196" s="267">
        <f>+เม.ย.!O195+พ.ค.!O195+มิ.ย.!O195</f>
        <v>0</v>
      </c>
      <c r="P196" s="267">
        <f>+เม.ย.!P195+พ.ค.!P195+มิ.ย.!P195</f>
        <v>0</v>
      </c>
      <c r="Q196" s="267">
        <f>+เม.ย.!Q195+พ.ค.!Q195+มิ.ย.!Q195</f>
        <v>0</v>
      </c>
      <c r="R196" s="267">
        <f>+เม.ย.!R195+พ.ค.!R195+มิ.ย.!R195</f>
        <v>0</v>
      </c>
      <c r="S196" s="267">
        <f>+เม.ย.!S195+พ.ค.!S195+มิ.ย.!S195</f>
        <v>0</v>
      </c>
      <c r="T196" s="267"/>
      <c r="U196" s="267">
        <f>+เม.ย.!U195+พ.ค.!U195+มิ.ย.!U195</f>
        <v>0</v>
      </c>
      <c r="V196" s="267">
        <f>+เม.ย.!V195+พ.ค.!V195+มิ.ย.!V195</f>
        <v>0</v>
      </c>
    </row>
    <row r="197" spans="1:23" ht="25.5" customHeight="1">
      <c r="A197" s="9"/>
      <c r="B197" s="185" t="s">
        <v>321</v>
      </c>
      <c r="C197" s="216">
        <v>90062</v>
      </c>
      <c r="D197" s="133"/>
      <c r="E197" s="267">
        <f>+เม.ย.!E196+พ.ค.!E196+มิ.ย.!E196</f>
        <v>0</v>
      </c>
      <c r="F197" s="267">
        <f>+เม.ย.!F196+พ.ค.!F196+มิ.ย.!F196</f>
        <v>0</v>
      </c>
      <c r="G197" s="267">
        <f>+เม.ย.!G196+พ.ค.!G196+มิ.ย.!G196</f>
        <v>0</v>
      </c>
      <c r="H197" s="267">
        <f>+เม.ย.!H196+พ.ค.!H196+มิ.ย.!H196</f>
        <v>0</v>
      </c>
      <c r="I197" s="267">
        <f>+เม.ย.!I196+พ.ค.!I196+มิ.ย.!I196</f>
        <v>0</v>
      </c>
      <c r="J197" s="267">
        <f>+เม.ย.!J196+พ.ค.!J196+มิ.ย.!J196</f>
        <v>0</v>
      </c>
      <c r="K197" s="267">
        <f>+เม.ย.!K196+พ.ค.!K196+มิ.ย.!K196</f>
        <v>0</v>
      </c>
      <c r="L197" s="267">
        <f>+เม.ย.!L196+พ.ค.!L196+มิ.ย.!L196</f>
        <v>0</v>
      </c>
      <c r="M197" s="267">
        <f>+เม.ย.!M196+พ.ค.!M196+มิ.ย.!M196</f>
        <v>0</v>
      </c>
      <c r="N197" s="267">
        <f>+เม.ย.!N196+พ.ค.!N196+มิ.ย.!N196</f>
        <v>0</v>
      </c>
      <c r="O197" s="267">
        <f>+เม.ย.!O196+พ.ค.!O196+มิ.ย.!O196</f>
        <v>0</v>
      </c>
      <c r="P197" s="267">
        <f>+เม.ย.!P196+พ.ค.!P196+มิ.ย.!P196</f>
        <v>0</v>
      </c>
      <c r="Q197" s="267">
        <f>+เม.ย.!Q196+พ.ค.!Q196+มิ.ย.!Q196</f>
        <v>0</v>
      </c>
      <c r="R197" s="267">
        <f>+เม.ย.!R196+พ.ค.!R196+มิ.ย.!R196</f>
        <v>0</v>
      </c>
      <c r="S197" s="267">
        <f>+เม.ย.!S196+พ.ค.!S196+มิ.ย.!S196</f>
        <v>0</v>
      </c>
      <c r="T197" s="267"/>
      <c r="U197" s="267">
        <f>+เม.ย.!U196+พ.ค.!U196+มิ.ย.!U196</f>
        <v>0</v>
      </c>
      <c r="V197" s="267">
        <f>+เม.ย.!V196+พ.ค.!V196+มิ.ย.!V196</f>
        <v>0</v>
      </c>
    </row>
    <row r="198" spans="1:23" ht="25.5" customHeight="1">
      <c r="A198" s="165"/>
      <c r="B198" s="185" t="s">
        <v>322</v>
      </c>
      <c r="C198" s="216">
        <v>67067</v>
      </c>
      <c r="D198" s="133"/>
      <c r="E198" s="267">
        <f>+เม.ย.!E197+พ.ค.!E197+มิ.ย.!E197</f>
        <v>0</v>
      </c>
      <c r="F198" s="267">
        <f>+เม.ย.!F197+พ.ค.!F197+มิ.ย.!F197</f>
        <v>0</v>
      </c>
      <c r="G198" s="267">
        <f>+เม.ย.!G197+พ.ค.!G197+มิ.ย.!G197</f>
        <v>0</v>
      </c>
      <c r="H198" s="267">
        <f>+เม.ย.!H197+พ.ค.!H197+มิ.ย.!H197</f>
        <v>0</v>
      </c>
      <c r="I198" s="267">
        <f>+เม.ย.!I197+พ.ค.!I197+มิ.ย.!I197</f>
        <v>0</v>
      </c>
      <c r="J198" s="267">
        <f>+เม.ย.!J197+พ.ค.!J197+มิ.ย.!J197</f>
        <v>0</v>
      </c>
      <c r="K198" s="267">
        <f>+เม.ย.!K197+พ.ค.!K197+มิ.ย.!K197</f>
        <v>0</v>
      </c>
      <c r="L198" s="267">
        <f>+เม.ย.!L197+พ.ค.!L197+มิ.ย.!L197</f>
        <v>0</v>
      </c>
      <c r="M198" s="267">
        <f>+เม.ย.!M197+พ.ค.!M197+มิ.ย.!M197</f>
        <v>0</v>
      </c>
      <c r="N198" s="267">
        <f>+เม.ย.!N197+พ.ค.!N197+มิ.ย.!N197</f>
        <v>0</v>
      </c>
      <c r="O198" s="267">
        <f>+เม.ย.!O197+พ.ค.!O197+มิ.ย.!O197</f>
        <v>0</v>
      </c>
      <c r="P198" s="267">
        <f>+เม.ย.!P197+พ.ค.!P197+มิ.ย.!P197</f>
        <v>0</v>
      </c>
      <c r="Q198" s="267">
        <f>+เม.ย.!Q197+พ.ค.!Q197+มิ.ย.!Q197</f>
        <v>0</v>
      </c>
      <c r="R198" s="267">
        <f>+เม.ย.!R197+พ.ค.!R197+มิ.ย.!R197</f>
        <v>0</v>
      </c>
      <c r="S198" s="267">
        <f>+เม.ย.!S197+พ.ค.!S197+มิ.ย.!S197</f>
        <v>0</v>
      </c>
      <c r="T198" s="267"/>
      <c r="U198" s="267">
        <f>+เม.ย.!U197+พ.ค.!U197+มิ.ย.!U197</f>
        <v>0</v>
      </c>
      <c r="V198" s="267">
        <f>+เม.ย.!V197+พ.ค.!V197+มิ.ย.!V197</f>
        <v>0</v>
      </c>
    </row>
    <row r="199" spans="1:23" ht="25.5" customHeight="1">
      <c r="A199" s="9"/>
      <c r="B199" s="185"/>
      <c r="C199" s="216"/>
      <c r="D199" s="133"/>
      <c r="E199" s="267">
        <f>+เม.ย.!E198+พ.ค.!E198+มิ.ย.!E198</f>
        <v>0</v>
      </c>
      <c r="F199" s="267">
        <f>+เม.ย.!F198+พ.ค.!F198+มิ.ย.!F198</f>
        <v>0</v>
      </c>
      <c r="G199" s="267">
        <f>+เม.ย.!G198+พ.ค.!G198+มิ.ย.!G198</f>
        <v>0</v>
      </c>
      <c r="H199" s="267">
        <f>+เม.ย.!H198+พ.ค.!H198+มิ.ย.!H198</f>
        <v>0</v>
      </c>
      <c r="I199" s="267">
        <f>+เม.ย.!I198+พ.ค.!I198+มิ.ย.!I198</f>
        <v>0</v>
      </c>
      <c r="J199" s="267">
        <f>+เม.ย.!J198+พ.ค.!J198+มิ.ย.!J198</f>
        <v>0</v>
      </c>
      <c r="K199" s="267">
        <f>+เม.ย.!K198+พ.ค.!K198+มิ.ย.!K198</f>
        <v>0</v>
      </c>
      <c r="L199" s="267">
        <f>+เม.ย.!L198+พ.ค.!L198+มิ.ย.!L198</f>
        <v>0</v>
      </c>
      <c r="M199" s="267">
        <f>+เม.ย.!M198+พ.ค.!M198+มิ.ย.!M198</f>
        <v>0</v>
      </c>
      <c r="N199" s="267">
        <f>+เม.ย.!N198+พ.ค.!N198+มิ.ย.!N198</f>
        <v>0</v>
      </c>
      <c r="O199" s="267">
        <f>+เม.ย.!O198+พ.ค.!O198+มิ.ย.!O198</f>
        <v>0</v>
      </c>
      <c r="P199" s="267">
        <f>+เม.ย.!P198+พ.ค.!P198+มิ.ย.!P198</f>
        <v>0</v>
      </c>
      <c r="Q199" s="267">
        <f>+เม.ย.!Q198+พ.ค.!Q198+มิ.ย.!Q198</f>
        <v>0</v>
      </c>
      <c r="R199" s="267">
        <f>+เม.ย.!R198+พ.ค.!R198+มิ.ย.!R198</f>
        <v>0</v>
      </c>
      <c r="S199" s="267">
        <f>+เม.ย.!S198+พ.ค.!S198+มิ.ย.!S198</f>
        <v>0</v>
      </c>
      <c r="T199" s="267"/>
      <c r="U199" s="267">
        <f>+เม.ย.!U198+พ.ค.!U198+มิ.ย.!U198</f>
        <v>0</v>
      </c>
      <c r="V199" s="267">
        <f>+เม.ย.!V198+พ.ค.!V198+มิ.ย.!V198</f>
        <v>0</v>
      </c>
    </row>
    <row r="200" spans="1:23" ht="25.5" customHeight="1">
      <c r="A200" s="9"/>
      <c r="B200" s="185"/>
      <c r="C200" s="216"/>
      <c r="D200" s="133"/>
      <c r="E200" s="267">
        <f>+เม.ย.!E199+พ.ค.!E199+มิ.ย.!E199</f>
        <v>0</v>
      </c>
      <c r="F200" s="267">
        <f>+เม.ย.!F199+พ.ค.!F199+มิ.ย.!F199</f>
        <v>0</v>
      </c>
      <c r="G200" s="267">
        <f>+เม.ย.!G199+พ.ค.!G199+มิ.ย.!G199</f>
        <v>0</v>
      </c>
      <c r="H200" s="267">
        <f>+เม.ย.!H199+พ.ค.!H199+มิ.ย.!H199</f>
        <v>0</v>
      </c>
      <c r="I200" s="267">
        <f>+เม.ย.!I199+พ.ค.!I199+มิ.ย.!I199</f>
        <v>0</v>
      </c>
      <c r="J200" s="267">
        <f>+เม.ย.!J199+พ.ค.!J199+มิ.ย.!J199</f>
        <v>0</v>
      </c>
      <c r="K200" s="267">
        <f>+เม.ย.!K199+พ.ค.!K199+มิ.ย.!K199</f>
        <v>0</v>
      </c>
      <c r="L200" s="267">
        <f>+เม.ย.!L199+พ.ค.!L199+มิ.ย.!L199</f>
        <v>0</v>
      </c>
      <c r="M200" s="267">
        <f>+เม.ย.!M199+พ.ค.!M199+มิ.ย.!M199</f>
        <v>0</v>
      </c>
      <c r="N200" s="267">
        <f>+เม.ย.!N199+พ.ค.!N199+มิ.ย.!N199</f>
        <v>0</v>
      </c>
      <c r="O200" s="267">
        <f>+เม.ย.!O199+พ.ค.!O199+มิ.ย.!O199</f>
        <v>0</v>
      </c>
      <c r="P200" s="267">
        <f>+เม.ย.!P199+พ.ค.!P199+มิ.ย.!P199</f>
        <v>0</v>
      </c>
      <c r="Q200" s="267">
        <f>+เม.ย.!Q199+พ.ค.!Q199+มิ.ย.!Q199</f>
        <v>0</v>
      </c>
      <c r="R200" s="267">
        <f>+เม.ย.!R199+พ.ค.!R199+มิ.ย.!R199</f>
        <v>0</v>
      </c>
      <c r="S200" s="267">
        <f>+เม.ย.!S199+พ.ค.!S199+มิ.ย.!S199</f>
        <v>0</v>
      </c>
      <c r="T200" s="267"/>
      <c r="U200" s="267">
        <f>+เม.ย.!U199+พ.ค.!U199+มิ.ย.!U199</f>
        <v>0</v>
      </c>
      <c r="V200" s="267">
        <f>+เม.ย.!V199+พ.ค.!V199+มิ.ย.!V199</f>
        <v>0</v>
      </c>
    </row>
    <row r="201" spans="1:23" ht="25.5" customHeight="1">
      <c r="A201" s="9"/>
      <c r="B201" s="185"/>
      <c r="C201" s="216"/>
      <c r="D201" s="133"/>
      <c r="E201" s="267">
        <f>+เม.ย.!E200+พ.ค.!E200+มิ.ย.!E200</f>
        <v>0</v>
      </c>
      <c r="F201" s="267">
        <f>+เม.ย.!F200+พ.ค.!F200+มิ.ย.!F200</f>
        <v>0</v>
      </c>
      <c r="G201" s="267">
        <f>+เม.ย.!G200+พ.ค.!G200+มิ.ย.!G200</f>
        <v>0</v>
      </c>
      <c r="H201" s="267">
        <f>+เม.ย.!H200+พ.ค.!H200+มิ.ย.!H200</f>
        <v>0</v>
      </c>
      <c r="I201" s="267">
        <f>+เม.ย.!I200+พ.ค.!I200+มิ.ย.!I200</f>
        <v>0</v>
      </c>
      <c r="J201" s="267">
        <f>+เม.ย.!J200+พ.ค.!J200+มิ.ย.!J200</f>
        <v>0</v>
      </c>
      <c r="K201" s="267">
        <f>+เม.ย.!K200+พ.ค.!K200+มิ.ย.!K200</f>
        <v>0</v>
      </c>
      <c r="L201" s="267">
        <f>+เม.ย.!L200+พ.ค.!L200+มิ.ย.!L200</f>
        <v>0</v>
      </c>
      <c r="M201" s="267">
        <f>+เม.ย.!M200+พ.ค.!M200+มิ.ย.!M200</f>
        <v>0</v>
      </c>
      <c r="N201" s="267">
        <f>+เม.ย.!N200+พ.ค.!N200+มิ.ย.!N200</f>
        <v>0</v>
      </c>
      <c r="O201" s="267">
        <f>+เม.ย.!O200+พ.ค.!O200+มิ.ย.!O200</f>
        <v>0</v>
      </c>
      <c r="P201" s="267">
        <f>+เม.ย.!P200+พ.ค.!P200+มิ.ย.!P200</f>
        <v>0</v>
      </c>
      <c r="Q201" s="267">
        <f>+เม.ย.!Q200+พ.ค.!Q200+มิ.ย.!Q200</f>
        <v>0</v>
      </c>
      <c r="R201" s="267">
        <f>+เม.ย.!R200+พ.ค.!R200+มิ.ย.!R200</f>
        <v>0</v>
      </c>
      <c r="S201" s="267">
        <f>+เม.ย.!S200+พ.ค.!S200+มิ.ย.!S200</f>
        <v>0</v>
      </c>
      <c r="T201" s="267"/>
      <c r="U201" s="267">
        <f>+เม.ย.!U200+พ.ค.!U200+มิ.ย.!U200</f>
        <v>0</v>
      </c>
      <c r="V201" s="267">
        <f>+เม.ย.!V200+พ.ค.!V200+มิ.ย.!V200</f>
        <v>0</v>
      </c>
    </row>
    <row r="202" spans="1:23" ht="25.5" customHeight="1">
      <c r="A202" s="9"/>
      <c r="B202" s="130"/>
      <c r="C202" s="216"/>
      <c r="D202" s="133"/>
      <c r="E202" s="267">
        <f>+เม.ย.!E201+พ.ค.!E201+มิ.ย.!E201</f>
        <v>0</v>
      </c>
      <c r="F202" s="267">
        <f>+เม.ย.!F201+พ.ค.!F201+มิ.ย.!F201</f>
        <v>0</v>
      </c>
      <c r="G202" s="267">
        <f>+เม.ย.!G201+พ.ค.!G201+มิ.ย.!G201</f>
        <v>0</v>
      </c>
      <c r="H202" s="267">
        <f>+เม.ย.!H201+พ.ค.!H201+มิ.ย.!H201</f>
        <v>0</v>
      </c>
      <c r="I202" s="267">
        <f>+เม.ย.!I201+พ.ค.!I201+มิ.ย.!I201</f>
        <v>0</v>
      </c>
      <c r="J202" s="267">
        <f>+เม.ย.!J201+พ.ค.!J201+มิ.ย.!J201</f>
        <v>0</v>
      </c>
      <c r="K202" s="267">
        <f>+เม.ย.!K201+พ.ค.!K201+มิ.ย.!K201</f>
        <v>0</v>
      </c>
      <c r="L202" s="267">
        <f>+เม.ย.!L201+พ.ค.!L201+มิ.ย.!L201</f>
        <v>0</v>
      </c>
      <c r="M202" s="267">
        <f>+เม.ย.!M201+พ.ค.!M201+มิ.ย.!M201</f>
        <v>0</v>
      </c>
      <c r="N202" s="267">
        <f>+เม.ย.!N201+พ.ค.!N201+มิ.ย.!N201</f>
        <v>0</v>
      </c>
      <c r="O202" s="267">
        <f>+เม.ย.!O201+พ.ค.!O201+มิ.ย.!O201</f>
        <v>0</v>
      </c>
      <c r="P202" s="267">
        <f>+เม.ย.!P201+พ.ค.!P201+มิ.ย.!P201</f>
        <v>0</v>
      </c>
      <c r="Q202" s="267">
        <f>+เม.ย.!Q201+พ.ค.!Q201+มิ.ย.!Q201</f>
        <v>0</v>
      </c>
      <c r="R202" s="267">
        <f>+เม.ย.!R201+พ.ค.!R201+มิ.ย.!R201</f>
        <v>0</v>
      </c>
      <c r="S202" s="267">
        <f>+เม.ย.!S201+พ.ค.!S201+มิ.ย.!S201</f>
        <v>0</v>
      </c>
      <c r="T202" s="267"/>
      <c r="U202" s="267">
        <f>+เม.ย.!U201+พ.ค.!U201+มิ.ย.!U201</f>
        <v>0</v>
      </c>
      <c r="V202" s="267">
        <f>+เม.ย.!V201+พ.ค.!V201+มิ.ย.!V201</f>
        <v>0</v>
      </c>
    </row>
    <row r="203" spans="1:23" ht="25.5" customHeight="1">
      <c r="A203" s="197"/>
      <c r="B203" s="198"/>
      <c r="C203" s="216"/>
      <c r="D203" s="133"/>
      <c r="E203" s="267">
        <f>+เม.ย.!E202+พ.ค.!E202+มิ.ย.!E202</f>
        <v>0</v>
      </c>
      <c r="F203" s="267">
        <f>+เม.ย.!F202+พ.ค.!F202+มิ.ย.!F202</f>
        <v>0</v>
      </c>
      <c r="G203" s="267">
        <f>+เม.ย.!G202+พ.ค.!G202+มิ.ย.!G202</f>
        <v>0</v>
      </c>
      <c r="H203" s="267">
        <f>+เม.ย.!H202+พ.ค.!H202+มิ.ย.!H202</f>
        <v>0</v>
      </c>
      <c r="I203" s="267">
        <f>+เม.ย.!I202+พ.ค.!I202+มิ.ย.!I202</f>
        <v>0</v>
      </c>
      <c r="J203" s="267">
        <f>+เม.ย.!J202+พ.ค.!J202+มิ.ย.!J202</f>
        <v>0</v>
      </c>
      <c r="K203" s="267">
        <f>+เม.ย.!K202+พ.ค.!K202+มิ.ย.!K202</f>
        <v>0</v>
      </c>
      <c r="L203" s="267">
        <f>+เม.ย.!L202+พ.ค.!L202+มิ.ย.!L202</f>
        <v>0</v>
      </c>
      <c r="M203" s="267">
        <f>+เม.ย.!M202+พ.ค.!M202+มิ.ย.!M202</f>
        <v>0</v>
      </c>
      <c r="N203" s="267">
        <f>+เม.ย.!N202+พ.ค.!N202+มิ.ย.!N202</f>
        <v>0</v>
      </c>
      <c r="O203" s="267">
        <f>+เม.ย.!O202+พ.ค.!O202+มิ.ย.!O202</f>
        <v>0</v>
      </c>
      <c r="P203" s="267">
        <f>+เม.ย.!P202+พ.ค.!P202+มิ.ย.!P202</f>
        <v>0</v>
      </c>
      <c r="Q203" s="267">
        <f>+เม.ย.!Q202+พ.ค.!Q202+มิ.ย.!Q202</f>
        <v>0</v>
      </c>
      <c r="R203" s="267">
        <f>+เม.ย.!R202+พ.ค.!R202+มิ.ย.!R202</f>
        <v>0</v>
      </c>
      <c r="S203" s="267">
        <f>+เม.ย.!S202+พ.ค.!S202+มิ.ย.!S202</f>
        <v>0</v>
      </c>
      <c r="T203" s="267"/>
      <c r="U203" s="267">
        <f>+เม.ย.!U202+พ.ค.!U202+มิ.ย.!U202</f>
        <v>0</v>
      </c>
      <c r="V203" s="267">
        <f>+เม.ย.!V202+พ.ค.!V202+มิ.ย.!V202</f>
        <v>0</v>
      </c>
    </row>
    <row r="204" spans="1:23" ht="25.5" customHeight="1" thickBot="1">
      <c r="A204" s="46"/>
      <c r="B204" s="47" t="s">
        <v>5</v>
      </c>
      <c r="C204" s="170">
        <f>SUM(C178:C203)</f>
        <v>2610778</v>
      </c>
      <c r="D204" s="255">
        <f>SUM(D178:D203)</f>
        <v>0</v>
      </c>
      <c r="E204" s="267">
        <f>+เม.ย.!E203+พ.ค.!E203+มิ.ย.!E203</f>
        <v>94184.56</v>
      </c>
      <c r="F204" s="267">
        <f>+เม.ย.!F203+พ.ค.!F203+มิ.ย.!F203</f>
        <v>6700.8</v>
      </c>
      <c r="G204" s="267">
        <f>+เม.ย.!G203+พ.ค.!G203+มิ.ย.!G203</f>
        <v>0</v>
      </c>
      <c r="H204" s="267">
        <f>+เม.ย.!H203+พ.ค.!H203+มิ.ย.!H203</f>
        <v>16325</v>
      </c>
      <c r="I204" s="267">
        <f>+เม.ย.!I203+พ.ค.!I203+มิ.ย.!I203</f>
        <v>326881.24</v>
      </c>
      <c r="J204" s="267">
        <f>+เม.ย.!J203+พ.ค.!J203+มิ.ย.!J203</f>
        <v>0</v>
      </c>
      <c r="K204" s="267">
        <f>+เม.ย.!K203+พ.ค.!K203+มิ.ย.!K203</f>
        <v>0</v>
      </c>
      <c r="L204" s="267">
        <f>+เม.ย.!L203+พ.ค.!L203+มิ.ย.!L203</f>
        <v>0</v>
      </c>
      <c r="M204" s="267">
        <f>+เม.ย.!M203+พ.ค.!M203+มิ.ย.!M203</f>
        <v>45083.25</v>
      </c>
      <c r="N204" s="267">
        <f>+เม.ย.!N203+พ.ค.!N203+มิ.ย.!N203</f>
        <v>0</v>
      </c>
      <c r="O204" s="267">
        <f>+เม.ย.!O203+พ.ค.!O203+มิ.ย.!O203</f>
        <v>0</v>
      </c>
      <c r="P204" s="267">
        <f>+เม.ย.!P203+พ.ค.!P203+มิ.ย.!P203</f>
        <v>0</v>
      </c>
      <c r="Q204" s="267">
        <f>+เม.ย.!Q203+พ.ค.!Q203+มิ.ย.!Q203</f>
        <v>0</v>
      </c>
      <c r="R204" s="267">
        <f>+เม.ย.!R203+พ.ค.!R203+มิ.ย.!R203</f>
        <v>65658</v>
      </c>
      <c r="S204" s="267">
        <f>+เม.ย.!S203+พ.ค.!S203+มิ.ย.!S203</f>
        <v>0</v>
      </c>
      <c r="T204" s="267"/>
      <c r="U204" s="267">
        <f>+เม.ย.!U203+พ.ค.!U203+มิ.ย.!U203</f>
        <v>0</v>
      </c>
      <c r="V204" s="267">
        <f>+เม.ย.!V203+พ.ค.!V203+มิ.ย.!V203</f>
        <v>0</v>
      </c>
      <c r="W204" s="314">
        <f>SUM(D204:V204)</f>
        <v>554832.85</v>
      </c>
    </row>
    <row r="205" spans="1:23" ht="25.5" customHeight="1" thickTop="1">
      <c r="A205" s="5" t="s">
        <v>114</v>
      </c>
      <c r="B205" s="6"/>
      <c r="C205" s="190"/>
      <c r="D205" s="133"/>
      <c r="E205" s="267">
        <f>+เม.ย.!E204+พ.ค.!E204+มิ.ย.!E204</f>
        <v>0</v>
      </c>
      <c r="F205" s="267">
        <f>+เม.ย.!F204+พ.ค.!F204+มิ.ย.!F204</f>
        <v>0</v>
      </c>
      <c r="G205" s="267">
        <f>+เม.ย.!G204+พ.ค.!G204+มิ.ย.!G204</f>
        <v>0</v>
      </c>
      <c r="H205" s="267">
        <f>+เม.ย.!H204+พ.ค.!H204+มิ.ย.!H204</f>
        <v>0</v>
      </c>
      <c r="I205" s="267">
        <f>+เม.ย.!I204+พ.ค.!I204+มิ.ย.!I204</f>
        <v>0</v>
      </c>
      <c r="J205" s="267">
        <f>+เม.ย.!J204+พ.ค.!J204+มิ.ย.!J204</f>
        <v>0</v>
      </c>
      <c r="K205" s="267">
        <f>+เม.ย.!K204+พ.ค.!K204+มิ.ย.!K204</f>
        <v>0</v>
      </c>
      <c r="L205" s="267">
        <f>+เม.ย.!L204+พ.ค.!L204+มิ.ย.!L204</f>
        <v>0</v>
      </c>
      <c r="M205" s="267">
        <f>+เม.ย.!M204+พ.ค.!M204+มิ.ย.!M204</f>
        <v>0</v>
      </c>
      <c r="N205" s="267">
        <f>+เม.ย.!N204+พ.ค.!N204+มิ.ย.!N204</f>
        <v>0</v>
      </c>
      <c r="O205" s="267">
        <f>+เม.ย.!O204+พ.ค.!O204+มิ.ย.!O204</f>
        <v>0</v>
      </c>
      <c r="P205" s="267">
        <f>+เม.ย.!P204+พ.ค.!P204+มิ.ย.!P204</f>
        <v>0</v>
      </c>
      <c r="Q205" s="267">
        <f>+เม.ย.!Q204+พ.ค.!Q204+มิ.ย.!Q204</f>
        <v>0</v>
      </c>
      <c r="R205" s="267">
        <f>+เม.ย.!R204+พ.ค.!R204+มิ.ย.!R204</f>
        <v>0</v>
      </c>
      <c r="S205" s="267">
        <f>+เม.ย.!S204+พ.ค.!S204+มิ.ย.!S204</f>
        <v>0</v>
      </c>
      <c r="T205" s="267"/>
      <c r="U205" s="267">
        <f>+เม.ย.!U204+พ.ค.!U204+มิ.ย.!U204</f>
        <v>0</v>
      </c>
      <c r="V205" s="267">
        <f>+เม.ย.!V204+พ.ค.!V204+มิ.ย.!V204</f>
        <v>0</v>
      </c>
    </row>
    <row r="206" spans="1:23" ht="25.5" customHeight="1">
      <c r="A206" s="9"/>
      <c r="B206" s="130" t="s">
        <v>20</v>
      </c>
      <c r="C206" s="216">
        <f>240000+35000</f>
        <v>275000</v>
      </c>
      <c r="D206" s="261"/>
      <c r="E206" s="267">
        <f>+เม.ย.!E205+พ.ค.!E205+มิ.ย.!E205</f>
        <v>71753.929999999993</v>
      </c>
      <c r="F206" s="267">
        <f>+เม.ย.!F205+พ.ค.!F205+มิ.ย.!F205</f>
        <v>0</v>
      </c>
      <c r="G206" s="267">
        <f>+เม.ย.!G205+พ.ค.!G205+มิ.ย.!G205</f>
        <v>0</v>
      </c>
      <c r="H206" s="267">
        <f>+เม.ย.!H205+พ.ค.!H205+มิ.ย.!H205</f>
        <v>10560.09</v>
      </c>
      <c r="I206" s="267">
        <f>+เม.ย.!I205+พ.ค.!I205+มิ.ย.!I205</f>
        <v>0</v>
      </c>
      <c r="J206" s="267">
        <f>+เม.ย.!J205+พ.ค.!J205+มิ.ย.!J205</f>
        <v>0</v>
      </c>
      <c r="K206" s="267">
        <f>+เม.ย.!K205+พ.ค.!K205+มิ.ย.!K205</f>
        <v>0</v>
      </c>
      <c r="L206" s="267">
        <f>+เม.ย.!L205+พ.ค.!L205+มิ.ย.!L205</f>
        <v>0</v>
      </c>
      <c r="M206" s="267">
        <f>+เม.ย.!M205+พ.ค.!M205+มิ.ย.!M205</f>
        <v>0</v>
      </c>
      <c r="N206" s="267">
        <f>+เม.ย.!N205+พ.ค.!N205+มิ.ย.!N205</f>
        <v>0</v>
      </c>
      <c r="O206" s="267">
        <f>+เม.ย.!O205+พ.ค.!O205+มิ.ย.!O205</f>
        <v>0</v>
      </c>
      <c r="P206" s="267">
        <f>+เม.ย.!P205+พ.ค.!P205+มิ.ย.!P205</f>
        <v>0</v>
      </c>
      <c r="Q206" s="267">
        <f>+เม.ย.!Q205+พ.ค.!Q205+มิ.ย.!Q205</f>
        <v>0</v>
      </c>
      <c r="R206" s="267">
        <f>+เม.ย.!R205+พ.ค.!R205+มิ.ย.!R205</f>
        <v>0</v>
      </c>
      <c r="S206" s="267">
        <f>+เม.ย.!S205+พ.ค.!S205+มิ.ย.!S205</f>
        <v>0</v>
      </c>
      <c r="T206" s="267"/>
      <c r="U206" s="267">
        <f>+เม.ย.!U205+พ.ค.!U205+มิ.ย.!U205</f>
        <v>0</v>
      </c>
      <c r="V206" s="267">
        <f>+เม.ย.!V205+พ.ค.!V205+มิ.ย.!V205</f>
        <v>0</v>
      </c>
      <c r="W206" s="321"/>
    </row>
    <row r="207" spans="1:23" ht="25.5" customHeight="1">
      <c r="A207" s="9"/>
      <c r="B207" s="130" t="s">
        <v>283</v>
      </c>
      <c r="C207" s="216">
        <f>100000+12000</f>
        <v>112000</v>
      </c>
      <c r="D207" s="261"/>
      <c r="E207" s="267">
        <f>+เม.ย.!E206+พ.ค.!E206+มิ.ย.!E206</f>
        <v>19515.89</v>
      </c>
      <c r="F207" s="267">
        <f>+เม.ย.!F206+พ.ค.!F206+มิ.ย.!F206</f>
        <v>0</v>
      </c>
      <c r="G207" s="267">
        <f>+เม.ย.!G206+พ.ค.!G206+มิ.ย.!G206</f>
        <v>0</v>
      </c>
      <c r="H207" s="267">
        <f>+เม.ย.!H206+พ.ค.!H206+มิ.ย.!H206</f>
        <v>3000</v>
      </c>
      <c r="I207" s="267">
        <f>+เม.ย.!I206+พ.ค.!I206+มิ.ย.!I206</f>
        <v>0</v>
      </c>
      <c r="J207" s="267">
        <f>+เม.ย.!J206+พ.ค.!J206+มิ.ย.!J206</f>
        <v>0</v>
      </c>
      <c r="K207" s="267">
        <f>+เม.ย.!K206+พ.ค.!K206+มิ.ย.!K206</f>
        <v>0</v>
      </c>
      <c r="L207" s="267">
        <f>+เม.ย.!L206+พ.ค.!L206+มิ.ย.!L206</f>
        <v>0</v>
      </c>
      <c r="M207" s="267">
        <f>+เม.ย.!M206+พ.ค.!M206+มิ.ย.!M206</f>
        <v>0</v>
      </c>
      <c r="N207" s="267">
        <f>+เม.ย.!N206+พ.ค.!N206+มิ.ย.!N206</f>
        <v>0</v>
      </c>
      <c r="O207" s="267">
        <f>+เม.ย.!O206+พ.ค.!O206+มิ.ย.!O206</f>
        <v>0</v>
      </c>
      <c r="P207" s="267">
        <f>+เม.ย.!P206+พ.ค.!P206+มิ.ย.!P206</f>
        <v>0</v>
      </c>
      <c r="Q207" s="267">
        <f>+เม.ย.!Q206+พ.ค.!Q206+มิ.ย.!Q206</f>
        <v>0</v>
      </c>
      <c r="R207" s="267">
        <f>+เม.ย.!R206+พ.ค.!R206+มิ.ย.!R206</f>
        <v>0</v>
      </c>
      <c r="S207" s="267">
        <f>+เม.ย.!S206+พ.ค.!S206+มิ.ย.!S206</f>
        <v>0</v>
      </c>
      <c r="T207" s="267"/>
      <c r="U207" s="267">
        <f>+เม.ย.!U206+พ.ค.!U206+มิ.ย.!U206</f>
        <v>0</v>
      </c>
      <c r="V207" s="267">
        <f>+เม.ย.!V206+พ.ค.!V206+มิ.ย.!V206</f>
        <v>0</v>
      </c>
    </row>
    <row r="208" spans="1:23" ht="25.5" customHeight="1">
      <c r="A208" s="9"/>
      <c r="B208" s="130" t="s">
        <v>284</v>
      </c>
      <c r="C208" s="216">
        <f>15000+3000</f>
        <v>18000</v>
      </c>
      <c r="D208" s="131"/>
      <c r="E208" s="267">
        <f>+เม.ย.!E207+พ.ค.!E207+มิ.ย.!E207</f>
        <v>487</v>
      </c>
      <c r="F208" s="267">
        <f>+เม.ย.!F207+พ.ค.!F207+มิ.ย.!F207</f>
        <v>0</v>
      </c>
      <c r="G208" s="267">
        <f>+เม.ย.!G207+พ.ค.!G207+มิ.ย.!G207</f>
        <v>0</v>
      </c>
      <c r="H208" s="267">
        <f>+เม.ย.!H207+พ.ค.!H207+มิ.ย.!H207</f>
        <v>0</v>
      </c>
      <c r="I208" s="267">
        <f>+เม.ย.!I207+พ.ค.!I207+มิ.ย.!I207</f>
        <v>0</v>
      </c>
      <c r="J208" s="267">
        <f>+เม.ย.!J207+พ.ค.!J207+มิ.ย.!J207</f>
        <v>0</v>
      </c>
      <c r="K208" s="267">
        <f>+เม.ย.!K207+พ.ค.!K207+มิ.ย.!K207</f>
        <v>0</v>
      </c>
      <c r="L208" s="267">
        <f>+เม.ย.!L207+พ.ค.!L207+มิ.ย.!L207</f>
        <v>0</v>
      </c>
      <c r="M208" s="267">
        <f>+เม.ย.!M207+พ.ค.!M207+มิ.ย.!M207</f>
        <v>0</v>
      </c>
      <c r="N208" s="267">
        <f>+เม.ย.!N207+พ.ค.!N207+มิ.ย.!N207</f>
        <v>0</v>
      </c>
      <c r="O208" s="267">
        <f>+เม.ย.!O207+พ.ค.!O207+มิ.ย.!O207</f>
        <v>0</v>
      </c>
      <c r="P208" s="267">
        <f>+เม.ย.!P207+พ.ค.!P207+มิ.ย.!P207</f>
        <v>0</v>
      </c>
      <c r="Q208" s="267">
        <f>+เม.ย.!Q207+พ.ค.!Q207+มิ.ย.!Q207</f>
        <v>0</v>
      </c>
      <c r="R208" s="267">
        <f>+เม.ย.!R207+พ.ค.!R207+มิ.ย.!R207</f>
        <v>0</v>
      </c>
      <c r="S208" s="267">
        <f>+เม.ย.!S207+พ.ค.!S207+มิ.ย.!S207</f>
        <v>0</v>
      </c>
      <c r="T208" s="267"/>
      <c r="U208" s="267">
        <f>+เม.ย.!U207+พ.ค.!U207+มิ.ย.!U207</f>
        <v>0</v>
      </c>
      <c r="V208" s="267">
        <f>+เม.ย.!V207+พ.ค.!V207+มิ.ย.!V207</f>
        <v>0</v>
      </c>
    </row>
    <row r="209" spans="1:23" ht="25.5" customHeight="1">
      <c r="A209" s="9"/>
      <c r="B209" s="130" t="s">
        <v>285</v>
      </c>
      <c r="C209" s="216">
        <f>72000+32000+16100</f>
        <v>120100</v>
      </c>
      <c r="D209" s="131"/>
      <c r="E209" s="267">
        <f>+เม.ย.!E208+พ.ค.!E208+มิ.ย.!E208</f>
        <v>23647</v>
      </c>
      <c r="F209" s="267">
        <f>+เม.ย.!F208+พ.ค.!F208+มิ.ย.!F208</f>
        <v>0</v>
      </c>
      <c r="G209" s="267">
        <f>+เม.ย.!G208+พ.ค.!G208+มิ.ย.!G208</f>
        <v>0</v>
      </c>
      <c r="H209" s="267">
        <f>+เม.ย.!H208+พ.ค.!H208+มิ.ย.!H208</f>
        <v>8634.9</v>
      </c>
      <c r="I209" s="267">
        <f>+เม.ย.!I208+พ.ค.!I208+มิ.ย.!I208</f>
        <v>0</v>
      </c>
      <c r="J209" s="267">
        <f>+เม.ย.!J208+พ.ค.!J208+มิ.ย.!J208</f>
        <v>0</v>
      </c>
      <c r="K209" s="267">
        <f>+เม.ย.!K208+พ.ค.!K208+มิ.ย.!K208</f>
        <v>0</v>
      </c>
      <c r="L209" s="267">
        <f>+เม.ย.!L208+พ.ค.!L208+มิ.ย.!L208</f>
        <v>0</v>
      </c>
      <c r="M209" s="267">
        <f>+เม.ย.!M208+พ.ค.!M208+มิ.ย.!M208</f>
        <v>0</v>
      </c>
      <c r="N209" s="267">
        <f>+เม.ย.!N208+พ.ค.!N208+มิ.ย.!N208</f>
        <v>0</v>
      </c>
      <c r="O209" s="267">
        <f>+เม.ย.!O208+พ.ค.!O208+มิ.ย.!O208</f>
        <v>0</v>
      </c>
      <c r="P209" s="267">
        <f>+เม.ย.!P208+พ.ค.!P208+มิ.ย.!P208</f>
        <v>0</v>
      </c>
      <c r="Q209" s="267">
        <f>+เม.ย.!Q208+พ.ค.!Q208+มิ.ย.!Q208</f>
        <v>0</v>
      </c>
      <c r="R209" s="267">
        <f>+เม.ย.!R208+พ.ค.!R208+มิ.ย.!R208</f>
        <v>0</v>
      </c>
      <c r="S209" s="267">
        <f>+เม.ย.!S208+พ.ค.!S208+มิ.ย.!S208</f>
        <v>0</v>
      </c>
      <c r="T209" s="267"/>
      <c r="U209" s="267">
        <f>+เม.ย.!U208+พ.ค.!U208+มิ.ย.!U208</f>
        <v>0</v>
      </c>
      <c r="V209" s="267">
        <f>+เม.ย.!V208+พ.ค.!V208+มิ.ย.!V208</f>
        <v>0</v>
      </c>
    </row>
    <row r="210" spans="1:23" ht="25.5" customHeight="1" thickBot="1">
      <c r="A210" s="15"/>
      <c r="B210" s="14" t="s">
        <v>5</v>
      </c>
      <c r="C210" s="170">
        <f>SUM(C206:C209)</f>
        <v>525100</v>
      </c>
      <c r="D210" s="132"/>
      <c r="E210" s="267">
        <f>+เม.ย.!E209+พ.ค.!E209+มิ.ย.!E209</f>
        <v>115403.82</v>
      </c>
      <c r="F210" s="267">
        <f>+เม.ย.!F209+พ.ค.!F209+มิ.ย.!F209</f>
        <v>0</v>
      </c>
      <c r="G210" s="267">
        <f>+เม.ย.!G209+พ.ค.!G209+มิ.ย.!G209</f>
        <v>0</v>
      </c>
      <c r="H210" s="267">
        <f>+เม.ย.!H209+พ.ค.!H209+มิ.ย.!H209</f>
        <v>22194.989999999998</v>
      </c>
      <c r="I210" s="267">
        <f>+เม.ย.!I209+พ.ค.!I209+มิ.ย.!I209</f>
        <v>0</v>
      </c>
      <c r="J210" s="267">
        <f>+เม.ย.!J209+พ.ค.!J209+มิ.ย.!J209</f>
        <v>0</v>
      </c>
      <c r="K210" s="267">
        <f>+เม.ย.!K209+พ.ค.!K209+มิ.ย.!K209</f>
        <v>0</v>
      </c>
      <c r="L210" s="267">
        <f>+เม.ย.!L209+พ.ค.!L209+มิ.ย.!L209</f>
        <v>0</v>
      </c>
      <c r="M210" s="267">
        <f>+เม.ย.!M209+พ.ค.!M209+มิ.ย.!M209</f>
        <v>0</v>
      </c>
      <c r="N210" s="267">
        <f>+เม.ย.!N209+พ.ค.!N209+มิ.ย.!N209</f>
        <v>0</v>
      </c>
      <c r="O210" s="267">
        <f>+เม.ย.!O209+พ.ค.!O209+มิ.ย.!O209</f>
        <v>0</v>
      </c>
      <c r="P210" s="267">
        <f>+เม.ย.!P209+พ.ค.!P209+มิ.ย.!P209</f>
        <v>0</v>
      </c>
      <c r="Q210" s="267">
        <f>+เม.ย.!Q209+พ.ค.!Q209+มิ.ย.!Q209</f>
        <v>0</v>
      </c>
      <c r="R210" s="267">
        <f>+เม.ย.!R209+พ.ค.!R209+มิ.ย.!R209</f>
        <v>0</v>
      </c>
      <c r="S210" s="267">
        <f>+เม.ย.!S209+พ.ค.!S209+มิ.ย.!S209</f>
        <v>0</v>
      </c>
      <c r="T210" s="267"/>
      <c r="U210" s="267">
        <f>+เม.ย.!U209+พ.ค.!U209+มิ.ย.!U209</f>
        <v>0</v>
      </c>
      <c r="V210" s="267">
        <f>+เม.ย.!V209+พ.ค.!V209+มิ.ย.!V209</f>
        <v>0</v>
      </c>
      <c r="W210" s="318">
        <f>SUM(D210:V210)</f>
        <v>137598.81</v>
      </c>
    </row>
    <row r="211" spans="1:23" ht="25.5" customHeight="1" thickTop="1">
      <c r="A211" s="3" t="s">
        <v>122</v>
      </c>
      <c r="B211" s="4"/>
      <c r="C211" s="287"/>
      <c r="D211" s="133"/>
      <c r="E211" s="267">
        <f>+เม.ย.!E210+พ.ค.!E210+มิ.ย.!E210</f>
        <v>0</v>
      </c>
      <c r="F211" s="267">
        <f>+เม.ย.!F210+พ.ค.!F210+มิ.ย.!F210</f>
        <v>0</v>
      </c>
      <c r="G211" s="267">
        <f>+เม.ย.!G210+พ.ค.!G210+มิ.ย.!G210</f>
        <v>0</v>
      </c>
      <c r="H211" s="267">
        <f>+เม.ย.!H210+พ.ค.!H210+มิ.ย.!H210</f>
        <v>0</v>
      </c>
      <c r="I211" s="267">
        <f>+เม.ย.!I210+พ.ค.!I210+มิ.ย.!I210</f>
        <v>0</v>
      </c>
      <c r="J211" s="267">
        <f>+เม.ย.!J210+พ.ค.!J210+มิ.ย.!J210</f>
        <v>0</v>
      </c>
      <c r="K211" s="267">
        <f>+เม.ย.!K210+พ.ค.!K210+มิ.ย.!K210</f>
        <v>0</v>
      </c>
      <c r="L211" s="267">
        <f>+เม.ย.!L210+พ.ค.!L210+มิ.ย.!L210</f>
        <v>0</v>
      </c>
      <c r="M211" s="267">
        <f>+เม.ย.!M210+พ.ค.!M210+มิ.ย.!M210</f>
        <v>0</v>
      </c>
      <c r="N211" s="267">
        <f>+เม.ย.!N210+พ.ค.!N210+มิ.ย.!N210</f>
        <v>0</v>
      </c>
      <c r="O211" s="267">
        <f>+เม.ย.!O210+พ.ค.!O210+มิ.ย.!O210</f>
        <v>0</v>
      </c>
      <c r="P211" s="267">
        <f>+เม.ย.!P210+พ.ค.!P210+มิ.ย.!P210</f>
        <v>0</v>
      </c>
      <c r="Q211" s="267">
        <f>+เม.ย.!Q210+พ.ค.!Q210+มิ.ย.!Q210</f>
        <v>0</v>
      </c>
      <c r="R211" s="267">
        <f>+เม.ย.!R210+พ.ค.!R210+มิ.ย.!R210</f>
        <v>0</v>
      </c>
      <c r="S211" s="267">
        <f>+เม.ย.!S210+พ.ค.!S210+มิ.ย.!S210</f>
        <v>0</v>
      </c>
      <c r="T211" s="267"/>
      <c r="U211" s="267">
        <f>+เม.ย.!U210+พ.ค.!U210+มิ.ย.!U210</f>
        <v>0</v>
      </c>
      <c r="V211" s="267">
        <f>+เม.ย.!V210+พ.ค.!V210+มิ.ย.!V210</f>
        <v>0</v>
      </c>
    </row>
    <row r="212" spans="1:23" ht="25.5" customHeight="1">
      <c r="A212" s="169"/>
      <c r="B212" s="185" t="s">
        <v>323</v>
      </c>
      <c r="C212" s="190">
        <v>864000</v>
      </c>
      <c r="D212" s="131"/>
      <c r="E212" s="267">
        <f>+เม.ย.!E211+พ.ค.!E211+มิ.ย.!E211</f>
        <v>0</v>
      </c>
      <c r="F212" s="267">
        <f>+เม.ย.!F211+พ.ค.!F211+มิ.ย.!F211</f>
        <v>0</v>
      </c>
      <c r="G212" s="267">
        <f>+เม.ย.!G211+พ.ค.!G211+มิ.ย.!G211</f>
        <v>0</v>
      </c>
      <c r="H212" s="267">
        <f>+เม.ย.!H211+พ.ค.!H211+มิ.ย.!H211</f>
        <v>0</v>
      </c>
      <c r="I212" s="267">
        <f>+เม.ย.!I211+พ.ค.!I211+มิ.ย.!I211</f>
        <v>224000</v>
      </c>
      <c r="J212" s="267">
        <f>+เม.ย.!J211+พ.ค.!J211+มิ.ย.!J211</f>
        <v>0</v>
      </c>
      <c r="K212" s="267">
        <f>+เม.ย.!K211+พ.ค.!K211+มิ.ย.!K211</f>
        <v>0</v>
      </c>
      <c r="L212" s="267">
        <f>+เม.ย.!L211+พ.ค.!L211+มิ.ย.!L211</f>
        <v>0</v>
      </c>
      <c r="M212" s="267">
        <f>+เม.ย.!M211+พ.ค.!M211+มิ.ย.!M211</f>
        <v>0</v>
      </c>
      <c r="N212" s="267">
        <f>+เม.ย.!N211+พ.ค.!N211+มิ.ย.!N211</f>
        <v>0</v>
      </c>
      <c r="O212" s="267">
        <f>+เม.ย.!O211+พ.ค.!O211+มิ.ย.!O211</f>
        <v>0</v>
      </c>
      <c r="P212" s="267">
        <f>+เม.ย.!P211+พ.ค.!P211+มิ.ย.!P211</f>
        <v>0</v>
      </c>
      <c r="Q212" s="267">
        <f>+เม.ย.!Q211+พ.ค.!Q211+มิ.ย.!Q211</f>
        <v>0</v>
      </c>
      <c r="R212" s="267">
        <f>+เม.ย.!R211+พ.ค.!R211+มิ.ย.!R211</f>
        <v>0</v>
      </c>
      <c r="S212" s="267">
        <f>+เม.ย.!S211+พ.ค.!S211+มิ.ย.!S211</f>
        <v>0</v>
      </c>
      <c r="T212" s="267"/>
      <c r="U212" s="267">
        <f>+เม.ย.!U211+พ.ค.!U211+มิ.ย.!U211</f>
        <v>0</v>
      </c>
      <c r="V212" s="267">
        <f>+เม.ย.!V211+พ.ค.!V211+มิ.ย.!V211</f>
        <v>0</v>
      </c>
    </row>
    <row r="213" spans="1:23" ht="25.5" customHeight="1">
      <c r="A213" s="169"/>
      <c r="B213" s="185" t="s">
        <v>324</v>
      </c>
      <c r="C213" s="190">
        <v>1096000</v>
      </c>
      <c r="D213" s="131"/>
      <c r="E213" s="267">
        <f>+เม.ย.!E212+พ.ค.!E212+มิ.ย.!E212</f>
        <v>0</v>
      </c>
      <c r="F213" s="267">
        <f>+เม.ย.!F212+พ.ค.!F212+มิ.ย.!F212</f>
        <v>0</v>
      </c>
      <c r="G213" s="267">
        <f>+เม.ย.!G212+พ.ค.!G212+มิ.ย.!G212</f>
        <v>0</v>
      </c>
      <c r="H213" s="267">
        <f>+เม.ย.!H212+พ.ค.!H212+มิ.ย.!H212</f>
        <v>0</v>
      </c>
      <c r="I213" s="267">
        <f>+เม.ย.!I212+พ.ค.!I212+มิ.ย.!I212</f>
        <v>276000</v>
      </c>
      <c r="J213" s="267">
        <f>+เม.ย.!J212+พ.ค.!J212+มิ.ย.!J212</f>
        <v>0</v>
      </c>
      <c r="K213" s="267">
        <f>+เม.ย.!K212+พ.ค.!K212+มิ.ย.!K212</f>
        <v>0</v>
      </c>
      <c r="L213" s="267">
        <f>+เม.ย.!L212+พ.ค.!L212+มิ.ย.!L212</f>
        <v>0</v>
      </c>
      <c r="M213" s="267">
        <f>+เม.ย.!M212+พ.ค.!M212+มิ.ย.!M212</f>
        <v>0</v>
      </c>
      <c r="N213" s="267">
        <f>+เม.ย.!N212+พ.ค.!N212+มิ.ย.!N212</f>
        <v>0</v>
      </c>
      <c r="O213" s="267">
        <f>+เม.ย.!O212+พ.ค.!O212+มิ.ย.!O212</f>
        <v>0</v>
      </c>
      <c r="P213" s="267">
        <f>+เม.ย.!P212+พ.ค.!P212+มิ.ย.!P212</f>
        <v>0</v>
      </c>
      <c r="Q213" s="267">
        <f>+เม.ย.!Q212+พ.ค.!Q212+มิ.ย.!Q212</f>
        <v>0</v>
      </c>
      <c r="R213" s="267">
        <f>+เม.ย.!R212+พ.ค.!R212+มิ.ย.!R212</f>
        <v>0</v>
      </c>
      <c r="S213" s="267">
        <f>+เม.ย.!S212+พ.ค.!S212+มิ.ย.!S212</f>
        <v>0</v>
      </c>
      <c r="T213" s="267"/>
      <c r="U213" s="267">
        <f>+เม.ย.!U212+พ.ค.!U212+มิ.ย.!U212</f>
        <v>0</v>
      </c>
      <c r="V213" s="267">
        <f>+เม.ย.!V212+พ.ค.!V212+มิ.ย.!V212</f>
        <v>0</v>
      </c>
    </row>
    <row r="214" spans="1:23" ht="25.5" customHeight="1">
      <c r="A214" s="169"/>
      <c r="B214" s="185" t="s">
        <v>325</v>
      </c>
      <c r="C214" s="190">
        <v>580000</v>
      </c>
      <c r="D214" s="133"/>
      <c r="E214" s="267">
        <f>+เม.ย.!E213+พ.ค.!E213+มิ.ย.!E213</f>
        <v>0</v>
      </c>
      <c r="F214" s="267">
        <f>+เม.ย.!F213+พ.ค.!F213+มิ.ย.!F213</f>
        <v>0</v>
      </c>
      <c r="G214" s="267">
        <f>+เม.ย.!G213+พ.ค.!G213+มิ.ย.!G213</f>
        <v>0</v>
      </c>
      <c r="H214" s="267">
        <f>+เม.ย.!H213+พ.ค.!H213+มิ.ย.!H213</f>
        <v>0</v>
      </c>
      <c r="I214" s="267">
        <f>+เม.ย.!I213+พ.ค.!I213+มิ.ย.!I213</f>
        <v>140000</v>
      </c>
      <c r="J214" s="267">
        <f>+เม.ย.!J213+พ.ค.!J213+มิ.ย.!J213</f>
        <v>0</v>
      </c>
      <c r="K214" s="267">
        <f>+เม.ย.!K213+พ.ค.!K213+มิ.ย.!K213</f>
        <v>0</v>
      </c>
      <c r="L214" s="267">
        <f>+เม.ย.!L213+พ.ค.!L213+มิ.ย.!L213</f>
        <v>0</v>
      </c>
      <c r="M214" s="267">
        <f>+เม.ย.!M213+พ.ค.!M213+มิ.ย.!M213</f>
        <v>0</v>
      </c>
      <c r="N214" s="267">
        <f>+เม.ย.!N213+พ.ค.!N213+มิ.ย.!N213</f>
        <v>0</v>
      </c>
      <c r="O214" s="267">
        <f>+เม.ย.!O213+พ.ค.!O213+มิ.ย.!O213</f>
        <v>0</v>
      </c>
      <c r="P214" s="267">
        <f>+เม.ย.!P213+พ.ค.!P213+มิ.ย.!P213</f>
        <v>0</v>
      </c>
      <c r="Q214" s="267">
        <f>+เม.ย.!Q213+พ.ค.!Q213+มิ.ย.!Q213</f>
        <v>0</v>
      </c>
      <c r="R214" s="267">
        <f>+เม.ย.!R213+พ.ค.!R213+มิ.ย.!R213</f>
        <v>0</v>
      </c>
      <c r="S214" s="267">
        <f>+เม.ย.!S213+พ.ค.!S213+มิ.ย.!S213</f>
        <v>0</v>
      </c>
      <c r="T214" s="267"/>
      <c r="U214" s="267">
        <f>+เม.ย.!U213+พ.ค.!U213+มิ.ย.!U213</f>
        <v>0</v>
      </c>
      <c r="V214" s="267">
        <f>+เม.ย.!V213+พ.ค.!V213+มิ.ย.!V213</f>
        <v>0</v>
      </c>
    </row>
    <row r="215" spans="1:23" ht="25.5" customHeight="1">
      <c r="A215" s="169"/>
      <c r="B215" s="185" t="s">
        <v>351</v>
      </c>
      <c r="C215" s="190">
        <v>223000</v>
      </c>
      <c r="D215" s="133"/>
      <c r="E215" s="267">
        <f>+เม.ย.!E214+พ.ค.!E214+มิ.ย.!E214</f>
        <v>0</v>
      </c>
      <c r="F215" s="267">
        <f>+เม.ย.!F214+พ.ค.!F214+มิ.ย.!F214</f>
        <v>0</v>
      </c>
      <c r="G215" s="267">
        <f>+เม.ย.!G214+พ.ค.!G214+มิ.ย.!G214</f>
        <v>0</v>
      </c>
      <c r="H215" s="267">
        <f>+เม.ย.!H214+พ.ค.!H214+มิ.ย.!H214</f>
        <v>0</v>
      </c>
      <c r="I215" s="267">
        <f>+เม.ย.!I214+พ.ค.!I214+มิ.ย.!I214</f>
        <v>0</v>
      </c>
      <c r="J215" s="267">
        <f>+เม.ย.!J214+พ.ค.!J214+มิ.ย.!J214</f>
        <v>0</v>
      </c>
      <c r="K215" s="267">
        <f>+เม.ย.!K214+พ.ค.!K214+มิ.ย.!K214</f>
        <v>0</v>
      </c>
      <c r="L215" s="267">
        <f>+เม.ย.!L214+พ.ค.!L214+มิ.ย.!L214</f>
        <v>0</v>
      </c>
      <c r="M215" s="267">
        <f>+เม.ย.!M214+พ.ค.!M214+มิ.ย.!M214</f>
        <v>0</v>
      </c>
      <c r="N215" s="267">
        <f>+เม.ย.!N214+พ.ค.!N214+มิ.ย.!N214</f>
        <v>0</v>
      </c>
      <c r="O215" s="267">
        <f>+เม.ย.!O214+พ.ค.!O214+มิ.ย.!O214</f>
        <v>0</v>
      </c>
      <c r="P215" s="267">
        <f>+เม.ย.!P214+พ.ค.!P214+มิ.ย.!P214</f>
        <v>0</v>
      </c>
      <c r="Q215" s="267">
        <f>+เม.ย.!Q214+พ.ค.!Q214+มิ.ย.!Q214</f>
        <v>0</v>
      </c>
      <c r="R215" s="267">
        <f>+เม.ย.!R214+พ.ค.!R214+มิ.ย.!R214</f>
        <v>0</v>
      </c>
      <c r="S215" s="267">
        <f>+เม.ย.!S214+พ.ค.!S214+มิ.ย.!S214</f>
        <v>0</v>
      </c>
      <c r="T215" s="267"/>
      <c r="U215" s="267">
        <f>+เม.ย.!U214+พ.ค.!U214+มิ.ย.!U214</f>
        <v>0</v>
      </c>
      <c r="V215" s="267">
        <f>+เม.ย.!V214+พ.ค.!V214+มิ.ย.!V214</f>
        <v>0</v>
      </c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3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</row>
    <row r="220" spans="1:23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1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</row>
    <row r="221" spans="1:23" ht="25.5" customHeight="1" thickBot="1">
      <c r="A221" s="15"/>
      <c r="B221" s="14" t="s">
        <v>5</v>
      </c>
      <c r="C221" s="170">
        <f>SUM(C212:C220)</f>
        <v>2763000</v>
      </c>
      <c r="D221" s="255">
        <f>SUM(D212:D220)</f>
        <v>0</v>
      </c>
      <c r="E221" s="254">
        <f t="shared" ref="E221:V221" si="5">SUM(E212:E220)</f>
        <v>0</v>
      </c>
      <c r="F221" s="254">
        <f t="shared" si="5"/>
        <v>0</v>
      </c>
      <c r="G221" s="254">
        <f t="shared" si="5"/>
        <v>0</v>
      </c>
      <c r="H221" s="254">
        <f t="shared" si="5"/>
        <v>0</v>
      </c>
      <c r="I221" s="255">
        <f>SUM(I212:I220)</f>
        <v>640000</v>
      </c>
      <c r="J221" s="255">
        <f t="shared" si="5"/>
        <v>0</v>
      </c>
      <c r="K221" s="255">
        <f t="shared" si="5"/>
        <v>0</v>
      </c>
      <c r="L221" s="255">
        <f t="shared" si="5"/>
        <v>0</v>
      </c>
      <c r="M221" s="254">
        <f t="shared" si="5"/>
        <v>0</v>
      </c>
      <c r="N221" s="255">
        <f t="shared" si="5"/>
        <v>0</v>
      </c>
      <c r="O221" s="255">
        <f t="shared" si="5"/>
        <v>0</v>
      </c>
      <c r="P221" s="255">
        <f t="shared" si="5"/>
        <v>0</v>
      </c>
      <c r="Q221" s="255">
        <f t="shared" si="5"/>
        <v>0</v>
      </c>
      <c r="R221" s="255">
        <f t="shared" si="5"/>
        <v>0</v>
      </c>
      <c r="S221" s="255">
        <f t="shared" si="5"/>
        <v>0</v>
      </c>
      <c r="T221" s="255"/>
      <c r="U221" s="255">
        <f t="shared" si="5"/>
        <v>0</v>
      </c>
      <c r="V221" s="255">
        <f t="shared" si="5"/>
        <v>0</v>
      </c>
      <c r="W221" s="314">
        <f>SUM(D221:V221)</f>
        <v>640000</v>
      </c>
    </row>
    <row r="222" spans="1:23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3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</row>
    <row r="223" spans="1:23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1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</row>
    <row r="224" spans="1:23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5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</row>
    <row r="225" spans="1:24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3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</row>
    <row r="226" spans="1:24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1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4" s="310" customFormat="1" ht="25.5" customHeight="1">
      <c r="A227" s="20"/>
      <c r="B227" s="186" t="s">
        <v>286</v>
      </c>
      <c r="C227" s="294">
        <v>10000</v>
      </c>
      <c r="D227" s="131"/>
      <c r="E227" s="267">
        <f>+เม.ย.!E226+พ.ค.!E226+มิ.ย.!E226</f>
        <v>0</v>
      </c>
      <c r="F227" s="267">
        <f>+เม.ย.!F226+พ.ค.!F226+มิ.ย.!F226</f>
        <v>0</v>
      </c>
      <c r="G227" s="267">
        <f>+เม.ย.!G226+พ.ค.!G226+มิ.ย.!G226</f>
        <v>0</v>
      </c>
      <c r="H227" s="267">
        <f>+เม.ย.!H226+พ.ค.!H226+มิ.ย.!H226</f>
        <v>0</v>
      </c>
      <c r="I227" s="267">
        <f>+เม.ย.!I226+พ.ค.!I226+มิ.ย.!I226</f>
        <v>0</v>
      </c>
      <c r="J227" s="267">
        <f>+เม.ย.!J226+พ.ค.!J226+มิ.ย.!J226</f>
        <v>0</v>
      </c>
      <c r="K227" s="267">
        <f>+เม.ย.!K226+พ.ค.!K226+มิ.ย.!K226</f>
        <v>0</v>
      </c>
      <c r="L227" s="267">
        <f>+เม.ย.!L226+พ.ค.!L226+มิ.ย.!L226</f>
        <v>0</v>
      </c>
      <c r="M227" s="267">
        <f>+เม.ย.!M226+พ.ค.!M226+มิ.ย.!M226</f>
        <v>0</v>
      </c>
      <c r="N227" s="267">
        <f>+เม.ย.!N226+พ.ค.!N226+มิ.ย.!N226</f>
        <v>0</v>
      </c>
      <c r="O227" s="267">
        <f>+เม.ย.!O226+พ.ค.!O226+มิ.ย.!O226</f>
        <v>0</v>
      </c>
      <c r="P227" s="267">
        <f>+เม.ย.!P226+พ.ค.!P226+มิ.ย.!P226</f>
        <v>0</v>
      </c>
      <c r="Q227" s="267">
        <f>+เม.ย.!Q226+พ.ค.!Q226+มิ.ย.!Q226</f>
        <v>0</v>
      </c>
      <c r="R227" s="267">
        <f>+เม.ย.!R226+พ.ค.!R226+มิ.ย.!R226</f>
        <v>0</v>
      </c>
      <c r="S227" s="267">
        <f>+เม.ย.!S226+พ.ค.!S226+มิ.ย.!S226</f>
        <v>0</v>
      </c>
      <c r="T227" s="267"/>
      <c r="U227" s="267">
        <f>+เม.ย.!U226+พ.ค.!U226+มิ.ย.!U226</f>
        <v>0</v>
      </c>
      <c r="V227" s="267">
        <f>+เม.ย.!V226+พ.ค.!V226+มิ.ย.!V226</f>
        <v>0</v>
      </c>
      <c r="X227"/>
    </row>
    <row r="228" spans="1:24" s="310" customFormat="1" ht="25.5" customHeight="1">
      <c r="A228" s="20"/>
      <c r="B228" s="186" t="s">
        <v>287</v>
      </c>
      <c r="C228" s="294">
        <v>4500</v>
      </c>
      <c r="D228" s="131"/>
      <c r="E228" s="267">
        <f>+เม.ย.!E227+พ.ค.!E227+มิ.ย.!E227</f>
        <v>0</v>
      </c>
      <c r="F228" s="267">
        <f>+เม.ย.!F227+พ.ค.!F227+มิ.ย.!F227</f>
        <v>0</v>
      </c>
      <c r="G228" s="267">
        <f>+เม.ย.!G227+พ.ค.!G227+มิ.ย.!G227</f>
        <v>0</v>
      </c>
      <c r="H228" s="267">
        <f>+เม.ย.!H227+พ.ค.!H227+มิ.ย.!H227</f>
        <v>0</v>
      </c>
      <c r="I228" s="267">
        <f>+เม.ย.!I227+พ.ค.!I227+มิ.ย.!I227</f>
        <v>0</v>
      </c>
      <c r="J228" s="267">
        <f>+เม.ย.!J227+พ.ค.!J227+มิ.ย.!J227</f>
        <v>0</v>
      </c>
      <c r="K228" s="267">
        <f>+เม.ย.!K227+พ.ค.!K227+มิ.ย.!K227</f>
        <v>0</v>
      </c>
      <c r="L228" s="267">
        <f>+เม.ย.!L227+พ.ค.!L227+มิ.ย.!L227</f>
        <v>0</v>
      </c>
      <c r="M228" s="267">
        <f>+เม.ย.!M227+พ.ค.!M227+มิ.ย.!M227</f>
        <v>0</v>
      </c>
      <c r="N228" s="267">
        <f>+เม.ย.!N227+พ.ค.!N227+มิ.ย.!N227</f>
        <v>0</v>
      </c>
      <c r="O228" s="267">
        <f>+เม.ย.!O227+พ.ค.!O227+มิ.ย.!O227</f>
        <v>0</v>
      </c>
      <c r="P228" s="267">
        <f>+เม.ย.!P227+พ.ค.!P227+มิ.ย.!P227</f>
        <v>0</v>
      </c>
      <c r="Q228" s="267">
        <f>+เม.ย.!Q227+พ.ค.!Q227+มิ.ย.!Q227</f>
        <v>0</v>
      </c>
      <c r="R228" s="267">
        <f>+เม.ย.!R227+พ.ค.!R227+มิ.ย.!R227</f>
        <v>0</v>
      </c>
      <c r="S228" s="267">
        <f>+เม.ย.!S227+พ.ค.!S227+มิ.ย.!S227</f>
        <v>0</v>
      </c>
      <c r="T228" s="267"/>
      <c r="U228" s="267">
        <f>+เม.ย.!U227+พ.ค.!U227+มิ.ย.!U227</f>
        <v>0</v>
      </c>
      <c r="V228" s="267">
        <f>+เม.ย.!V227+พ.ค.!V227+มิ.ย.!V227</f>
        <v>0</v>
      </c>
      <c r="X228"/>
    </row>
    <row r="229" spans="1:24" s="310" customFormat="1" ht="25.5" customHeight="1">
      <c r="A229" s="20"/>
      <c r="B229" s="186" t="s">
        <v>288</v>
      </c>
      <c r="C229" s="294">
        <v>3000</v>
      </c>
      <c r="D229" s="131"/>
      <c r="E229" s="267">
        <f>+เม.ย.!E228+พ.ค.!E228+มิ.ย.!E228</f>
        <v>0</v>
      </c>
      <c r="F229" s="267">
        <f>+เม.ย.!F228+พ.ค.!F228+มิ.ย.!F228</f>
        <v>0</v>
      </c>
      <c r="G229" s="267">
        <f>+เม.ย.!G228+พ.ค.!G228+มิ.ย.!G228</f>
        <v>0</v>
      </c>
      <c r="H229" s="267">
        <f>+เม.ย.!H228+พ.ค.!H228+มิ.ย.!H228</f>
        <v>0</v>
      </c>
      <c r="I229" s="267">
        <f>+เม.ย.!I228+พ.ค.!I228+มิ.ย.!I228</f>
        <v>0</v>
      </c>
      <c r="J229" s="267">
        <f>+เม.ย.!J228+พ.ค.!J228+มิ.ย.!J228</f>
        <v>0</v>
      </c>
      <c r="K229" s="267">
        <f>+เม.ย.!K228+พ.ค.!K228+มิ.ย.!K228</f>
        <v>0</v>
      </c>
      <c r="L229" s="267">
        <f>+เม.ย.!L228+พ.ค.!L228+มิ.ย.!L228</f>
        <v>0</v>
      </c>
      <c r="M229" s="267">
        <f>+เม.ย.!M228+พ.ค.!M228+มิ.ย.!M228</f>
        <v>0</v>
      </c>
      <c r="N229" s="267">
        <f>+เม.ย.!N228+พ.ค.!N228+มิ.ย.!N228</f>
        <v>0</v>
      </c>
      <c r="O229" s="267">
        <f>+เม.ย.!O228+พ.ค.!O228+มิ.ย.!O228</f>
        <v>0</v>
      </c>
      <c r="P229" s="267">
        <f>+เม.ย.!P228+พ.ค.!P228+มิ.ย.!P228</f>
        <v>0</v>
      </c>
      <c r="Q229" s="267">
        <f>+เม.ย.!Q228+พ.ค.!Q228+มิ.ย.!Q228</f>
        <v>0</v>
      </c>
      <c r="R229" s="267">
        <f>+เม.ย.!R228+พ.ค.!R228+มิ.ย.!R228</f>
        <v>0</v>
      </c>
      <c r="S229" s="267">
        <f>+เม.ย.!S228+พ.ค.!S228+มิ.ย.!S228</f>
        <v>0</v>
      </c>
      <c r="T229" s="267"/>
      <c r="U229" s="267">
        <f>+เม.ย.!U228+พ.ค.!U228+มิ.ย.!U228</f>
        <v>0</v>
      </c>
      <c r="V229" s="267">
        <f>+เม.ย.!V228+พ.ค.!V228+มิ.ย.!V228</f>
        <v>0</v>
      </c>
      <c r="X229"/>
    </row>
    <row r="230" spans="1:24" s="310" customFormat="1" ht="25.5" customHeight="1">
      <c r="A230" s="20"/>
      <c r="B230" s="186" t="s">
        <v>289</v>
      </c>
      <c r="C230" s="294">
        <v>20000</v>
      </c>
      <c r="D230" s="131"/>
      <c r="E230" s="267">
        <f>+เม.ย.!E229+พ.ค.!E229+มิ.ย.!E229</f>
        <v>0</v>
      </c>
      <c r="F230" s="267">
        <f>+เม.ย.!F229+พ.ค.!F229+มิ.ย.!F229</f>
        <v>0</v>
      </c>
      <c r="G230" s="267">
        <f>+เม.ย.!G229+พ.ค.!G229+มิ.ย.!G229</f>
        <v>0</v>
      </c>
      <c r="H230" s="267">
        <f>+เม.ย.!H229+พ.ค.!H229+มิ.ย.!H229</f>
        <v>0</v>
      </c>
      <c r="I230" s="267">
        <f>+เม.ย.!I229+พ.ค.!I229+มิ.ย.!I229</f>
        <v>0</v>
      </c>
      <c r="J230" s="267">
        <f>+เม.ย.!J229+พ.ค.!J229+มิ.ย.!J229</f>
        <v>0</v>
      </c>
      <c r="K230" s="267">
        <f>+เม.ย.!K229+พ.ค.!K229+มิ.ย.!K229</f>
        <v>0</v>
      </c>
      <c r="L230" s="267">
        <f>+เม.ย.!L229+พ.ค.!L229+มิ.ย.!L229</f>
        <v>0</v>
      </c>
      <c r="M230" s="267">
        <f>+เม.ย.!M229+พ.ค.!M229+มิ.ย.!M229</f>
        <v>0</v>
      </c>
      <c r="N230" s="267">
        <f>+เม.ย.!N229+พ.ค.!N229+มิ.ย.!N229</f>
        <v>0</v>
      </c>
      <c r="O230" s="267">
        <f>+เม.ย.!O229+พ.ค.!O229+มิ.ย.!O229</f>
        <v>0</v>
      </c>
      <c r="P230" s="267">
        <f>+เม.ย.!P229+พ.ค.!P229+มิ.ย.!P229</f>
        <v>0</v>
      </c>
      <c r="Q230" s="267">
        <f>+เม.ย.!Q229+พ.ค.!Q229+มิ.ย.!Q229</f>
        <v>0</v>
      </c>
      <c r="R230" s="267">
        <f>+เม.ย.!R229+พ.ค.!R229+มิ.ย.!R229</f>
        <v>0</v>
      </c>
      <c r="S230" s="267">
        <f>+เม.ย.!S229+พ.ค.!S229+มิ.ย.!S229</f>
        <v>0</v>
      </c>
      <c r="T230" s="267"/>
      <c r="U230" s="267">
        <f>+เม.ย.!U229+พ.ค.!U229+มิ.ย.!U229</f>
        <v>0</v>
      </c>
      <c r="V230" s="267">
        <f>+เม.ย.!V229+พ.ค.!V229+มิ.ย.!V229</f>
        <v>0</v>
      </c>
      <c r="X230"/>
    </row>
    <row r="231" spans="1:24" s="310" customFormat="1" ht="25.5" customHeight="1">
      <c r="A231" s="20"/>
      <c r="B231" s="186" t="s">
        <v>290</v>
      </c>
      <c r="C231" s="295">
        <f>5500+5500</f>
        <v>11000</v>
      </c>
      <c r="D231" s="131"/>
      <c r="E231" s="267">
        <f>+เม.ย.!E230+พ.ค.!E230+มิ.ย.!E230</f>
        <v>0</v>
      </c>
      <c r="F231" s="267">
        <f>+เม.ย.!F230+พ.ค.!F230+มิ.ย.!F230</f>
        <v>0</v>
      </c>
      <c r="G231" s="267">
        <f>+เม.ย.!G230+พ.ค.!G230+มิ.ย.!G230</f>
        <v>0</v>
      </c>
      <c r="H231" s="267">
        <f>+เม.ย.!H230+พ.ค.!H230+มิ.ย.!H230</f>
        <v>0</v>
      </c>
      <c r="I231" s="267">
        <f>+เม.ย.!I230+พ.ค.!I230+มิ.ย.!I230</f>
        <v>0</v>
      </c>
      <c r="J231" s="267">
        <f>+เม.ย.!J230+พ.ค.!J230+มิ.ย.!J230</f>
        <v>0</v>
      </c>
      <c r="K231" s="267">
        <f>+เม.ย.!K230+พ.ค.!K230+มิ.ย.!K230</f>
        <v>0</v>
      </c>
      <c r="L231" s="267">
        <f>+เม.ย.!L230+พ.ค.!L230+มิ.ย.!L230</f>
        <v>0</v>
      </c>
      <c r="M231" s="267">
        <f>+เม.ย.!M230+พ.ค.!M230+มิ.ย.!M230</f>
        <v>0</v>
      </c>
      <c r="N231" s="267">
        <f>+เม.ย.!N230+พ.ค.!N230+มิ.ย.!N230</f>
        <v>0</v>
      </c>
      <c r="O231" s="267">
        <f>+เม.ย.!O230+พ.ค.!O230+มิ.ย.!O230</f>
        <v>0</v>
      </c>
      <c r="P231" s="267">
        <f>+เม.ย.!P230+พ.ค.!P230+มิ.ย.!P230</f>
        <v>0</v>
      </c>
      <c r="Q231" s="267">
        <f>+เม.ย.!Q230+พ.ค.!Q230+มิ.ย.!Q230</f>
        <v>0</v>
      </c>
      <c r="R231" s="267">
        <f>+เม.ย.!R230+พ.ค.!R230+มิ.ย.!R230</f>
        <v>0</v>
      </c>
      <c r="S231" s="267">
        <f>+เม.ย.!S230+พ.ค.!S230+มิ.ย.!S230</f>
        <v>0</v>
      </c>
      <c r="T231" s="267"/>
      <c r="U231" s="267">
        <f>+เม.ย.!U230+พ.ค.!U230+มิ.ย.!U230</f>
        <v>0</v>
      </c>
      <c r="V231" s="267">
        <f>+เม.ย.!V230+พ.ค.!V230+มิ.ย.!V230</f>
        <v>0</v>
      </c>
      <c r="X231"/>
    </row>
    <row r="232" spans="1:24" s="310" customFormat="1" ht="25.5" customHeight="1">
      <c r="A232" s="20"/>
      <c r="B232" s="186" t="s">
        <v>305</v>
      </c>
      <c r="C232" s="295">
        <v>16000</v>
      </c>
      <c r="D232" s="131"/>
      <c r="E232" s="267">
        <f>+เม.ย.!E231+พ.ค.!E231+มิ.ย.!E231</f>
        <v>0</v>
      </c>
      <c r="F232" s="267">
        <f>+เม.ย.!F231+พ.ค.!F231+มิ.ย.!F231</f>
        <v>0</v>
      </c>
      <c r="G232" s="267">
        <f>+เม.ย.!G231+พ.ค.!G231+มิ.ย.!G231</f>
        <v>0</v>
      </c>
      <c r="H232" s="267">
        <f>+เม.ย.!H231+พ.ค.!H231+มิ.ย.!H231</f>
        <v>0</v>
      </c>
      <c r="I232" s="267">
        <f>+เม.ย.!I231+พ.ค.!I231+มิ.ย.!I231</f>
        <v>0</v>
      </c>
      <c r="J232" s="267">
        <f>+เม.ย.!J231+พ.ค.!J231+มิ.ย.!J231</f>
        <v>0</v>
      </c>
      <c r="K232" s="267">
        <f>+เม.ย.!K231+พ.ค.!K231+มิ.ย.!K231</f>
        <v>0</v>
      </c>
      <c r="L232" s="267">
        <f>+เม.ย.!L231+พ.ค.!L231+มิ.ย.!L231</f>
        <v>0</v>
      </c>
      <c r="M232" s="267">
        <f>+เม.ย.!M231+พ.ค.!M231+มิ.ย.!M231</f>
        <v>0</v>
      </c>
      <c r="N232" s="267">
        <f>+เม.ย.!N231+พ.ค.!N231+มิ.ย.!N231</f>
        <v>0</v>
      </c>
      <c r="O232" s="267">
        <f>+เม.ย.!O231+พ.ค.!O231+มิ.ย.!O231</f>
        <v>0</v>
      </c>
      <c r="P232" s="267">
        <f>+เม.ย.!P231+พ.ค.!P231+มิ.ย.!P231</f>
        <v>0</v>
      </c>
      <c r="Q232" s="267">
        <f>+เม.ย.!Q231+พ.ค.!Q231+มิ.ย.!Q231</f>
        <v>0</v>
      </c>
      <c r="R232" s="267">
        <f>+เม.ย.!R231+พ.ค.!R231+มิ.ย.!R231</f>
        <v>0</v>
      </c>
      <c r="S232" s="267">
        <f>+เม.ย.!S231+พ.ค.!S231+มิ.ย.!S231</f>
        <v>0</v>
      </c>
      <c r="T232" s="267"/>
      <c r="U232" s="267">
        <f>+เม.ย.!U231+พ.ค.!U231+มิ.ย.!U231</f>
        <v>0</v>
      </c>
      <c r="V232" s="267">
        <f>+เม.ย.!V231+พ.ค.!V231+มิ.ย.!V231</f>
        <v>0</v>
      </c>
      <c r="X232"/>
    </row>
    <row r="233" spans="1:24" s="310" customFormat="1" ht="25.5" customHeight="1">
      <c r="A233" s="20"/>
      <c r="B233" s="186" t="s">
        <v>334</v>
      </c>
      <c r="C233" s="295">
        <v>4500</v>
      </c>
      <c r="D233" s="131"/>
      <c r="E233" s="267">
        <f>+เม.ย.!E232+พ.ค.!E232+มิ.ย.!E232</f>
        <v>0</v>
      </c>
      <c r="F233" s="267">
        <f>+เม.ย.!F232+พ.ค.!F232+มิ.ย.!F232</f>
        <v>0</v>
      </c>
      <c r="G233" s="267">
        <f>+เม.ย.!G232+พ.ค.!G232+มิ.ย.!G232</f>
        <v>0</v>
      </c>
      <c r="H233" s="267">
        <f>+เม.ย.!H232+พ.ค.!H232+มิ.ย.!H232</f>
        <v>0</v>
      </c>
      <c r="I233" s="267">
        <f>+เม.ย.!I232+พ.ค.!I232+มิ.ย.!I232</f>
        <v>0</v>
      </c>
      <c r="J233" s="267">
        <f>+เม.ย.!J232+พ.ค.!J232+มิ.ย.!J232</f>
        <v>0</v>
      </c>
      <c r="K233" s="267">
        <f>+เม.ย.!K232+พ.ค.!K232+มิ.ย.!K232</f>
        <v>0</v>
      </c>
      <c r="L233" s="267">
        <f>+เม.ย.!L232+พ.ค.!L232+มิ.ย.!L232</f>
        <v>0</v>
      </c>
      <c r="M233" s="267">
        <f>+เม.ย.!M232+พ.ค.!M232+มิ.ย.!M232</f>
        <v>0</v>
      </c>
      <c r="N233" s="267">
        <f>+เม.ย.!N232+พ.ค.!N232+มิ.ย.!N232</f>
        <v>0</v>
      </c>
      <c r="O233" s="267">
        <f>+เม.ย.!O232+พ.ค.!O232+มิ.ย.!O232</f>
        <v>0</v>
      </c>
      <c r="P233" s="267">
        <f>+เม.ย.!P232+พ.ค.!P232+มิ.ย.!P232</f>
        <v>0</v>
      </c>
      <c r="Q233" s="267">
        <f>+เม.ย.!Q232+พ.ค.!Q232+มิ.ย.!Q232</f>
        <v>0</v>
      </c>
      <c r="R233" s="267">
        <f>+เม.ย.!R232+พ.ค.!R232+มิ.ย.!R232</f>
        <v>0</v>
      </c>
      <c r="S233" s="267">
        <f>+เม.ย.!S232+พ.ค.!S232+มิ.ย.!S232</f>
        <v>0</v>
      </c>
      <c r="T233" s="267"/>
      <c r="U233" s="267">
        <f>+เม.ย.!U232+พ.ค.!U232+มิ.ย.!U232</f>
        <v>0</v>
      </c>
      <c r="V233" s="267">
        <f>+เม.ย.!V232+พ.ค.!V232+มิ.ย.!V232</f>
        <v>0</v>
      </c>
      <c r="X233"/>
    </row>
    <row r="234" spans="1:24" s="310" customFormat="1" ht="25.5" customHeight="1">
      <c r="A234" s="20"/>
      <c r="B234" s="186" t="s">
        <v>335</v>
      </c>
      <c r="C234" s="295">
        <v>4500</v>
      </c>
      <c r="D234" s="131"/>
      <c r="E234" s="267">
        <f>+เม.ย.!E233+พ.ค.!E233+มิ.ย.!E233</f>
        <v>0</v>
      </c>
      <c r="F234" s="267">
        <f>+เม.ย.!F233+พ.ค.!F233+มิ.ย.!F233</f>
        <v>0</v>
      </c>
      <c r="G234" s="267">
        <f>+เม.ย.!G233+พ.ค.!G233+มิ.ย.!G233</f>
        <v>0</v>
      </c>
      <c r="H234" s="267">
        <f>+เม.ย.!H233+พ.ค.!H233+มิ.ย.!H233</f>
        <v>0</v>
      </c>
      <c r="I234" s="267">
        <f>+เม.ย.!I233+พ.ค.!I233+มิ.ย.!I233</f>
        <v>0</v>
      </c>
      <c r="J234" s="267">
        <f>+เม.ย.!J233+พ.ค.!J233+มิ.ย.!J233</f>
        <v>0</v>
      </c>
      <c r="K234" s="267">
        <f>+เม.ย.!K233+พ.ค.!K233+มิ.ย.!K233</f>
        <v>0</v>
      </c>
      <c r="L234" s="267">
        <f>+เม.ย.!L233+พ.ค.!L233+มิ.ย.!L233</f>
        <v>0</v>
      </c>
      <c r="M234" s="267">
        <f>+เม.ย.!M233+พ.ค.!M233+มิ.ย.!M233</f>
        <v>0</v>
      </c>
      <c r="N234" s="267">
        <f>+เม.ย.!N233+พ.ค.!N233+มิ.ย.!N233</f>
        <v>0</v>
      </c>
      <c r="O234" s="267">
        <f>+เม.ย.!O233+พ.ค.!O233+มิ.ย.!O233</f>
        <v>0</v>
      </c>
      <c r="P234" s="267">
        <f>+เม.ย.!P233+พ.ค.!P233+มิ.ย.!P233</f>
        <v>0</v>
      </c>
      <c r="Q234" s="267">
        <f>+เม.ย.!Q233+พ.ค.!Q233+มิ.ย.!Q233</f>
        <v>0</v>
      </c>
      <c r="R234" s="267">
        <f>+เม.ย.!R233+พ.ค.!R233+มิ.ย.!R233</f>
        <v>0</v>
      </c>
      <c r="S234" s="267">
        <f>+เม.ย.!S233+พ.ค.!S233+มิ.ย.!S233</f>
        <v>0</v>
      </c>
      <c r="T234" s="267"/>
      <c r="U234" s="267">
        <f>+เม.ย.!U233+พ.ค.!U233+มิ.ย.!U233</f>
        <v>0</v>
      </c>
      <c r="V234" s="267">
        <f>+เม.ย.!V233+พ.ค.!V233+มิ.ย.!V233</f>
        <v>0</v>
      </c>
      <c r="X234"/>
    </row>
    <row r="235" spans="1:24" s="310" customFormat="1" ht="25.5" customHeight="1">
      <c r="A235" s="20"/>
      <c r="B235" s="186"/>
      <c r="C235" s="295"/>
      <c r="D235" s="131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67"/>
      <c r="Q235" s="267"/>
      <c r="R235" s="267"/>
      <c r="S235" s="267"/>
      <c r="T235" s="267"/>
      <c r="U235" s="267"/>
      <c r="V235" s="267"/>
      <c r="X235"/>
    </row>
    <row r="236" spans="1:24" s="310" customFormat="1" ht="25.5" customHeight="1">
      <c r="A236" s="20"/>
      <c r="B236" s="252" t="s">
        <v>292</v>
      </c>
      <c r="C236" s="295"/>
      <c r="D236" s="131"/>
      <c r="E236" s="267">
        <f>+เม.ย.!E234+พ.ค.!E234+มิ.ย.!E234</f>
        <v>0</v>
      </c>
      <c r="F236" s="267">
        <f>+เม.ย.!F234+พ.ค.!F234+มิ.ย.!F234</f>
        <v>0</v>
      </c>
      <c r="G236" s="267">
        <f>+เม.ย.!G234+พ.ค.!G234+มิ.ย.!G234</f>
        <v>0</v>
      </c>
      <c r="H236" s="267">
        <f>+เม.ย.!H234+พ.ค.!H234+มิ.ย.!H234</f>
        <v>0</v>
      </c>
      <c r="I236" s="267">
        <f>+เม.ย.!I234+พ.ค.!I234+มิ.ย.!I234</f>
        <v>0</v>
      </c>
      <c r="J236" s="267">
        <f>+เม.ย.!J234+พ.ค.!J234+มิ.ย.!J234</f>
        <v>0</v>
      </c>
      <c r="K236" s="267">
        <f>+เม.ย.!K234+พ.ค.!K234+มิ.ย.!K234</f>
        <v>0</v>
      </c>
      <c r="L236" s="267">
        <f>+เม.ย.!L234+พ.ค.!L234+มิ.ย.!L234</f>
        <v>0</v>
      </c>
      <c r="M236" s="267">
        <f>+เม.ย.!M234+พ.ค.!M234+มิ.ย.!M234</f>
        <v>0</v>
      </c>
      <c r="N236" s="267">
        <f>+เม.ย.!N234+พ.ค.!N234+มิ.ย.!N234</f>
        <v>0</v>
      </c>
      <c r="O236" s="267">
        <f>+เม.ย.!O234+พ.ค.!O234+มิ.ย.!O234</f>
        <v>0</v>
      </c>
      <c r="P236" s="267">
        <f>+เม.ย.!P234+พ.ค.!P234+มิ.ย.!P234</f>
        <v>0</v>
      </c>
      <c r="Q236" s="267">
        <f>+เม.ย.!Q234+พ.ค.!Q234+มิ.ย.!Q234</f>
        <v>0</v>
      </c>
      <c r="R236" s="267">
        <f>+เม.ย.!R234+พ.ค.!R234+มิ.ย.!R234</f>
        <v>0</v>
      </c>
      <c r="S236" s="267">
        <f>+เม.ย.!S234+พ.ค.!S234+มิ.ย.!S234</f>
        <v>0</v>
      </c>
      <c r="T236" s="267"/>
      <c r="U236" s="267">
        <f>+เม.ย.!U234+พ.ค.!U234+มิ.ย.!U234</f>
        <v>0</v>
      </c>
      <c r="V236" s="267">
        <f>+เม.ย.!V234+พ.ค.!V234+มิ.ย.!V234</f>
        <v>0</v>
      </c>
      <c r="X236"/>
    </row>
    <row r="237" spans="1:24" s="310" customFormat="1" ht="25.5" customHeight="1">
      <c r="A237" s="20"/>
      <c r="B237" s="186" t="s">
        <v>293</v>
      </c>
      <c r="C237" s="295">
        <v>32000</v>
      </c>
      <c r="D237" s="131"/>
      <c r="E237" s="267">
        <f>+เม.ย.!E235+พ.ค.!E235+มิ.ย.!E235</f>
        <v>0</v>
      </c>
      <c r="F237" s="267">
        <f>+เม.ย.!F235+พ.ค.!F235+มิ.ย.!F235</f>
        <v>0</v>
      </c>
      <c r="G237" s="267">
        <f>+เม.ย.!G235+พ.ค.!G235+มิ.ย.!G235</f>
        <v>0</v>
      </c>
      <c r="H237" s="267">
        <f>+เม.ย.!H235+พ.ค.!H235+มิ.ย.!H235</f>
        <v>0</v>
      </c>
      <c r="I237" s="267">
        <f>+เม.ย.!I235+พ.ค.!I235+มิ.ย.!I235</f>
        <v>0</v>
      </c>
      <c r="J237" s="267">
        <f>+เม.ย.!J235+พ.ค.!J235+มิ.ย.!J235</f>
        <v>0</v>
      </c>
      <c r="K237" s="267">
        <f>+เม.ย.!K235+พ.ค.!K235+มิ.ย.!K235</f>
        <v>0</v>
      </c>
      <c r="L237" s="267">
        <f>+เม.ย.!L235+พ.ค.!L235+มิ.ย.!L235</f>
        <v>0</v>
      </c>
      <c r="M237" s="267">
        <f>+เม.ย.!M235+พ.ค.!M235+มิ.ย.!M235</f>
        <v>0</v>
      </c>
      <c r="N237" s="267">
        <f>+เม.ย.!N235+พ.ค.!N235+มิ.ย.!N235</f>
        <v>0</v>
      </c>
      <c r="O237" s="267">
        <f>+เม.ย.!O235+พ.ค.!O235+มิ.ย.!O235</f>
        <v>0</v>
      </c>
      <c r="P237" s="267">
        <f>+เม.ย.!P235+พ.ค.!P235+มิ.ย.!P235</f>
        <v>0</v>
      </c>
      <c r="Q237" s="267">
        <f>+เม.ย.!Q235+พ.ค.!Q235+มิ.ย.!Q235</f>
        <v>0</v>
      </c>
      <c r="R237" s="267">
        <f>+เม.ย.!R235+พ.ค.!R235+มิ.ย.!R235</f>
        <v>0</v>
      </c>
      <c r="S237" s="267">
        <f>+เม.ย.!S235+พ.ค.!S235+มิ.ย.!S235</f>
        <v>0</v>
      </c>
      <c r="T237" s="267"/>
      <c r="U237" s="267">
        <f>+เม.ย.!U235+พ.ค.!U235+มิ.ย.!U235</f>
        <v>0</v>
      </c>
      <c r="V237" s="267">
        <f>+เม.ย.!V235+พ.ค.!V235+มิ.ย.!V235</f>
        <v>0</v>
      </c>
      <c r="X237"/>
    </row>
    <row r="238" spans="1:24" s="310" customFormat="1" ht="25.5" customHeight="1">
      <c r="A238" s="20"/>
      <c r="B238" s="186" t="s">
        <v>125</v>
      </c>
      <c r="C238" s="295">
        <f>2800+2800+2300</f>
        <v>7900</v>
      </c>
      <c r="D238" s="131"/>
      <c r="E238" s="267">
        <f>+เม.ย.!E236+พ.ค.!E236+มิ.ย.!E236</f>
        <v>0</v>
      </c>
      <c r="F238" s="267">
        <f>+เม.ย.!F236+พ.ค.!F236+มิ.ย.!F236</f>
        <v>0</v>
      </c>
      <c r="G238" s="267">
        <f>+เม.ย.!G236+พ.ค.!G236+มิ.ย.!G236</f>
        <v>0</v>
      </c>
      <c r="H238" s="267">
        <f>+เม.ย.!H236+พ.ค.!H236+มิ.ย.!H236</f>
        <v>2300</v>
      </c>
      <c r="I238" s="267">
        <f>+เม.ย.!I236+พ.ค.!I236+มิ.ย.!I236</f>
        <v>0</v>
      </c>
      <c r="J238" s="267">
        <f>+เม.ย.!J236+พ.ค.!J236+มิ.ย.!J236</f>
        <v>0</v>
      </c>
      <c r="K238" s="267">
        <f>+เม.ย.!K236+พ.ค.!K236+มิ.ย.!K236</f>
        <v>0</v>
      </c>
      <c r="L238" s="267">
        <f>+เม.ย.!L236+พ.ค.!L236+มิ.ย.!L236</f>
        <v>0</v>
      </c>
      <c r="M238" s="267">
        <f>+เม.ย.!M236+พ.ค.!M236+มิ.ย.!M236</f>
        <v>0</v>
      </c>
      <c r="N238" s="267">
        <f>+เม.ย.!N236+พ.ค.!N236+มิ.ย.!N236</f>
        <v>0</v>
      </c>
      <c r="O238" s="267">
        <f>+เม.ย.!O236+พ.ค.!O236+มิ.ย.!O236</f>
        <v>0</v>
      </c>
      <c r="P238" s="267">
        <f>+เม.ย.!P236+พ.ค.!P236+มิ.ย.!P236</f>
        <v>0</v>
      </c>
      <c r="Q238" s="267">
        <f>+เม.ย.!Q236+พ.ค.!Q236+มิ.ย.!Q236</f>
        <v>0</v>
      </c>
      <c r="R238" s="267">
        <f>+เม.ย.!R236+พ.ค.!R236+มิ.ย.!R236</f>
        <v>0</v>
      </c>
      <c r="S238" s="267">
        <f>+เม.ย.!S236+พ.ค.!S236+มิ.ย.!S236</f>
        <v>0</v>
      </c>
      <c r="T238" s="267"/>
      <c r="U238" s="267">
        <f>+เม.ย.!U236+พ.ค.!U236+มิ.ย.!U236</f>
        <v>0</v>
      </c>
      <c r="V238" s="267">
        <f>+เม.ย.!V236+พ.ค.!V236+มิ.ย.!V236</f>
        <v>0</v>
      </c>
      <c r="X238"/>
    </row>
    <row r="239" spans="1:24" s="310" customFormat="1" ht="25.5" customHeight="1">
      <c r="A239" s="20"/>
      <c r="B239" s="186" t="s">
        <v>294</v>
      </c>
      <c r="C239" s="295">
        <v>21000</v>
      </c>
      <c r="D239" s="131"/>
      <c r="E239" s="267">
        <f>+เม.ย.!E237+พ.ค.!E237+มิ.ย.!E237</f>
        <v>0</v>
      </c>
      <c r="F239" s="267">
        <f>+เม.ย.!F237+พ.ค.!F237+มิ.ย.!F237</f>
        <v>0</v>
      </c>
      <c r="G239" s="267">
        <f>+เม.ย.!G237+พ.ค.!G237+มิ.ย.!G237</f>
        <v>0</v>
      </c>
      <c r="H239" s="267">
        <f>+เม.ย.!H237+พ.ค.!H237+มิ.ย.!H237</f>
        <v>0</v>
      </c>
      <c r="I239" s="267">
        <f>+เม.ย.!I237+พ.ค.!I237+มิ.ย.!I237</f>
        <v>0</v>
      </c>
      <c r="J239" s="267">
        <f>+เม.ย.!J237+พ.ค.!J237+มิ.ย.!J237</f>
        <v>0</v>
      </c>
      <c r="K239" s="267">
        <f>+เม.ย.!K237+พ.ค.!K237+มิ.ย.!K237</f>
        <v>0</v>
      </c>
      <c r="L239" s="267">
        <f>+เม.ย.!L237+พ.ค.!L237+มิ.ย.!L237</f>
        <v>0</v>
      </c>
      <c r="M239" s="267">
        <f>+เม.ย.!M237+พ.ค.!M237+มิ.ย.!M237</f>
        <v>0</v>
      </c>
      <c r="N239" s="267">
        <f>+เม.ย.!N237+พ.ค.!N237+มิ.ย.!N237</f>
        <v>0</v>
      </c>
      <c r="O239" s="267">
        <f>+เม.ย.!O237+พ.ค.!O237+มิ.ย.!O237</f>
        <v>0</v>
      </c>
      <c r="P239" s="267">
        <f>+เม.ย.!P237+พ.ค.!P237+มิ.ย.!P237</f>
        <v>0</v>
      </c>
      <c r="Q239" s="267">
        <f>+เม.ย.!Q237+พ.ค.!Q237+มิ.ย.!Q237</f>
        <v>0</v>
      </c>
      <c r="R239" s="267">
        <f>+เม.ย.!R237+พ.ค.!R237+มิ.ย.!R237</f>
        <v>0</v>
      </c>
      <c r="S239" s="267">
        <f>+เม.ย.!S237+พ.ค.!S237+มิ.ย.!S237</f>
        <v>0</v>
      </c>
      <c r="T239" s="267"/>
      <c r="U239" s="267">
        <f>+เม.ย.!U237+พ.ค.!U237+มิ.ย.!U237</f>
        <v>0</v>
      </c>
      <c r="V239" s="267">
        <f>+เม.ย.!V237+พ.ค.!V237+มิ.ย.!V237</f>
        <v>0</v>
      </c>
      <c r="X239"/>
    </row>
    <row r="240" spans="1:24" s="310" customFormat="1" ht="25.5" customHeight="1">
      <c r="A240" s="20"/>
      <c r="B240" s="186" t="s">
        <v>293</v>
      </c>
      <c r="C240" s="295">
        <v>16000</v>
      </c>
      <c r="D240" s="131"/>
      <c r="E240" s="267">
        <f>+เม.ย.!E238+พ.ค.!E238+มิ.ย.!E238</f>
        <v>0</v>
      </c>
      <c r="F240" s="267">
        <f>+เม.ย.!F238+พ.ค.!F238+มิ.ย.!F238</f>
        <v>0</v>
      </c>
      <c r="G240" s="267">
        <f>+เม.ย.!G238+พ.ค.!G238+มิ.ย.!G238</f>
        <v>0</v>
      </c>
      <c r="H240" s="267">
        <f>+เม.ย.!H238+พ.ค.!H238+มิ.ย.!H238</f>
        <v>16000</v>
      </c>
      <c r="I240" s="267">
        <f>+เม.ย.!I238+พ.ค.!I238+มิ.ย.!I238</f>
        <v>0</v>
      </c>
      <c r="J240" s="267">
        <f>+เม.ย.!J238+พ.ค.!J238+มิ.ย.!J238</f>
        <v>0</v>
      </c>
      <c r="K240" s="267">
        <f>+เม.ย.!K238+พ.ค.!K238+มิ.ย.!K238</f>
        <v>0</v>
      </c>
      <c r="L240" s="267">
        <f>+เม.ย.!L238+พ.ค.!L238+มิ.ย.!L238</f>
        <v>0</v>
      </c>
      <c r="M240" s="267">
        <f>+เม.ย.!M238+พ.ค.!M238+มิ.ย.!M238</f>
        <v>0</v>
      </c>
      <c r="N240" s="267">
        <f>+เม.ย.!N238+พ.ค.!N238+มิ.ย.!N238</f>
        <v>0</v>
      </c>
      <c r="O240" s="267">
        <f>+เม.ย.!O238+พ.ค.!O238+มิ.ย.!O238</f>
        <v>0</v>
      </c>
      <c r="P240" s="267">
        <f>+เม.ย.!P238+พ.ค.!P238+มิ.ย.!P238</f>
        <v>0</v>
      </c>
      <c r="Q240" s="267">
        <f>+เม.ย.!Q238+พ.ค.!Q238+มิ.ย.!Q238</f>
        <v>0</v>
      </c>
      <c r="R240" s="267">
        <f>+เม.ย.!R238+พ.ค.!R238+มิ.ย.!R238</f>
        <v>0</v>
      </c>
      <c r="S240" s="267">
        <f>+เม.ย.!S238+พ.ค.!S238+มิ.ย.!S238</f>
        <v>0</v>
      </c>
      <c r="T240" s="267"/>
      <c r="U240" s="267">
        <f>+เม.ย.!U238+พ.ค.!U238+มิ.ย.!U238</f>
        <v>0</v>
      </c>
      <c r="V240" s="267">
        <f>+เม.ย.!V238+พ.ค.!V238+มิ.ย.!V238</f>
        <v>0</v>
      </c>
      <c r="X240"/>
    </row>
    <row r="241" spans="1:24" s="310" customFormat="1" ht="25.5" customHeight="1">
      <c r="A241" s="20"/>
      <c r="B241" s="186" t="s">
        <v>306</v>
      </c>
      <c r="C241" s="295">
        <v>7700</v>
      </c>
      <c r="D241" s="131"/>
      <c r="E241" s="267">
        <f>+เม.ย.!E239+พ.ค.!E239+มิ.ย.!E239</f>
        <v>0</v>
      </c>
      <c r="F241" s="267">
        <f>+เม.ย.!F239+พ.ค.!F239+มิ.ย.!F239</f>
        <v>0</v>
      </c>
      <c r="G241" s="267">
        <f>+เม.ย.!G239+พ.ค.!G239+มิ.ย.!G239</f>
        <v>0</v>
      </c>
      <c r="H241" s="267">
        <f>+เม.ย.!H239+พ.ค.!H239+มิ.ย.!H239</f>
        <v>7700</v>
      </c>
      <c r="I241" s="267">
        <f>+เม.ย.!I239+พ.ค.!I239+มิ.ย.!I239</f>
        <v>0</v>
      </c>
      <c r="J241" s="267">
        <f>+เม.ย.!J239+พ.ค.!J239+มิ.ย.!J239</f>
        <v>0</v>
      </c>
      <c r="K241" s="267">
        <f>+เม.ย.!K239+พ.ค.!K239+มิ.ย.!K239</f>
        <v>0</v>
      </c>
      <c r="L241" s="267">
        <f>+เม.ย.!L239+พ.ค.!L239+มิ.ย.!L239</f>
        <v>0</v>
      </c>
      <c r="M241" s="267">
        <f>+เม.ย.!M239+พ.ค.!M239+มิ.ย.!M239</f>
        <v>0</v>
      </c>
      <c r="N241" s="267">
        <f>+เม.ย.!N239+พ.ค.!N239+มิ.ย.!N239</f>
        <v>0</v>
      </c>
      <c r="O241" s="267">
        <f>+เม.ย.!O239+พ.ค.!O239+มิ.ย.!O239</f>
        <v>0</v>
      </c>
      <c r="P241" s="267">
        <f>+เม.ย.!P239+พ.ค.!P239+มิ.ย.!P239</f>
        <v>0</v>
      </c>
      <c r="Q241" s="267">
        <f>+เม.ย.!Q239+พ.ค.!Q239+มิ.ย.!Q239</f>
        <v>0</v>
      </c>
      <c r="R241" s="267">
        <f>+เม.ย.!R239+พ.ค.!R239+มิ.ย.!R239</f>
        <v>0</v>
      </c>
      <c r="S241" s="267">
        <f>+เม.ย.!S239+พ.ค.!S239+มิ.ย.!S239</f>
        <v>0</v>
      </c>
      <c r="T241" s="267"/>
      <c r="U241" s="267">
        <f>+เม.ย.!U239+พ.ค.!U239+มิ.ย.!U239</f>
        <v>0</v>
      </c>
      <c r="V241" s="267">
        <f>+เม.ย.!V239+พ.ค.!V239+มิ.ย.!V239</f>
        <v>0</v>
      </c>
      <c r="X241"/>
    </row>
    <row r="242" spans="1:24" s="310" customFormat="1" ht="25.5" customHeight="1">
      <c r="A242" s="20"/>
      <c r="B242" s="186"/>
      <c r="C242" s="295"/>
      <c r="D242" s="131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  <c r="R242" s="267"/>
      <c r="S242" s="267"/>
      <c r="T242" s="267"/>
      <c r="U242" s="267"/>
      <c r="V242" s="267"/>
      <c r="X242"/>
    </row>
    <row r="243" spans="1:24" s="310" customFormat="1" ht="25.5" customHeight="1">
      <c r="A243" s="20"/>
      <c r="B243" s="252" t="s">
        <v>336</v>
      </c>
      <c r="C243" s="295"/>
      <c r="D243" s="131"/>
      <c r="E243" s="267">
        <f>+เม.ย.!E240+พ.ค.!E240+มิ.ย.!E240</f>
        <v>0</v>
      </c>
      <c r="F243" s="267">
        <f>+เม.ย.!F240+พ.ค.!F240+มิ.ย.!F240</f>
        <v>0</v>
      </c>
      <c r="G243" s="267">
        <f>+เม.ย.!G240+พ.ค.!G240+มิ.ย.!G240</f>
        <v>0</v>
      </c>
      <c r="H243" s="267">
        <f>+เม.ย.!H240+พ.ค.!H240+มิ.ย.!H240</f>
        <v>0</v>
      </c>
      <c r="I243" s="267">
        <f>+เม.ย.!I240+พ.ค.!I240+มิ.ย.!I240</f>
        <v>0</v>
      </c>
      <c r="J243" s="267">
        <f>+เม.ย.!J240+พ.ค.!J240+มิ.ย.!J240</f>
        <v>0</v>
      </c>
      <c r="K243" s="267">
        <f>+เม.ย.!K240+พ.ค.!K240+มิ.ย.!K240</f>
        <v>0</v>
      </c>
      <c r="L243" s="267">
        <f>+เม.ย.!L240+พ.ค.!L240+มิ.ย.!L240</f>
        <v>0</v>
      </c>
      <c r="M243" s="267">
        <f>+เม.ย.!M240+พ.ค.!M240+มิ.ย.!M240</f>
        <v>0</v>
      </c>
      <c r="N243" s="267">
        <f>+เม.ย.!N240+พ.ค.!N240+มิ.ย.!N240</f>
        <v>0</v>
      </c>
      <c r="O243" s="267">
        <f>+เม.ย.!O240+พ.ค.!O240+มิ.ย.!O240</f>
        <v>0</v>
      </c>
      <c r="P243" s="267">
        <f>+เม.ย.!P240+พ.ค.!P240+มิ.ย.!P240</f>
        <v>0</v>
      </c>
      <c r="Q243" s="267">
        <f>+เม.ย.!Q240+พ.ค.!Q240+มิ.ย.!Q240</f>
        <v>0</v>
      </c>
      <c r="R243" s="267">
        <f>+เม.ย.!R240+พ.ค.!R240+มิ.ย.!R240</f>
        <v>0</v>
      </c>
      <c r="S243" s="267">
        <f>+เม.ย.!S240+พ.ค.!S240+มิ.ย.!S240</f>
        <v>0</v>
      </c>
      <c r="T243" s="267"/>
      <c r="U243" s="267">
        <f>+เม.ย.!U240+พ.ค.!U240+มิ.ย.!U240</f>
        <v>0</v>
      </c>
      <c r="V243" s="267">
        <f>+เม.ย.!V240+พ.ค.!V240+มิ.ย.!V240</f>
        <v>0</v>
      </c>
      <c r="X243"/>
    </row>
    <row r="244" spans="1:24" s="310" customFormat="1" ht="25.5" customHeight="1">
      <c r="A244" s="20"/>
      <c r="B244" s="186" t="s">
        <v>337</v>
      </c>
      <c r="C244" s="295">
        <v>9000</v>
      </c>
      <c r="D244" s="131"/>
      <c r="E244" s="267">
        <f>+เม.ย.!E241+พ.ค.!E241+มิ.ย.!E241</f>
        <v>0</v>
      </c>
      <c r="F244" s="267">
        <f>+เม.ย.!F241+พ.ค.!F241+มิ.ย.!F241</f>
        <v>0</v>
      </c>
      <c r="G244" s="267">
        <f>+เม.ย.!G241+พ.ค.!G241+มิ.ย.!G241</f>
        <v>0</v>
      </c>
      <c r="H244" s="267">
        <f>+เม.ย.!H241+พ.ค.!H241+มิ.ย.!H241</f>
        <v>0</v>
      </c>
      <c r="I244" s="267">
        <f>+เม.ย.!I241+พ.ค.!I241+มิ.ย.!I241</f>
        <v>0</v>
      </c>
      <c r="J244" s="267">
        <f>+เม.ย.!J241+พ.ค.!J241+มิ.ย.!J241</f>
        <v>0</v>
      </c>
      <c r="K244" s="267">
        <f>+เม.ย.!K241+พ.ค.!K241+มิ.ย.!K241</f>
        <v>0</v>
      </c>
      <c r="L244" s="267">
        <f>+เม.ย.!L241+พ.ค.!L241+มิ.ย.!L241</f>
        <v>0</v>
      </c>
      <c r="M244" s="267">
        <f>+เม.ย.!M241+พ.ค.!M241+มิ.ย.!M241</f>
        <v>0</v>
      </c>
      <c r="N244" s="267">
        <f>+เม.ย.!N241+พ.ค.!N241+มิ.ย.!N241</f>
        <v>0</v>
      </c>
      <c r="O244" s="267">
        <f>+เม.ย.!O241+พ.ค.!O241+มิ.ย.!O241</f>
        <v>0</v>
      </c>
      <c r="P244" s="267">
        <f>+เม.ย.!P241+พ.ค.!P241+มิ.ย.!P241</f>
        <v>0</v>
      </c>
      <c r="Q244" s="267">
        <f>+เม.ย.!Q241+พ.ค.!Q241+มิ.ย.!Q241</f>
        <v>0</v>
      </c>
      <c r="R244" s="267">
        <f>+เม.ย.!R241+พ.ค.!R241+มิ.ย.!R241</f>
        <v>0</v>
      </c>
      <c r="S244" s="267">
        <f>+เม.ย.!S241+พ.ค.!S241+มิ.ย.!S241</f>
        <v>0</v>
      </c>
      <c r="T244" s="267"/>
      <c r="U244" s="267">
        <f>+เม.ย.!U241+พ.ค.!U241+มิ.ย.!U241</f>
        <v>0</v>
      </c>
      <c r="V244" s="267">
        <f>+เม.ย.!V241+พ.ค.!V241+มิ.ย.!V241</f>
        <v>0</v>
      </c>
      <c r="X244"/>
    </row>
    <row r="245" spans="1:24" s="310" customFormat="1" ht="25.5" customHeight="1">
      <c r="A245" s="20"/>
      <c r="B245" s="186"/>
      <c r="C245" s="295"/>
      <c r="D245" s="131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  <c r="X245"/>
    </row>
    <row r="246" spans="1:24" ht="25.5" customHeight="1">
      <c r="A246" s="20"/>
      <c r="B246" s="252" t="s">
        <v>338</v>
      </c>
      <c r="C246" s="295"/>
      <c r="D246" s="131"/>
      <c r="E246" s="267">
        <f>+เม.ย.!E242+พ.ค.!E242+มิ.ย.!E242</f>
        <v>0</v>
      </c>
      <c r="F246" s="267">
        <f>+เม.ย.!F242+พ.ค.!F242+มิ.ย.!F242</f>
        <v>0</v>
      </c>
      <c r="G246" s="267">
        <f>+เม.ย.!G242+พ.ค.!G242+มิ.ย.!G242</f>
        <v>0</v>
      </c>
      <c r="H246" s="267">
        <f>+เม.ย.!H242+พ.ค.!H242+มิ.ย.!H242</f>
        <v>0</v>
      </c>
      <c r="I246" s="267">
        <f>+เม.ย.!I242+พ.ค.!I242+มิ.ย.!I242</f>
        <v>0</v>
      </c>
      <c r="J246" s="267">
        <f>+เม.ย.!J242+พ.ค.!J242+มิ.ย.!J242</f>
        <v>0</v>
      </c>
      <c r="K246" s="267">
        <f>+เม.ย.!K242+พ.ค.!K242+มิ.ย.!K242</f>
        <v>0</v>
      </c>
      <c r="L246" s="267">
        <f>+เม.ย.!L242+พ.ค.!L242+มิ.ย.!L242</f>
        <v>0</v>
      </c>
      <c r="M246" s="267">
        <f>+เม.ย.!M242+พ.ค.!M242+มิ.ย.!M242</f>
        <v>0</v>
      </c>
      <c r="N246" s="267">
        <f>+เม.ย.!N242+พ.ค.!N242+มิ.ย.!N242</f>
        <v>0</v>
      </c>
      <c r="O246" s="267">
        <f>+เม.ย.!O242+พ.ค.!O242+มิ.ย.!O242</f>
        <v>0</v>
      </c>
      <c r="P246" s="267">
        <f>+เม.ย.!P242+พ.ค.!P242+มิ.ย.!P242</f>
        <v>0</v>
      </c>
      <c r="Q246" s="267">
        <f>+เม.ย.!Q242+พ.ค.!Q242+มิ.ย.!Q242</f>
        <v>0</v>
      </c>
      <c r="R246" s="267">
        <f>+เม.ย.!R242+พ.ค.!R242+มิ.ย.!R242</f>
        <v>0</v>
      </c>
      <c r="S246" s="267">
        <f>+เม.ย.!S242+พ.ค.!S242+มิ.ย.!S242</f>
        <v>0</v>
      </c>
      <c r="T246" s="267"/>
      <c r="U246" s="267">
        <f>+เม.ย.!U242+พ.ค.!U242+มิ.ย.!U242</f>
        <v>0</v>
      </c>
      <c r="V246" s="267">
        <f>+เม.ย.!V242+พ.ค.!V242+มิ.ย.!V242</f>
        <v>0</v>
      </c>
    </row>
    <row r="247" spans="1:24" ht="25.5" customHeight="1">
      <c r="A247" s="20"/>
      <c r="B247" s="186" t="s">
        <v>339</v>
      </c>
      <c r="C247" s="295">
        <v>8000</v>
      </c>
      <c r="D247" s="131"/>
      <c r="E247" s="267">
        <f>+เม.ย.!E243+พ.ค.!E243+มิ.ย.!E243</f>
        <v>0</v>
      </c>
      <c r="F247" s="267">
        <f>+เม.ย.!F243+พ.ค.!F243+มิ.ย.!F243</f>
        <v>0</v>
      </c>
      <c r="G247" s="267">
        <f>+เม.ย.!G243+พ.ค.!G243+มิ.ย.!G243</f>
        <v>0</v>
      </c>
      <c r="H247" s="267">
        <f>+เม.ย.!H243+พ.ค.!H243+มิ.ย.!H243</f>
        <v>0</v>
      </c>
      <c r="I247" s="267">
        <f>+เม.ย.!I243+พ.ค.!I243+มิ.ย.!I243</f>
        <v>0</v>
      </c>
      <c r="J247" s="267">
        <f>+เม.ย.!J243+พ.ค.!J243+มิ.ย.!J243</f>
        <v>0</v>
      </c>
      <c r="K247" s="267">
        <f>+เม.ย.!K243+พ.ค.!K243+มิ.ย.!K243</f>
        <v>0</v>
      </c>
      <c r="L247" s="267">
        <f>+เม.ย.!L243+พ.ค.!L243+มิ.ย.!L243</f>
        <v>0</v>
      </c>
      <c r="M247" s="267">
        <f>+เม.ย.!M243+พ.ค.!M243+มิ.ย.!M243</f>
        <v>0</v>
      </c>
      <c r="N247" s="267">
        <f>+เม.ย.!N243+พ.ค.!N243+มิ.ย.!N243</f>
        <v>0</v>
      </c>
      <c r="O247" s="267">
        <f>+เม.ย.!O243+พ.ค.!O243+มิ.ย.!O243</f>
        <v>0</v>
      </c>
      <c r="P247" s="267">
        <f>+เม.ย.!P243+พ.ค.!P243+มิ.ย.!P243</f>
        <v>0</v>
      </c>
      <c r="Q247" s="267">
        <f>+เม.ย.!Q243+พ.ค.!Q243+มิ.ย.!Q243</f>
        <v>0</v>
      </c>
      <c r="R247" s="267">
        <f>+เม.ย.!R243+พ.ค.!R243+มิ.ย.!R243</f>
        <v>0</v>
      </c>
      <c r="S247" s="267">
        <f>+เม.ย.!S243+พ.ค.!S243+มิ.ย.!S243</f>
        <v>0</v>
      </c>
      <c r="T247" s="267"/>
      <c r="U247" s="267">
        <f>+เม.ย.!U243+พ.ค.!U243+มิ.ย.!U243</f>
        <v>0</v>
      </c>
      <c r="V247" s="267">
        <f>+เม.ย.!V243+พ.ค.!V243+มิ.ย.!V243</f>
        <v>0</v>
      </c>
    </row>
    <row r="248" spans="1:24" ht="25.5" customHeight="1">
      <c r="A248" s="20"/>
      <c r="B248" s="186" t="s">
        <v>340</v>
      </c>
      <c r="C248" s="295">
        <v>6000</v>
      </c>
      <c r="D248" s="131"/>
      <c r="E248" s="267">
        <f>+เม.ย.!E244+พ.ค.!E244+มิ.ย.!E244</f>
        <v>0</v>
      </c>
      <c r="F248" s="267">
        <f>+เม.ย.!F244+พ.ค.!F244+มิ.ย.!F244</f>
        <v>0</v>
      </c>
      <c r="G248" s="267">
        <f>+เม.ย.!G244+พ.ค.!G244+มิ.ย.!G244</f>
        <v>0</v>
      </c>
      <c r="H248" s="267">
        <f>+เม.ย.!H244+พ.ค.!H244+มิ.ย.!H244</f>
        <v>0</v>
      </c>
      <c r="I248" s="267">
        <f>+เม.ย.!I244+พ.ค.!I244+มิ.ย.!I244</f>
        <v>0</v>
      </c>
      <c r="J248" s="267">
        <f>+เม.ย.!J244+พ.ค.!J244+มิ.ย.!J244</f>
        <v>0</v>
      </c>
      <c r="K248" s="267">
        <f>+เม.ย.!K244+พ.ค.!K244+มิ.ย.!K244</f>
        <v>0</v>
      </c>
      <c r="L248" s="267">
        <f>+เม.ย.!L244+พ.ค.!L244+มิ.ย.!L244</f>
        <v>0</v>
      </c>
      <c r="M248" s="267">
        <f>+เม.ย.!M244+พ.ค.!M244+มิ.ย.!M244</f>
        <v>0</v>
      </c>
      <c r="N248" s="267">
        <f>+เม.ย.!N244+พ.ค.!N244+มิ.ย.!N244</f>
        <v>0</v>
      </c>
      <c r="O248" s="267">
        <f>+เม.ย.!O244+พ.ค.!O244+มิ.ย.!O244</f>
        <v>0</v>
      </c>
      <c r="P248" s="267">
        <f>+เม.ย.!P244+พ.ค.!P244+มิ.ย.!P244</f>
        <v>0</v>
      </c>
      <c r="Q248" s="267">
        <f>+เม.ย.!Q244+พ.ค.!Q244+มิ.ย.!Q244</f>
        <v>0</v>
      </c>
      <c r="R248" s="267">
        <f>+เม.ย.!R244+พ.ค.!R244+มิ.ย.!R244</f>
        <v>0</v>
      </c>
      <c r="S248" s="267">
        <f>+เม.ย.!S244+พ.ค.!S244+มิ.ย.!S244</f>
        <v>0</v>
      </c>
      <c r="T248" s="267"/>
      <c r="U248" s="267">
        <f>+เม.ย.!U244+พ.ค.!U244+มิ.ย.!U244</f>
        <v>0</v>
      </c>
      <c r="V248" s="267">
        <f>+เม.ย.!V244+พ.ค.!V244+มิ.ย.!V244</f>
        <v>0</v>
      </c>
    </row>
    <row r="249" spans="1:24" ht="25.5" customHeight="1">
      <c r="A249" s="20"/>
      <c r="B249" s="186"/>
      <c r="C249" s="295"/>
      <c r="D249" s="131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</row>
    <row r="250" spans="1:24" ht="25.5" customHeight="1">
      <c r="A250" s="20"/>
      <c r="B250" s="252" t="s">
        <v>341</v>
      </c>
      <c r="C250" s="295"/>
      <c r="D250" s="131"/>
      <c r="E250" s="267">
        <f>+เม.ย.!E245+พ.ค.!E245+มิ.ย.!E245</f>
        <v>0</v>
      </c>
      <c r="F250" s="267">
        <f>+เม.ย.!F245+พ.ค.!F245+มิ.ย.!F245</f>
        <v>0</v>
      </c>
      <c r="G250" s="267">
        <f>+เม.ย.!G245+พ.ค.!G245+มิ.ย.!G245</f>
        <v>0</v>
      </c>
      <c r="H250" s="267">
        <f>+เม.ย.!H245+พ.ค.!H245+มิ.ย.!H245</f>
        <v>0</v>
      </c>
      <c r="I250" s="267">
        <f>+เม.ย.!I245+พ.ค.!I245+มิ.ย.!I245</f>
        <v>0</v>
      </c>
      <c r="J250" s="267">
        <f>+เม.ย.!J245+พ.ค.!J245+มิ.ย.!J245</f>
        <v>0</v>
      </c>
      <c r="K250" s="267">
        <f>+เม.ย.!K245+พ.ค.!K245+มิ.ย.!K245</f>
        <v>0</v>
      </c>
      <c r="L250" s="267">
        <f>+เม.ย.!L245+พ.ค.!L245+มิ.ย.!L245</f>
        <v>0</v>
      </c>
      <c r="M250" s="267">
        <f>+เม.ย.!M245+พ.ค.!M245+มิ.ย.!M245</f>
        <v>0</v>
      </c>
      <c r="N250" s="267">
        <f>+เม.ย.!N245+พ.ค.!N245+มิ.ย.!N245</f>
        <v>0</v>
      </c>
      <c r="O250" s="267">
        <f>+เม.ย.!O245+พ.ค.!O245+มิ.ย.!O245</f>
        <v>0</v>
      </c>
      <c r="P250" s="267">
        <f>+เม.ย.!P245+พ.ค.!P245+มิ.ย.!P245</f>
        <v>0</v>
      </c>
      <c r="Q250" s="267">
        <f>+เม.ย.!Q245+พ.ค.!Q245+มิ.ย.!Q245</f>
        <v>0</v>
      </c>
      <c r="R250" s="267">
        <f>+เม.ย.!R245+พ.ค.!R245+มิ.ย.!R245</f>
        <v>0</v>
      </c>
      <c r="S250" s="267">
        <f>+เม.ย.!S245+พ.ค.!S245+มิ.ย.!S245</f>
        <v>0</v>
      </c>
      <c r="T250" s="267"/>
      <c r="U250" s="267">
        <f>+เม.ย.!U245+พ.ค.!U245+มิ.ย.!U245</f>
        <v>0</v>
      </c>
      <c r="V250" s="267">
        <f>+เม.ย.!V245+พ.ค.!V245+มิ.ย.!V245</f>
        <v>0</v>
      </c>
    </row>
    <row r="251" spans="1:24" ht="25.5" customHeight="1">
      <c r="A251" s="20"/>
      <c r="B251" s="186" t="s">
        <v>342</v>
      </c>
      <c r="C251" s="295">
        <v>45300</v>
      </c>
      <c r="D251" s="131"/>
      <c r="E251" s="267">
        <f>+เม.ย.!E246+พ.ค.!E246+มิ.ย.!E246</f>
        <v>0</v>
      </c>
      <c r="F251" s="267">
        <f>+เม.ย.!F246+พ.ค.!F246+มิ.ย.!F246</f>
        <v>0</v>
      </c>
      <c r="G251" s="267">
        <f>+เม.ย.!G246+พ.ค.!G246+มิ.ย.!G246</f>
        <v>0</v>
      </c>
      <c r="H251" s="267">
        <f>+เม.ย.!H246+พ.ค.!H246+มิ.ย.!H246</f>
        <v>0</v>
      </c>
      <c r="I251" s="267">
        <f>+เม.ย.!I246+พ.ค.!I246+มิ.ย.!I246</f>
        <v>0</v>
      </c>
      <c r="J251" s="267">
        <f>+เม.ย.!J246+พ.ค.!J246+มิ.ย.!J246</f>
        <v>0</v>
      </c>
      <c r="K251" s="267">
        <f>+เม.ย.!K246+พ.ค.!K246+มิ.ย.!K246</f>
        <v>0</v>
      </c>
      <c r="L251" s="267">
        <f>+เม.ย.!L246+พ.ค.!L246+มิ.ย.!L246</f>
        <v>0</v>
      </c>
      <c r="M251" s="267">
        <f>+เม.ย.!M246+พ.ค.!M246+มิ.ย.!M246</f>
        <v>0</v>
      </c>
      <c r="N251" s="267">
        <f>+เม.ย.!N246+พ.ค.!N246+มิ.ย.!N246</f>
        <v>0</v>
      </c>
      <c r="O251" s="267">
        <f>+เม.ย.!O246+พ.ค.!O246+มิ.ย.!O246</f>
        <v>0</v>
      </c>
      <c r="P251" s="267">
        <f>+เม.ย.!P246+พ.ค.!P246+มิ.ย.!P246</f>
        <v>0</v>
      </c>
      <c r="Q251" s="267">
        <f>+เม.ย.!Q246+พ.ค.!Q246+มิ.ย.!Q246</f>
        <v>0</v>
      </c>
      <c r="R251" s="267">
        <f>+เม.ย.!R246+พ.ค.!R246+มิ.ย.!R246</f>
        <v>0</v>
      </c>
      <c r="S251" s="267">
        <f>+เม.ย.!S246+พ.ค.!S246+มิ.ย.!S246</f>
        <v>0</v>
      </c>
      <c r="T251" s="267"/>
      <c r="U251" s="267">
        <f>+เม.ย.!U246+พ.ค.!U246+มิ.ย.!U246</f>
        <v>0</v>
      </c>
      <c r="V251" s="267">
        <f>+เม.ย.!V246+พ.ค.!V246+มิ.ย.!V246</f>
        <v>0</v>
      </c>
    </row>
    <row r="252" spans="1:24" ht="25.5" customHeight="1">
      <c r="A252" s="20"/>
      <c r="B252" s="186" t="s">
        <v>343</v>
      </c>
      <c r="C252" s="295">
        <v>128000</v>
      </c>
      <c r="D252" s="131"/>
      <c r="E252" s="267">
        <f>+เม.ย.!E247+พ.ค.!E247+มิ.ย.!E247</f>
        <v>0</v>
      </c>
      <c r="F252" s="267">
        <f>+เม.ย.!F247+พ.ค.!F247+มิ.ย.!F247</f>
        <v>0</v>
      </c>
      <c r="G252" s="267">
        <f>+เม.ย.!G247+พ.ค.!G247+มิ.ย.!G247</f>
        <v>0</v>
      </c>
      <c r="H252" s="267">
        <f>+เม.ย.!H247+พ.ค.!H247+มิ.ย.!H247</f>
        <v>0</v>
      </c>
      <c r="I252" s="267">
        <f>+เม.ย.!I247+พ.ค.!I247+มิ.ย.!I247</f>
        <v>0</v>
      </c>
      <c r="J252" s="267">
        <f>+เม.ย.!J247+พ.ค.!J247+มิ.ย.!J247</f>
        <v>0</v>
      </c>
      <c r="K252" s="267">
        <f>+เม.ย.!K247+พ.ค.!K247+มิ.ย.!K247</f>
        <v>0</v>
      </c>
      <c r="L252" s="267">
        <f>+เม.ย.!L247+พ.ค.!L247+มิ.ย.!L247</f>
        <v>0</v>
      </c>
      <c r="M252" s="267">
        <f>+เม.ย.!M247+พ.ค.!M247+มิ.ย.!M247</f>
        <v>0</v>
      </c>
      <c r="N252" s="267">
        <f>+เม.ย.!N247+พ.ค.!N247+มิ.ย.!N247</f>
        <v>0</v>
      </c>
      <c r="O252" s="267">
        <f>+เม.ย.!O247+พ.ค.!O247+มิ.ย.!O247</f>
        <v>0</v>
      </c>
      <c r="P252" s="267">
        <f>+เม.ย.!P247+พ.ค.!P247+มิ.ย.!P247</f>
        <v>0</v>
      </c>
      <c r="Q252" s="267">
        <f>+เม.ย.!Q247+พ.ค.!Q247+มิ.ย.!Q247</f>
        <v>0</v>
      </c>
      <c r="R252" s="267">
        <f>+เม.ย.!R247+พ.ค.!R247+มิ.ย.!R247</f>
        <v>0</v>
      </c>
      <c r="S252" s="267">
        <f>+เม.ย.!S247+พ.ค.!S247+มิ.ย.!S247</f>
        <v>0</v>
      </c>
      <c r="T252" s="267"/>
      <c r="U252" s="267">
        <f>+เม.ย.!U247+พ.ค.!U247+มิ.ย.!U247</f>
        <v>0</v>
      </c>
      <c r="V252" s="267">
        <f>+เม.ย.!V247+พ.ค.!V247+มิ.ย.!V247</f>
        <v>0</v>
      </c>
    </row>
    <row r="253" spans="1:24" ht="25.5" customHeight="1">
      <c r="A253" s="20"/>
      <c r="B253" s="186" t="s">
        <v>264</v>
      </c>
      <c r="C253" s="295">
        <v>204000</v>
      </c>
      <c r="D253" s="131"/>
      <c r="E253" s="267">
        <f>+เม.ย.!E248+พ.ค.!E248+มิ.ย.!E248</f>
        <v>0</v>
      </c>
      <c r="F253" s="267">
        <f>+เม.ย.!F248+พ.ค.!F248+มิ.ย.!F248</f>
        <v>0</v>
      </c>
      <c r="G253" s="267">
        <f>+เม.ย.!G248+พ.ค.!G248+มิ.ย.!G248</f>
        <v>0</v>
      </c>
      <c r="H253" s="267">
        <f>+เม.ย.!H248+พ.ค.!H248+มิ.ย.!H248</f>
        <v>0</v>
      </c>
      <c r="I253" s="267">
        <f>+เม.ย.!I248+พ.ค.!I248+มิ.ย.!I248</f>
        <v>0</v>
      </c>
      <c r="J253" s="267">
        <f>+เม.ย.!J248+พ.ค.!J248+มิ.ย.!J248</f>
        <v>0</v>
      </c>
      <c r="K253" s="267">
        <f>+เม.ย.!K248+พ.ค.!K248+มิ.ย.!K248</f>
        <v>0</v>
      </c>
      <c r="L253" s="267">
        <f>+เม.ย.!L248+พ.ค.!L248+มิ.ย.!L248</f>
        <v>0</v>
      </c>
      <c r="M253" s="267">
        <f>+เม.ย.!M248+พ.ค.!M248+มิ.ย.!M248</f>
        <v>0</v>
      </c>
      <c r="N253" s="267">
        <f>+เม.ย.!N248+พ.ค.!N248+มิ.ย.!N248</f>
        <v>0</v>
      </c>
      <c r="O253" s="267">
        <f>+เม.ย.!O248+พ.ค.!O248+มิ.ย.!O248</f>
        <v>0</v>
      </c>
      <c r="P253" s="267">
        <f>+เม.ย.!P248+พ.ค.!P248+มิ.ย.!P248</f>
        <v>0</v>
      </c>
      <c r="Q253" s="267">
        <f>+เม.ย.!Q248+พ.ค.!Q248+มิ.ย.!Q248</f>
        <v>0</v>
      </c>
      <c r="R253" s="267">
        <f>+เม.ย.!R248+พ.ค.!R248+มิ.ย.!R248</f>
        <v>0</v>
      </c>
      <c r="S253" s="267">
        <f>+เม.ย.!S248+พ.ค.!S248+มิ.ย.!S248</f>
        <v>0</v>
      </c>
      <c r="T253" s="267"/>
      <c r="U253" s="267">
        <f>+เม.ย.!U248+พ.ค.!U248+มิ.ย.!U248</f>
        <v>0</v>
      </c>
      <c r="V253" s="267">
        <f>+เม.ย.!V248+พ.ค.!V248+มิ.ย.!V248</f>
        <v>0</v>
      </c>
    </row>
    <row r="254" spans="1:24" ht="25.5" customHeight="1">
      <c r="A254" s="20"/>
      <c r="B254" s="186" t="s">
        <v>381</v>
      </c>
      <c r="C254" s="295">
        <v>204000</v>
      </c>
      <c r="D254" s="131"/>
      <c r="E254" s="267">
        <f>+เม.ย.!E249+พ.ค.!E249+มิ.ย.!E249</f>
        <v>0</v>
      </c>
      <c r="F254" s="267">
        <f>+เม.ย.!F249+พ.ค.!F249+มิ.ย.!F249</f>
        <v>0</v>
      </c>
      <c r="G254" s="267">
        <f>+เม.ย.!G249+พ.ค.!G249+มิ.ย.!G249</f>
        <v>0</v>
      </c>
      <c r="H254" s="267">
        <f>+เม.ย.!H249+พ.ค.!H249+มิ.ย.!H249</f>
        <v>0</v>
      </c>
      <c r="I254" s="267">
        <f>+เม.ย.!I249+พ.ค.!I249+มิ.ย.!I249</f>
        <v>0</v>
      </c>
      <c r="J254" s="267">
        <f>+เม.ย.!J249+พ.ค.!J249+มิ.ย.!J249</f>
        <v>0</v>
      </c>
      <c r="K254" s="267">
        <f>+เม.ย.!K249+พ.ค.!K249+มิ.ย.!K249</f>
        <v>0</v>
      </c>
      <c r="L254" s="267">
        <f>+เม.ย.!L249+พ.ค.!L249+มิ.ย.!L249</f>
        <v>0</v>
      </c>
      <c r="M254" s="267">
        <f>+เม.ย.!M249+พ.ค.!M249+มิ.ย.!M249</f>
        <v>0</v>
      </c>
      <c r="N254" s="267">
        <f>+เม.ย.!N249+พ.ค.!N249+มิ.ย.!N249</f>
        <v>204000</v>
      </c>
      <c r="O254" s="267">
        <f>+เม.ย.!O249+พ.ค.!O249+มิ.ย.!O249</f>
        <v>0</v>
      </c>
      <c r="P254" s="267">
        <f>+เม.ย.!P249+พ.ค.!P249+มิ.ย.!P249</f>
        <v>0</v>
      </c>
      <c r="Q254" s="267">
        <f>+เม.ย.!Q249+พ.ค.!Q249+มิ.ย.!Q249</f>
        <v>0</v>
      </c>
      <c r="R254" s="267">
        <f>+เม.ย.!R249+พ.ค.!R249+มิ.ย.!R249</f>
        <v>0</v>
      </c>
      <c r="S254" s="267">
        <f>+เม.ย.!S249+พ.ค.!S249+มิ.ย.!S249</f>
        <v>0</v>
      </c>
      <c r="T254" s="267"/>
      <c r="U254" s="267">
        <f>+เม.ย.!U249+พ.ค.!U249+มิ.ย.!U249</f>
        <v>0</v>
      </c>
      <c r="V254" s="267">
        <f>+เม.ย.!V249+พ.ค.!V249+มิ.ย.!V249</f>
        <v>0</v>
      </c>
    </row>
    <row r="255" spans="1:24" ht="25.5" customHeight="1">
      <c r="A255" s="20"/>
      <c r="B255" s="186" t="s">
        <v>344</v>
      </c>
      <c r="C255" s="295">
        <v>204000</v>
      </c>
      <c r="D255" s="131"/>
      <c r="E255" s="267">
        <f>+เม.ย.!E250+พ.ค.!E250+มิ.ย.!E250</f>
        <v>0</v>
      </c>
      <c r="F255" s="267">
        <f>+เม.ย.!F250+พ.ค.!F250+มิ.ย.!F250</f>
        <v>0</v>
      </c>
      <c r="G255" s="267">
        <f>+เม.ย.!G250+พ.ค.!G250+มิ.ย.!G250</f>
        <v>0</v>
      </c>
      <c r="H255" s="267">
        <f>+เม.ย.!H250+พ.ค.!H250+มิ.ย.!H250</f>
        <v>0</v>
      </c>
      <c r="I255" s="267">
        <f>+เม.ย.!I250+พ.ค.!I250+มิ.ย.!I250</f>
        <v>0</v>
      </c>
      <c r="J255" s="267">
        <f>+เม.ย.!J250+พ.ค.!J250+มิ.ย.!J250</f>
        <v>0</v>
      </c>
      <c r="K255" s="267">
        <f>+เม.ย.!K250+พ.ค.!K250+มิ.ย.!K250</f>
        <v>0</v>
      </c>
      <c r="L255" s="267">
        <f>+เม.ย.!L250+พ.ค.!L250+มิ.ย.!L250</f>
        <v>0</v>
      </c>
      <c r="M255" s="267">
        <f>+เม.ย.!M250+พ.ค.!M250+มิ.ย.!M250</f>
        <v>0</v>
      </c>
      <c r="N255" s="267">
        <f>+เม.ย.!N250+พ.ค.!N250+มิ.ย.!N250</f>
        <v>202000</v>
      </c>
      <c r="O255" s="267">
        <f>+เม.ย.!O250+พ.ค.!O250+มิ.ย.!O250</f>
        <v>0</v>
      </c>
      <c r="P255" s="267">
        <f>+เม.ย.!P250+พ.ค.!P250+มิ.ย.!P250</f>
        <v>0</v>
      </c>
      <c r="Q255" s="267">
        <f>+เม.ย.!Q250+พ.ค.!Q250+มิ.ย.!Q250</f>
        <v>0</v>
      </c>
      <c r="R255" s="267">
        <f>+เม.ย.!R250+พ.ค.!R250+มิ.ย.!R250</f>
        <v>0</v>
      </c>
      <c r="S255" s="267">
        <f>+เม.ย.!S250+พ.ค.!S250+มิ.ย.!S250</f>
        <v>0</v>
      </c>
      <c r="T255" s="267"/>
      <c r="U255" s="267">
        <f>+เม.ย.!U250+พ.ค.!U250+มิ.ย.!U250</f>
        <v>0</v>
      </c>
      <c r="V255" s="267">
        <f>+เม.ย.!V250+พ.ค.!V250+มิ.ย.!V250</f>
        <v>0</v>
      </c>
    </row>
    <row r="256" spans="1:24" ht="25.5" customHeight="1">
      <c r="A256" s="20"/>
      <c r="B256" s="186" t="s">
        <v>345</v>
      </c>
      <c r="C256" s="295">
        <v>217000</v>
      </c>
      <c r="D256" s="131"/>
      <c r="E256" s="267">
        <f>+เม.ย.!E251+พ.ค.!E251+มิ.ย.!E251</f>
        <v>0</v>
      </c>
      <c r="F256" s="267">
        <f>+เม.ย.!F251+พ.ค.!F251+มิ.ย.!F251</f>
        <v>0</v>
      </c>
      <c r="G256" s="267">
        <f>+เม.ย.!G251+พ.ค.!G251+มิ.ย.!G251</f>
        <v>0</v>
      </c>
      <c r="H256" s="267">
        <f>+เม.ย.!H251+พ.ค.!H251+มิ.ย.!H251</f>
        <v>0</v>
      </c>
      <c r="I256" s="267">
        <f>+เม.ย.!I251+พ.ค.!I251+มิ.ย.!I251</f>
        <v>0</v>
      </c>
      <c r="J256" s="267">
        <f>+เม.ย.!J251+พ.ค.!J251+มิ.ย.!J251</f>
        <v>0</v>
      </c>
      <c r="K256" s="267">
        <f>+เม.ย.!K251+พ.ค.!K251+มิ.ย.!K251</f>
        <v>0</v>
      </c>
      <c r="L256" s="267">
        <f>+เม.ย.!L251+พ.ค.!L251+มิ.ย.!L251</f>
        <v>0</v>
      </c>
      <c r="M256" s="267">
        <f>+เม.ย.!M251+พ.ค.!M251+มิ.ย.!M251</f>
        <v>0</v>
      </c>
      <c r="N256" s="267">
        <f>+เม.ย.!N251+พ.ค.!N251+มิ.ย.!N251</f>
        <v>216000</v>
      </c>
      <c r="O256" s="267">
        <f>+เม.ย.!O251+พ.ค.!O251+มิ.ย.!O251</f>
        <v>0</v>
      </c>
      <c r="P256" s="267">
        <f>+เม.ย.!P251+พ.ค.!P251+มิ.ย.!P251</f>
        <v>0</v>
      </c>
      <c r="Q256" s="267">
        <f>+เม.ย.!Q251+พ.ค.!Q251+มิ.ย.!Q251</f>
        <v>0</v>
      </c>
      <c r="R256" s="267">
        <f>+เม.ย.!R251+พ.ค.!R251+มิ.ย.!R251</f>
        <v>0</v>
      </c>
      <c r="S256" s="267">
        <f>+เม.ย.!S251+พ.ค.!S251+มิ.ย.!S251</f>
        <v>0</v>
      </c>
      <c r="T256" s="267"/>
      <c r="U256" s="267">
        <f>+เม.ย.!U251+พ.ค.!U251+มิ.ย.!U251</f>
        <v>0</v>
      </c>
      <c r="V256" s="267">
        <f>+เม.ย.!V251+พ.ค.!V251+มิ.ย.!V251</f>
        <v>0</v>
      </c>
    </row>
    <row r="257" spans="1:23" ht="25.5" customHeight="1">
      <c r="A257" s="20"/>
      <c r="B257" s="186" t="s">
        <v>346</v>
      </c>
      <c r="C257" s="295">
        <v>27000</v>
      </c>
      <c r="D257" s="131"/>
      <c r="E257" s="267">
        <f>+เม.ย.!E252+พ.ค.!E252+มิ.ย.!E252</f>
        <v>0</v>
      </c>
      <c r="F257" s="267">
        <f>+เม.ย.!F252+พ.ค.!F252+มิ.ย.!F252</f>
        <v>0</v>
      </c>
      <c r="G257" s="267">
        <f>+เม.ย.!G252+พ.ค.!G252+มิ.ย.!G252</f>
        <v>0</v>
      </c>
      <c r="H257" s="267">
        <f>+เม.ย.!H252+พ.ค.!H252+มิ.ย.!H252</f>
        <v>0</v>
      </c>
      <c r="I257" s="267">
        <f>+เม.ย.!I252+พ.ค.!I252+มิ.ย.!I252</f>
        <v>0</v>
      </c>
      <c r="J257" s="267">
        <f>+เม.ย.!J252+พ.ค.!J252+มิ.ย.!J252</f>
        <v>0</v>
      </c>
      <c r="K257" s="267">
        <f>+เม.ย.!K252+พ.ค.!K252+มิ.ย.!K252</f>
        <v>0</v>
      </c>
      <c r="L257" s="267">
        <f>+เม.ย.!L252+พ.ค.!L252+มิ.ย.!L252</f>
        <v>0</v>
      </c>
      <c r="M257" s="267">
        <f>+เม.ย.!M252+พ.ค.!M252+มิ.ย.!M252</f>
        <v>0</v>
      </c>
      <c r="N257" s="267">
        <f>+เม.ย.!N252+พ.ค.!N252+มิ.ย.!N252</f>
        <v>0</v>
      </c>
      <c r="O257" s="267">
        <f>+เม.ย.!O252+พ.ค.!O252+มิ.ย.!O252</f>
        <v>0</v>
      </c>
      <c r="P257" s="267">
        <f>+เม.ย.!P252+พ.ค.!P252+มิ.ย.!P252</f>
        <v>0</v>
      </c>
      <c r="Q257" s="267">
        <f>+เม.ย.!Q252+พ.ค.!Q252+มิ.ย.!Q252</f>
        <v>0</v>
      </c>
      <c r="R257" s="267">
        <f>+เม.ย.!R252+พ.ค.!R252+มิ.ย.!R252</f>
        <v>0</v>
      </c>
      <c r="S257" s="267">
        <f>+เม.ย.!S252+พ.ค.!S252+มิ.ย.!S252</f>
        <v>0</v>
      </c>
      <c r="T257" s="267"/>
      <c r="U257" s="267">
        <f>+เม.ย.!U252+พ.ค.!U252+มิ.ย.!U252</f>
        <v>0</v>
      </c>
      <c r="V257" s="267">
        <f>+เม.ย.!V252+พ.ค.!V252+มิ.ย.!V252</f>
        <v>0</v>
      </c>
    </row>
    <row r="258" spans="1:23" ht="25.5" customHeight="1">
      <c r="A258" s="20"/>
      <c r="B258" s="186" t="s">
        <v>347</v>
      </c>
      <c r="C258" s="295">
        <v>211000</v>
      </c>
      <c r="D258" s="131"/>
      <c r="E258" s="267">
        <f>+เม.ย.!E253+พ.ค.!E253+มิ.ย.!E253</f>
        <v>0</v>
      </c>
      <c r="F258" s="267">
        <f>+เม.ย.!F253+พ.ค.!F253+มิ.ย.!F253</f>
        <v>0</v>
      </c>
      <c r="G258" s="267">
        <f>+เม.ย.!G253+พ.ค.!G253+มิ.ย.!G253</f>
        <v>0</v>
      </c>
      <c r="H258" s="267">
        <f>+เม.ย.!H253+พ.ค.!H253+มิ.ย.!H253</f>
        <v>0</v>
      </c>
      <c r="I258" s="267">
        <f>+เม.ย.!I253+พ.ค.!I253+มิ.ย.!I253</f>
        <v>0</v>
      </c>
      <c r="J258" s="267">
        <f>+เม.ย.!J253+พ.ค.!J253+มิ.ย.!J253</f>
        <v>0</v>
      </c>
      <c r="K258" s="267">
        <f>+เม.ย.!K253+พ.ค.!K253+มิ.ย.!K253</f>
        <v>0</v>
      </c>
      <c r="L258" s="267">
        <f>+เม.ย.!L253+พ.ค.!L253+มิ.ย.!L253</f>
        <v>0</v>
      </c>
      <c r="M258" s="267">
        <f>+เม.ย.!M253+พ.ค.!M253+มิ.ย.!M253</f>
        <v>0</v>
      </c>
      <c r="N258" s="267">
        <f>+เม.ย.!N253+พ.ค.!N253+มิ.ย.!N253</f>
        <v>0</v>
      </c>
      <c r="O258" s="267">
        <f>+เม.ย.!O253+พ.ค.!O253+มิ.ย.!O253</f>
        <v>0</v>
      </c>
      <c r="P258" s="267">
        <f>+เม.ย.!P253+พ.ค.!P253+มิ.ย.!P253</f>
        <v>0</v>
      </c>
      <c r="Q258" s="267">
        <f>+เม.ย.!Q253+พ.ค.!Q253+มิ.ย.!Q253</f>
        <v>0</v>
      </c>
      <c r="R258" s="267">
        <f>+เม.ย.!R253+พ.ค.!R253+มิ.ย.!R253</f>
        <v>0</v>
      </c>
      <c r="S258" s="267">
        <f>+เม.ย.!S253+พ.ค.!S253+มิ.ย.!S253</f>
        <v>0</v>
      </c>
      <c r="T258" s="267"/>
      <c r="U258" s="267">
        <f>+เม.ย.!U253+พ.ค.!U253+มิ.ย.!U253</f>
        <v>0</v>
      </c>
      <c r="V258" s="267">
        <f>+เม.ย.!V253+พ.ค.!V253+มิ.ย.!V253</f>
        <v>0</v>
      </c>
    </row>
    <row r="259" spans="1:23" ht="25.5" customHeight="1">
      <c r="A259" s="20"/>
      <c r="B259" s="186" t="s">
        <v>348</v>
      </c>
      <c r="C259" s="295">
        <v>211000</v>
      </c>
      <c r="D259" s="131"/>
      <c r="E259" s="267">
        <f>+เม.ย.!E254+พ.ค.!E254+มิ.ย.!E254</f>
        <v>0</v>
      </c>
      <c r="F259" s="267">
        <f>+เม.ย.!F254+พ.ค.!F254+มิ.ย.!F254</f>
        <v>0</v>
      </c>
      <c r="G259" s="267">
        <f>+เม.ย.!G254+พ.ค.!G254+มิ.ย.!G254</f>
        <v>0</v>
      </c>
      <c r="H259" s="267">
        <f>+เม.ย.!H254+พ.ค.!H254+มิ.ย.!H254</f>
        <v>0</v>
      </c>
      <c r="I259" s="267">
        <f>+เม.ย.!I254+พ.ค.!I254+มิ.ย.!I254</f>
        <v>0</v>
      </c>
      <c r="J259" s="267">
        <f>+เม.ย.!J254+พ.ค.!J254+มิ.ย.!J254</f>
        <v>0</v>
      </c>
      <c r="K259" s="267">
        <f>+เม.ย.!K254+พ.ค.!K254+มิ.ย.!K254</f>
        <v>0</v>
      </c>
      <c r="L259" s="267">
        <f>+เม.ย.!L254+พ.ค.!L254+มิ.ย.!L254</f>
        <v>0</v>
      </c>
      <c r="M259" s="267">
        <f>+เม.ย.!M254+พ.ค.!M254+มิ.ย.!M254</f>
        <v>0</v>
      </c>
      <c r="N259" s="267">
        <f>+เม.ย.!N254+พ.ค.!N254+มิ.ย.!N254</f>
        <v>0</v>
      </c>
      <c r="O259" s="267">
        <f>+เม.ย.!O254+พ.ค.!O254+มิ.ย.!O254</f>
        <v>0</v>
      </c>
      <c r="P259" s="267">
        <f>+เม.ย.!P254+พ.ค.!P254+มิ.ย.!P254</f>
        <v>0</v>
      </c>
      <c r="Q259" s="267">
        <f>+เม.ย.!Q254+พ.ค.!Q254+มิ.ย.!Q254</f>
        <v>0</v>
      </c>
      <c r="R259" s="267">
        <f>+เม.ย.!R254+พ.ค.!R254+มิ.ย.!R254</f>
        <v>0</v>
      </c>
      <c r="S259" s="267">
        <f>+เม.ย.!S254+พ.ค.!S254+มิ.ย.!S254</f>
        <v>0</v>
      </c>
      <c r="T259" s="267"/>
      <c r="U259" s="267">
        <f>+เม.ย.!U254+พ.ค.!U254+มิ.ย.!U254</f>
        <v>0</v>
      </c>
      <c r="V259" s="267">
        <f>+เม.ย.!V254+พ.ค.!V254+มิ.ย.!V254</f>
        <v>0</v>
      </c>
    </row>
    <row r="260" spans="1:23" ht="25.5" customHeight="1">
      <c r="A260" s="20"/>
      <c r="B260" s="186" t="s">
        <v>349</v>
      </c>
      <c r="C260" s="296">
        <v>688700</v>
      </c>
      <c r="D260" s="131"/>
      <c r="E260" s="267">
        <f>+เม.ย.!E255+พ.ค.!E255+มิ.ย.!E255</f>
        <v>0</v>
      </c>
      <c r="F260" s="267">
        <f>+เม.ย.!F255+พ.ค.!F255+มิ.ย.!F255</f>
        <v>0</v>
      </c>
      <c r="G260" s="267">
        <f>+เม.ย.!G255+พ.ค.!G255+มิ.ย.!G255</f>
        <v>0</v>
      </c>
      <c r="H260" s="267">
        <f>+เม.ย.!H255+พ.ค.!H255+มิ.ย.!H255</f>
        <v>0</v>
      </c>
      <c r="I260" s="267">
        <f>+เม.ย.!I255+พ.ค.!I255+มิ.ย.!I255</f>
        <v>0</v>
      </c>
      <c r="J260" s="267">
        <f>+เม.ย.!J255+พ.ค.!J255+มิ.ย.!J255</f>
        <v>0</v>
      </c>
      <c r="K260" s="267">
        <f>+เม.ย.!K255+พ.ค.!K255+มิ.ย.!K255</f>
        <v>0</v>
      </c>
      <c r="L260" s="267">
        <f>+เม.ย.!L255+พ.ค.!L255+มิ.ย.!L255</f>
        <v>0</v>
      </c>
      <c r="M260" s="267">
        <f>+เม.ย.!M255+พ.ค.!M255+มิ.ย.!M255</f>
        <v>0</v>
      </c>
      <c r="N260" s="267">
        <f>+เม.ย.!N255+พ.ค.!N255+มิ.ย.!N255</f>
        <v>0</v>
      </c>
      <c r="O260" s="267">
        <f>+เม.ย.!O255+พ.ค.!O255+มิ.ย.!O255</f>
        <v>0</v>
      </c>
      <c r="P260" s="267">
        <f>+เม.ย.!P255+พ.ค.!P255+มิ.ย.!P255</f>
        <v>0</v>
      </c>
      <c r="Q260" s="267">
        <f>+เม.ย.!Q255+พ.ค.!Q255+มิ.ย.!Q255</f>
        <v>0</v>
      </c>
      <c r="R260" s="267">
        <f>+เม.ย.!R255+พ.ค.!R255+มิ.ย.!R255</f>
        <v>0</v>
      </c>
      <c r="S260" s="267">
        <f>+เม.ย.!S255+พ.ค.!S255+มิ.ย.!S255</f>
        <v>0</v>
      </c>
      <c r="T260" s="267"/>
      <c r="U260" s="267">
        <f>+เม.ย.!U255+พ.ค.!U255+มิ.ย.!U255</f>
        <v>0</v>
      </c>
      <c r="V260" s="267">
        <f>+เม.ย.!V255+พ.ค.!V255+มิ.ย.!V255</f>
        <v>0</v>
      </c>
    </row>
    <row r="261" spans="1:23" ht="25.5" customHeight="1">
      <c r="A261" s="20"/>
      <c r="B261" s="186" t="s">
        <v>350</v>
      </c>
      <c r="C261" s="297">
        <v>62000</v>
      </c>
      <c r="D261" s="131"/>
      <c r="E261" s="267">
        <f>+เม.ย.!E256+พ.ค.!E256+มิ.ย.!E256</f>
        <v>0</v>
      </c>
      <c r="F261" s="267">
        <f>+เม.ย.!F256+พ.ค.!F256+มิ.ย.!F256</f>
        <v>0</v>
      </c>
      <c r="G261" s="267">
        <f>+เม.ย.!G256+พ.ค.!G256+มิ.ย.!G256</f>
        <v>0</v>
      </c>
      <c r="H261" s="267">
        <f>+เม.ย.!H256+พ.ค.!H256+มิ.ย.!H256</f>
        <v>0</v>
      </c>
      <c r="I261" s="267">
        <f>+เม.ย.!I256+พ.ค.!I256+มิ.ย.!I256</f>
        <v>0</v>
      </c>
      <c r="J261" s="267">
        <f>+เม.ย.!J256+พ.ค.!J256+มิ.ย.!J256</f>
        <v>0</v>
      </c>
      <c r="K261" s="267">
        <f>+เม.ย.!K256+พ.ค.!K256+มิ.ย.!K256</f>
        <v>0</v>
      </c>
      <c r="L261" s="267">
        <f>+เม.ย.!L256+พ.ค.!L256+มิ.ย.!L256</f>
        <v>0</v>
      </c>
      <c r="M261" s="267">
        <f>+เม.ย.!M256+พ.ค.!M256+มิ.ย.!M256</f>
        <v>0</v>
      </c>
      <c r="N261" s="267">
        <f>+เม.ย.!N256+พ.ค.!N256+มิ.ย.!N256</f>
        <v>0</v>
      </c>
      <c r="O261" s="267">
        <f>+เม.ย.!O256+พ.ค.!O256+มิ.ย.!O256</f>
        <v>0</v>
      </c>
      <c r="P261" s="267">
        <f>+เม.ย.!P256+พ.ค.!P256+มิ.ย.!P256</f>
        <v>0</v>
      </c>
      <c r="Q261" s="267">
        <f>+เม.ย.!Q256+พ.ค.!Q256+มิ.ย.!Q256</f>
        <v>0</v>
      </c>
      <c r="R261" s="267">
        <f>+เม.ย.!R256+พ.ค.!R256+มิ.ย.!R256</f>
        <v>0</v>
      </c>
      <c r="S261" s="267">
        <f>+เม.ย.!S256+พ.ค.!S256+มิ.ย.!S256</f>
        <v>0</v>
      </c>
      <c r="T261" s="267"/>
      <c r="U261" s="267">
        <f>+เม.ย.!U256+พ.ค.!U256+มิ.ย.!U256</f>
        <v>0</v>
      </c>
      <c r="V261" s="267">
        <f>+เม.ย.!V256+พ.ค.!V256+มิ.ย.!V256</f>
        <v>0</v>
      </c>
    </row>
    <row r="262" spans="1:23" ht="25.5" customHeight="1" thickBot="1">
      <c r="A262" s="24"/>
      <c r="B262" s="45" t="s">
        <v>5</v>
      </c>
      <c r="C262" s="170">
        <f>SUM(C227:C261)</f>
        <v>2383100</v>
      </c>
      <c r="D262" s="255">
        <f>SUM(D227:D261)</f>
        <v>0</v>
      </c>
      <c r="E262" s="254">
        <f t="shared" ref="E262:V262" si="6">SUM(E227:E261)</f>
        <v>0</v>
      </c>
      <c r="F262" s="254">
        <f t="shared" si="6"/>
        <v>0</v>
      </c>
      <c r="G262" s="254">
        <f t="shared" si="6"/>
        <v>0</v>
      </c>
      <c r="H262" s="254">
        <f t="shared" si="6"/>
        <v>26000</v>
      </c>
      <c r="I262" s="255">
        <f t="shared" si="6"/>
        <v>0</v>
      </c>
      <c r="J262" s="255">
        <f t="shared" si="6"/>
        <v>0</v>
      </c>
      <c r="K262" s="255">
        <f t="shared" si="6"/>
        <v>0</v>
      </c>
      <c r="L262" s="255">
        <f t="shared" si="6"/>
        <v>0</v>
      </c>
      <c r="M262" s="254">
        <f t="shared" si="6"/>
        <v>0</v>
      </c>
      <c r="N262" s="255">
        <f t="shared" si="6"/>
        <v>622000</v>
      </c>
      <c r="O262" s="255">
        <f t="shared" si="6"/>
        <v>0</v>
      </c>
      <c r="P262" s="255">
        <f t="shared" si="6"/>
        <v>0</v>
      </c>
      <c r="Q262" s="255">
        <f t="shared" si="6"/>
        <v>0</v>
      </c>
      <c r="R262" s="255">
        <f t="shared" si="6"/>
        <v>0</v>
      </c>
      <c r="S262" s="255">
        <f t="shared" si="6"/>
        <v>0</v>
      </c>
      <c r="T262" s="255"/>
      <c r="U262" s="255">
        <f t="shared" si="6"/>
        <v>0</v>
      </c>
      <c r="V262" s="255">
        <f t="shared" si="6"/>
        <v>0</v>
      </c>
      <c r="W262" s="314">
        <f>SUM(D262:V262)</f>
        <v>648000</v>
      </c>
    </row>
    <row r="263" spans="1:23" ht="25.5" customHeight="1" thickTop="1">
      <c r="A263" s="50" t="s">
        <v>149</v>
      </c>
      <c r="B263" s="4"/>
      <c r="C263" s="193"/>
      <c r="D263" s="133"/>
      <c r="E263" s="269"/>
      <c r="F263" s="136"/>
      <c r="G263" s="136"/>
      <c r="H263" s="136"/>
      <c r="I263" s="133"/>
      <c r="J263" s="133"/>
      <c r="K263" s="133"/>
      <c r="L263" s="133"/>
      <c r="M263" s="136"/>
      <c r="N263" s="133"/>
      <c r="O263" s="133"/>
      <c r="P263" s="133"/>
      <c r="Q263" s="133"/>
      <c r="R263" s="258"/>
      <c r="S263" s="259"/>
      <c r="T263" s="259"/>
      <c r="U263" s="258"/>
      <c r="V263" s="258"/>
    </row>
    <row r="264" spans="1:23" ht="25.5" customHeight="1">
      <c r="A264" s="9"/>
      <c r="B264" s="186"/>
      <c r="C264" s="296"/>
      <c r="D264" s="133"/>
      <c r="E264" s="269"/>
      <c r="F264" s="136"/>
      <c r="G264" s="136"/>
      <c r="H264" s="136"/>
      <c r="I264" s="133"/>
      <c r="J264" s="133"/>
      <c r="K264" s="133"/>
      <c r="L264" s="133"/>
      <c r="M264" s="136"/>
      <c r="N264" s="133"/>
      <c r="O264" s="133"/>
      <c r="P264" s="133"/>
      <c r="Q264" s="133"/>
      <c r="R264" s="258"/>
      <c r="S264" s="259"/>
      <c r="T264" s="259"/>
      <c r="U264" s="258"/>
      <c r="V264" s="258"/>
    </row>
    <row r="265" spans="1:23" ht="25.5" customHeight="1">
      <c r="A265" s="9"/>
      <c r="B265" s="186"/>
      <c r="C265" s="296"/>
      <c r="D265" s="133"/>
      <c r="E265" s="269"/>
      <c r="F265" s="136"/>
      <c r="G265" s="136"/>
      <c r="H265" s="136"/>
      <c r="I265" s="133"/>
      <c r="J265" s="133"/>
      <c r="K265" s="133"/>
      <c r="L265" s="133"/>
      <c r="M265" s="136"/>
      <c r="N265" s="133"/>
      <c r="O265" s="133"/>
      <c r="P265" s="133"/>
      <c r="Q265" s="133"/>
      <c r="R265" s="258"/>
      <c r="S265" s="259"/>
      <c r="T265" s="259"/>
      <c r="U265" s="258"/>
      <c r="V265" s="258"/>
    </row>
    <row r="266" spans="1:23" ht="25.5" customHeight="1">
      <c r="A266" s="9"/>
      <c r="B266" s="186"/>
      <c r="C266" s="296"/>
      <c r="D266" s="133"/>
      <c r="E266" s="269"/>
      <c r="F266" s="136"/>
      <c r="G266" s="136"/>
      <c r="H266" s="136"/>
      <c r="I266" s="133"/>
      <c r="J266" s="133"/>
      <c r="K266" s="133"/>
      <c r="L266" s="133"/>
      <c r="M266" s="136"/>
      <c r="N266" s="133"/>
      <c r="O266" s="133"/>
      <c r="P266" s="133"/>
      <c r="Q266" s="133"/>
      <c r="R266" s="258"/>
      <c r="S266" s="259"/>
      <c r="T266" s="259"/>
      <c r="U266" s="258"/>
      <c r="V266" s="258"/>
    </row>
    <row r="267" spans="1:23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1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</row>
    <row r="268" spans="1:23" ht="25.5" customHeight="1">
      <c r="A268" s="9"/>
      <c r="B268" s="186"/>
      <c r="C268" s="296"/>
      <c r="D268" s="131"/>
      <c r="E268" s="267"/>
      <c r="F268" s="135"/>
      <c r="G268" s="135"/>
      <c r="H268" s="135"/>
      <c r="I268" s="131"/>
      <c r="J268" s="131"/>
      <c r="K268" s="131"/>
      <c r="L268" s="131"/>
      <c r="M268" s="135"/>
      <c r="N268" s="131"/>
      <c r="O268" s="131"/>
      <c r="P268" s="131"/>
      <c r="Q268" s="131"/>
      <c r="R268" s="217"/>
      <c r="S268" s="219"/>
      <c r="T268" s="219"/>
      <c r="U268" s="217"/>
      <c r="V268" s="217"/>
    </row>
    <row r="269" spans="1:23" ht="25.5" customHeight="1">
      <c r="A269" s="9"/>
      <c r="B269" s="186"/>
      <c r="C269" s="296"/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9"/>
      <c r="B270" s="186"/>
      <c r="C270" s="296"/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>
      <c r="A271" s="9"/>
      <c r="B271" s="186"/>
      <c r="C271" s="296"/>
      <c r="D271" s="131"/>
      <c r="E271" s="267"/>
      <c r="F271" s="135"/>
      <c r="G271" s="135"/>
      <c r="H271" s="135"/>
      <c r="I271" s="131"/>
      <c r="J271" s="131"/>
      <c r="K271" s="131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</row>
    <row r="272" spans="1:23" ht="25.5" customHeight="1" thickBot="1">
      <c r="A272" s="15"/>
      <c r="B272" s="14" t="s">
        <v>5</v>
      </c>
      <c r="C272" s="170">
        <f>SUM(C264:C271)</f>
        <v>0</v>
      </c>
      <c r="D272" s="255">
        <f>SUM(D264:D271)</f>
        <v>0</v>
      </c>
      <c r="E272" s="254">
        <f t="shared" ref="E272:V272" si="7">SUM(E264:E271)</f>
        <v>0</v>
      </c>
      <c r="F272" s="254">
        <f t="shared" si="7"/>
        <v>0</v>
      </c>
      <c r="G272" s="254">
        <f t="shared" si="7"/>
        <v>0</v>
      </c>
      <c r="H272" s="254">
        <f t="shared" si="7"/>
        <v>0</v>
      </c>
      <c r="I272" s="255">
        <f t="shared" si="7"/>
        <v>0</v>
      </c>
      <c r="J272" s="255">
        <f t="shared" si="7"/>
        <v>0</v>
      </c>
      <c r="K272" s="255">
        <f t="shared" si="7"/>
        <v>0</v>
      </c>
      <c r="L272" s="255">
        <f t="shared" si="7"/>
        <v>0</v>
      </c>
      <c r="M272" s="254">
        <f t="shared" si="7"/>
        <v>0</v>
      </c>
      <c r="N272" s="255">
        <f t="shared" si="7"/>
        <v>0</v>
      </c>
      <c r="O272" s="255">
        <f t="shared" si="7"/>
        <v>0</v>
      </c>
      <c r="P272" s="255">
        <f t="shared" si="7"/>
        <v>0</v>
      </c>
      <c r="Q272" s="255">
        <f t="shared" si="7"/>
        <v>0</v>
      </c>
      <c r="R272" s="255">
        <f t="shared" si="7"/>
        <v>0</v>
      </c>
      <c r="S272" s="255">
        <f t="shared" si="7"/>
        <v>0</v>
      </c>
      <c r="T272" s="255"/>
      <c r="U272" s="255">
        <f t="shared" si="7"/>
        <v>0</v>
      </c>
      <c r="V272" s="255">
        <f t="shared" si="7"/>
        <v>0</v>
      </c>
      <c r="W272" s="314">
        <f>SUM(D272:V272)</f>
        <v>0</v>
      </c>
    </row>
    <row r="273" spans="1:23" ht="25.5" customHeight="1" thickTop="1">
      <c r="A273" s="20" t="s">
        <v>24</v>
      </c>
      <c r="B273" s="23"/>
      <c r="C273" s="190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30" t="s">
        <v>406</v>
      </c>
      <c r="C274" s="192">
        <v>121500</v>
      </c>
      <c r="D274" s="131">
        <f>+เม.ย.!D269+พ.ค.!D269+มิ.ย.!D269</f>
        <v>0</v>
      </c>
      <c r="E274" s="131">
        <f>+เม.ย.!E269+พ.ค.!E269+มิ.ย.!E269</f>
        <v>0</v>
      </c>
      <c r="F274" s="131">
        <f>+เม.ย.!F269+พ.ค.!F269+มิ.ย.!F269</f>
        <v>0</v>
      </c>
      <c r="G274" s="131">
        <f>+เม.ย.!G269+พ.ค.!G269+มิ.ย.!G269</f>
        <v>0</v>
      </c>
      <c r="H274" s="131">
        <f>+เม.ย.!H269+พ.ค.!H269+มิ.ย.!H269</f>
        <v>0</v>
      </c>
      <c r="I274" s="131">
        <f>+เม.ย.!I269+พ.ค.!I269+มิ.ย.!I269</f>
        <v>0</v>
      </c>
      <c r="J274" s="131">
        <f>+เม.ย.!J269+พ.ค.!J269+มิ.ย.!J269</f>
        <v>0</v>
      </c>
      <c r="K274" s="131">
        <f>+เม.ย.!K269+พ.ค.!K269+มิ.ย.!K269</f>
        <v>0</v>
      </c>
      <c r="L274" s="131">
        <f>+เม.ย.!L269+พ.ค.!L269+มิ.ย.!L269</f>
        <v>0</v>
      </c>
      <c r="M274" s="131">
        <f>+เม.ย.!M269+พ.ค.!M269+มิ.ย.!M269</f>
        <v>0</v>
      </c>
      <c r="N274" s="131">
        <f>+เม.ย.!N269+พ.ค.!N269+มิ.ย.!N269</f>
        <v>0</v>
      </c>
      <c r="O274" s="131">
        <f>+เม.ย.!O269+พ.ค.!O269+มิ.ย.!O269</f>
        <v>0</v>
      </c>
      <c r="P274" s="131">
        <f>+เม.ย.!P269+พ.ค.!P269+มิ.ย.!P269</f>
        <v>0</v>
      </c>
      <c r="Q274" s="131">
        <f>+เม.ย.!Q269+พ.ค.!Q269+มิ.ย.!Q269</f>
        <v>0</v>
      </c>
      <c r="R274" s="131">
        <f>+เม.ย.!R269+พ.ค.!R269+มิ.ย.!R269</f>
        <v>0</v>
      </c>
      <c r="S274" s="131">
        <f>+เม.ย.!S269+พ.ค.!S269+มิ.ย.!S269</f>
        <v>0</v>
      </c>
      <c r="T274" s="131"/>
      <c r="U274" s="131">
        <f>+เม.ย.!U269+พ.ค.!U269+มิ.ย.!U269</f>
        <v>0</v>
      </c>
      <c r="V274" s="131">
        <f>+เม.ย.!V269+พ.ค.!V269+มิ.ย.!V269</f>
        <v>0</v>
      </c>
    </row>
    <row r="275" spans="1:23" ht="25.5" customHeight="1">
      <c r="A275" s="20"/>
      <c r="B275" s="130" t="s">
        <v>405</v>
      </c>
      <c r="C275" s="192">
        <v>105000</v>
      </c>
      <c r="D275" s="131">
        <f>+เม.ย.!D270+พ.ค.!D270+มิ.ย.!D270</f>
        <v>0</v>
      </c>
      <c r="E275" s="131">
        <f>+เม.ย.!E270+พ.ค.!E270+มิ.ย.!E270</f>
        <v>0</v>
      </c>
      <c r="F275" s="131">
        <f>+เม.ย.!F270+พ.ค.!F270+มิ.ย.!F270</f>
        <v>0</v>
      </c>
      <c r="G275" s="131">
        <f>+เม.ย.!G270+พ.ค.!G270+มิ.ย.!G270</f>
        <v>0</v>
      </c>
      <c r="H275" s="131">
        <f>+เม.ย.!H270+พ.ค.!H270+มิ.ย.!H270</f>
        <v>0</v>
      </c>
      <c r="I275" s="131">
        <f>+เม.ย.!I270+พ.ค.!I270+มิ.ย.!I270</f>
        <v>0</v>
      </c>
      <c r="J275" s="131">
        <f>+เม.ย.!J270+พ.ค.!J270+มิ.ย.!J270</f>
        <v>0</v>
      </c>
      <c r="K275" s="131">
        <f>+เม.ย.!K270+พ.ค.!K270+มิ.ย.!K270</f>
        <v>0</v>
      </c>
      <c r="L275" s="131">
        <f>+เม.ย.!L270+พ.ค.!L270+มิ.ย.!L270</f>
        <v>0</v>
      </c>
      <c r="M275" s="131">
        <f>+เม.ย.!M270+พ.ค.!M270+มิ.ย.!M270</f>
        <v>0</v>
      </c>
      <c r="N275" s="131">
        <f>+เม.ย.!N270+พ.ค.!N270+มิ.ย.!N270</f>
        <v>0</v>
      </c>
      <c r="O275" s="131">
        <f>+เม.ย.!O270+พ.ค.!O270+มิ.ย.!O270</f>
        <v>0</v>
      </c>
      <c r="P275" s="131">
        <f>+เม.ย.!P270+พ.ค.!P270+มิ.ย.!P270</f>
        <v>0</v>
      </c>
      <c r="Q275" s="131">
        <f>+เม.ย.!Q270+พ.ค.!Q270+มิ.ย.!Q270</f>
        <v>0</v>
      </c>
      <c r="R275" s="131">
        <f>+เม.ย.!R270+พ.ค.!R270+มิ.ย.!R270</f>
        <v>0</v>
      </c>
      <c r="S275" s="131">
        <f>+เม.ย.!S270+พ.ค.!S270+มิ.ย.!S270</f>
        <v>0</v>
      </c>
      <c r="T275" s="131"/>
      <c r="U275" s="131">
        <f>+เม.ย.!U270+พ.ค.!U270+มิ.ย.!U270</f>
        <v>0</v>
      </c>
      <c r="V275" s="131">
        <f>+เม.ย.!V270+พ.ค.!V270+มิ.ย.!V270</f>
        <v>0</v>
      </c>
    </row>
    <row r="276" spans="1:23" ht="25.5" customHeight="1" thickBot="1">
      <c r="A276" s="15"/>
      <c r="B276" s="14" t="s">
        <v>5</v>
      </c>
      <c r="C276" s="298">
        <f>SUM(C274:C275)</f>
        <v>226500</v>
      </c>
      <c r="D276" s="255">
        <f>SUM(D274:D275)</f>
        <v>0</v>
      </c>
      <c r="E276" s="254">
        <f t="shared" ref="E276:V276" si="8">SUM(E274:E275)</f>
        <v>0</v>
      </c>
      <c r="F276" s="254">
        <f t="shared" si="8"/>
        <v>0</v>
      </c>
      <c r="G276" s="254">
        <f t="shared" si="8"/>
        <v>0</v>
      </c>
      <c r="H276" s="254">
        <f t="shared" si="8"/>
        <v>0</v>
      </c>
      <c r="I276" s="255">
        <f t="shared" si="8"/>
        <v>0</v>
      </c>
      <c r="J276" s="255">
        <f t="shared" si="8"/>
        <v>0</v>
      </c>
      <c r="K276" s="255">
        <f t="shared" si="8"/>
        <v>0</v>
      </c>
      <c r="L276" s="255">
        <f t="shared" si="8"/>
        <v>0</v>
      </c>
      <c r="M276" s="254">
        <f t="shared" si="8"/>
        <v>0</v>
      </c>
      <c r="N276" s="255">
        <f t="shared" si="8"/>
        <v>0</v>
      </c>
      <c r="O276" s="255">
        <f t="shared" si="8"/>
        <v>0</v>
      </c>
      <c r="P276" s="255">
        <f t="shared" si="8"/>
        <v>0</v>
      </c>
      <c r="Q276" s="255">
        <f t="shared" si="8"/>
        <v>0</v>
      </c>
      <c r="R276" s="255">
        <f t="shared" si="8"/>
        <v>0</v>
      </c>
      <c r="S276" s="255">
        <f t="shared" si="8"/>
        <v>0</v>
      </c>
      <c r="T276" s="255"/>
      <c r="U276" s="255">
        <f t="shared" si="8"/>
        <v>0</v>
      </c>
      <c r="V276" s="255">
        <f t="shared" si="8"/>
        <v>0</v>
      </c>
      <c r="W276" s="314">
        <f>SUM(D276:V276)</f>
        <v>0</v>
      </c>
    </row>
    <row r="277" spans="1:23" ht="25.5" customHeight="1" thickTop="1">
      <c r="A277" s="20" t="s">
        <v>44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</row>
    <row r="278" spans="1:23" ht="25.5" customHeight="1">
      <c r="A278" s="20"/>
      <c r="B278" s="185" t="s">
        <v>420</v>
      </c>
      <c r="C278" s="192">
        <v>20000</v>
      </c>
      <c r="D278" s="133">
        <f>+เม.ย.!D273+พ.ค.!D273+มิ.ย.!D273</f>
        <v>20000</v>
      </c>
      <c r="E278" s="133">
        <f>+เม.ย.!E273+พ.ค.!E273+มิ.ย.!E273</f>
        <v>0</v>
      </c>
      <c r="F278" s="133">
        <f>+เม.ย.!F273+พ.ค.!F273+มิ.ย.!F273</f>
        <v>0</v>
      </c>
      <c r="G278" s="133">
        <f>+เม.ย.!G273+พ.ค.!G273+มิ.ย.!G273</f>
        <v>0</v>
      </c>
      <c r="H278" s="133">
        <f>+เม.ย.!H273+พ.ค.!H273+มิ.ย.!H273</f>
        <v>0</v>
      </c>
      <c r="I278" s="133">
        <f>+เม.ย.!I273+พ.ค.!I273+มิ.ย.!I273</f>
        <v>0</v>
      </c>
      <c r="J278" s="133">
        <f>+เม.ย.!J273+พ.ค.!J273+มิ.ย.!J273</f>
        <v>0</v>
      </c>
      <c r="K278" s="133">
        <f>+เม.ย.!K273+พ.ค.!K273+มิ.ย.!K273</f>
        <v>0</v>
      </c>
      <c r="L278" s="133">
        <f>+เม.ย.!L273+พ.ค.!L273+มิ.ย.!L273</f>
        <v>0</v>
      </c>
      <c r="M278" s="133">
        <f>+เม.ย.!M273+พ.ค.!M273+มิ.ย.!M273</f>
        <v>0</v>
      </c>
      <c r="N278" s="133">
        <f>+เม.ย.!N273+พ.ค.!N273+มิ.ย.!N273</f>
        <v>0</v>
      </c>
      <c r="O278" s="133">
        <f>+เม.ย.!O273+พ.ค.!O273+มิ.ย.!O273</f>
        <v>0</v>
      </c>
      <c r="P278" s="133">
        <f>+เม.ย.!P273+พ.ค.!P273+มิ.ย.!P273</f>
        <v>0</v>
      </c>
      <c r="Q278" s="133">
        <f>+เม.ย.!Q273+พ.ค.!Q273+มิ.ย.!Q273</f>
        <v>0</v>
      </c>
      <c r="R278" s="133">
        <f>+เม.ย.!R273+พ.ค.!R273+มิ.ย.!R273</f>
        <v>0</v>
      </c>
      <c r="S278" s="133">
        <f>+เม.ย.!S273+พ.ค.!S273+มิ.ย.!S273</f>
        <v>0</v>
      </c>
      <c r="T278" s="133"/>
      <c r="U278" s="133">
        <f>+เม.ย.!U273+พ.ค.!U273+มิ.ย.!U273</f>
        <v>0</v>
      </c>
      <c r="V278" s="133">
        <f>+เม.ย.!V273+พ.ค.!V273+มิ.ย.!V273</f>
        <v>0</v>
      </c>
    </row>
    <row r="279" spans="1:23" ht="25.5" customHeight="1">
      <c r="A279" s="20"/>
      <c r="B279" s="185"/>
      <c r="C279" s="190"/>
      <c r="D279" s="133"/>
      <c r="E279" s="269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258"/>
      <c r="S279" s="259"/>
      <c r="T279" s="259"/>
      <c r="U279" s="258"/>
      <c r="V279" s="258"/>
    </row>
    <row r="280" spans="1:23" ht="25.5" customHeight="1" thickBot="1">
      <c r="A280" s="15"/>
      <c r="B280" s="53" t="s">
        <v>5</v>
      </c>
      <c r="C280" s="105">
        <f>SUM(C278:C279)</f>
        <v>20000</v>
      </c>
      <c r="D280" s="255">
        <f>SUM(D278:D279)</f>
        <v>20000</v>
      </c>
      <c r="E280" s="254">
        <f t="shared" ref="E280:V280" si="9">SUM(E278:E279)</f>
        <v>0</v>
      </c>
      <c r="F280" s="254">
        <f t="shared" si="9"/>
        <v>0</v>
      </c>
      <c r="G280" s="254">
        <f t="shared" si="9"/>
        <v>0</v>
      </c>
      <c r="H280" s="254">
        <f t="shared" si="9"/>
        <v>0</v>
      </c>
      <c r="I280" s="255">
        <f t="shared" si="9"/>
        <v>0</v>
      </c>
      <c r="J280" s="255">
        <f t="shared" si="9"/>
        <v>0</v>
      </c>
      <c r="K280" s="255">
        <f t="shared" si="9"/>
        <v>0</v>
      </c>
      <c r="L280" s="255">
        <f t="shared" si="9"/>
        <v>0</v>
      </c>
      <c r="M280" s="254">
        <f t="shared" si="9"/>
        <v>0</v>
      </c>
      <c r="N280" s="255">
        <f t="shared" si="9"/>
        <v>0</v>
      </c>
      <c r="O280" s="255">
        <f t="shared" si="9"/>
        <v>0</v>
      </c>
      <c r="P280" s="255">
        <f t="shared" si="9"/>
        <v>0</v>
      </c>
      <c r="Q280" s="255">
        <f t="shared" si="9"/>
        <v>0</v>
      </c>
      <c r="R280" s="255">
        <f t="shared" si="9"/>
        <v>0</v>
      </c>
      <c r="S280" s="255">
        <f t="shared" si="9"/>
        <v>0</v>
      </c>
      <c r="T280" s="255"/>
      <c r="U280" s="255">
        <f t="shared" si="9"/>
        <v>0</v>
      </c>
      <c r="V280" s="255">
        <f t="shared" si="9"/>
        <v>0</v>
      </c>
      <c r="W280" s="314">
        <f>SUM(D280:V280)</f>
        <v>20000</v>
      </c>
    </row>
    <row r="281" spans="1:23" ht="25.5" customHeight="1" thickTop="1">
      <c r="A281" s="20" t="s">
        <v>276</v>
      </c>
      <c r="B281" s="23"/>
      <c r="C281" s="193"/>
      <c r="D281" s="133"/>
      <c r="E281" s="269"/>
      <c r="F281" s="136"/>
      <c r="G281" s="136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258"/>
      <c r="S281" s="259"/>
      <c r="T281" s="259"/>
      <c r="U281" s="258"/>
      <c r="V281" s="258"/>
    </row>
    <row r="282" spans="1:23" ht="25.5" customHeight="1">
      <c r="A282" s="20"/>
      <c r="B282" s="185" t="s">
        <v>226</v>
      </c>
      <c r="C282" s="192">
        <f>+'ต.ค. '!E284+'ต.ค. '!F284+'ต.ค. '!H284+'ต.ค. '!M284</f>
        <v>37500</v>
      </c>
      <c r="D282" s="133"/>
      <c r="E282" s="136"/>
      <c r="F282" s="136"/>
      <c r="G282" s="136"/>
      <c r="H282" s="136"/>
      <c r="I282" s="133"/>
      <c r="J282" s="133"/>
      <c r="K282" s="133"/>
      <c r="L282" s="133"/>
      <c r="M282" s="136"/>
      <c r="N282" s="133"/>
      <c r="O282" s="133"/>
      <c r="P282" s="133"/>
      <c r="Q282" s="133"/>
      <c r="R282" s="133"/>
      <c r="S282" s="133"/>
      <c r="T282" s="133"/>
      <c r="U282" s="133"/>
      <c r="V282" s="133"/>
    </row>
    <row r="283" spans="1:23" ht="25.5" customHeight="1">
      <c r="A283" s="20"/>
      <c r="B283" s="185" t="s">
        <v>233</v>
      </c>
      <c r="C283" s="299">
        <v>7500</v>
      </c>
      <c r="D283" s="133"/>
      <c r="E283" s="136"/>
      <c r="F283" s="136"/>
      <c r="G283" s="136"/>
      <c r="H283" s="136"/>
      <c r="I283" s="133"/>
      <c r="J283" s="133"/>
      <c r="K283" s="133"/>
      <c r="L283" s="133"/>
      <c r="M283" s="136"/>
      <c r="N283" s="133"/>
      <c r="O283" s="133"/>
      <c r="P283" s="133"/>
      <c r="Q283" s="133"/>
      <c r="R283" s="133"/>
      <c r="S283" s="133"/>
      <c r="T283" s="133"/>
      <c r="U283" s="133"/>
      <c r="V283" s="133"/>
    </row>
    <row r="284" spans="1:23" ht="25.5" customHeight="1">
      <c r="A284" s="20"/>
      <c r="B284" s="274" t="s">
        <v>378</v>
      </c>
      <c r="C284" s="299">
        <v>37500</v>
      </c>
      <c r="D284" s="133"/>
      <c r="E284" s="136"/>
      <c r="F284" s="136"/>
      <c r="G284" s="136"/>
      <c r="H284" s="136"/>
      <c r="I284" s="133"/>
      <c r="J284" s="133"/>
      <c r="K284" s="133"/>
      <c r="L284" s="133"/>
      <c r="M284" s="136"/>
      <c r="N284" s="133"/>
      <c r="O284" s="133"/>
      <c r="P284" s="133"/>
      <c r="Q284" s="133"/>
      <c r="R284" s="133"/>
      <c r="S284" s="133"/>
      <c r="T284" s="133"/>
      <c r="U284" s="133"/>
      <c r="V284" s="133"/>
    </row>
    <row r="285" spans="1:23" ht="25.5" customHeight="1">
      <c r="A285" s="20"/>
      <c r="B285" s="185" t="s">
        <v>379</v>
      </c>
      <c r="C285" s="299">
        <v>10000</v>
      </c>
      <c r="D285" s="133"/>
      <c r="E285" s="136"/>
      <c r="F285" s="136"/>
      <c r="G285" s="136"/>
      <c r="H285" s="136"/>
      <c r="I285" s="133"/>
      <c r="J285" s="133"/>
      <c r="K285" s="133"/>
      <c r="L285" s="133"/>
      <c r="M285" s="136"/>
      <c r="N285" s="133"/>
      <c r="O285" s="133"/>
      <c r="P285" s="133"/>
      <c r="Q285" s="133"/>
      <c r="R285" s="133"/>
      <c r="S285" s="133"/>
      <c r="T285" s="133"/>
      <c r="U285" s="133"/>
      <c r="V285" s="133"/>
    </row>
    <row r="286" spans="1:23" ht="25.5" customHeight="1">
      <c r="A286" s="20"/>
      <c r="B286" s="185" t="s">
        <v>382</v>
      </c>
      <c r="C286" s="299">
        <v>1950</v>
      </c>
      <c r="D286" s="133"/>
      <c r="E286" s="136"/>
      <c r="F286" s="136"/>
      <c r="G286" s="136"/>
      <c r="H286" s="136"/>
      <c r="I286" s="133"/>
      <c r="J286" s="133"/>
      <c r="K286" s="133"/>
      <c r="L286" s="133"/>
      <c r="M286" s="136"/>
      <c r="N286" s="133"/>
      <c r="O286" s="133"/>
      <c r="P286" s="133"/>
      <c r="Q286" s="133"/>
      <c r="R286" s="133"/>
      <c r="S286" s="133"/>
      <c r="T286" s="133"/>
      <c r="U286" s="133"/>
      <c r="V286" s="133"/>
    </row>
    <row r="287" spans="1:23" ht="25.5" customHeight="1">
      <c r="A287" s="20"/>
      <c r="B287" s="185" t="s">
        <v>380</v>
      </c>
      <c r="C287" s="299">
        <v>4550</v>
      </c>
      <c r="D287" s="133"/>
      <c r="E287" s="136"/>
      <c r="F287" s="136"/>
      <c r="G287" s="136"/>
      <c r="H287" s="136"/>
      <c r="I287" s="133"/>
      <c r="J287" s="133"/>
      <c r="K287" s="133"/>
      <c r="L287" s="133"/>
      <c r="M287" s="136"/>
      <c r="N287" s="133"/>
      <c r="O287" s="133"/>
      <c r="P287" s="133"/>
      <c r="Q287" s="133"/>
      <c r="R287" s="133"/>
      <c r="S287" s="133"/>
      <c r="T287" s="133"/>
      <c r="U287" s="133"/>
      <c r="V287" s="133"/>
    </row>
    <row r="288" spans="1:23" ht="25.5" customHeight="1">
      <c r="A288" s="20"/>
      <c r="B288" s="185" t="s">
        <v>386</v>
      </c>
      <c r="C288" s="192">
        <v>409940.96</v>
      </c>
      <c r="D288" s="133"/>
      <c r="E288" s="136"/>
      <c r="F288" s="136"/>
      <c r="G288" s="136"/>
      <c r="H288" s="136"/>
      <c r="I288" s="133"/>
      <c r="J288" s="133"/>
      <c r="K288" s="133"/>
      <c r="L288" s="133"/>
      <c r="M288" s="136"/>
      <c r="N288" s="133"/>
      <c r="O288" s="133"/>
      <c r="P288" s="133"/>
      <c r="Q288" s="133"/>
      <c r="R288" s="133"/>
      <c r="S288" s="133"/>
      <c r="T288" s="133"/>
      <c r="U288" s="133"/>
      <c r="V288" s="133"/>
    </row>
    <row r="289" spans="1:24" ht="25.5" customHeight="1">
      <c r="A289" s="20"/>
      <c r="B289" s="185" t="s">
        <v>387</v>
      </c>
      <c r="C289" s="192">
        <v>40000</v>
      </c>
      <c r="D289" s="133"/>
      <c r="E289" s="136"/>
      <c r="F289" s="136"/>
      <c r="G289" s="136"/>
      <c r="H289" s="136"/>
      <c r="I289" s="133"/>
      <c r="J289" s="133"/>
      <c r="K289" s="133"/>
      <c r="L289" s="133"/>
      <c r="M289" s="136"/>
      <c r="N289" s="133"/>
      <c r="O289" s="133"/>
      <c r="P289" s="133"/>
      <c r="Q289" s="133"/>
      <c r="R289" s="133"/>
      <c r="S289" s="133"/>
      <c r="T289" s="133"/>
      <c r="U289" s="133"/>
      <c r="V289" s="133"/>
    </row>
    <row r="290" spans="1:24" ht="25.5" customHeight="1">
      <c r="A290" s="20"/>
      <c r="B290" s="347" t="s">
        <v>409</v>
      </c>
      <c r="C290" s="192">
        <v>175000</v>
      </c>
      <c r="D290" s="131"/>
      <c r="E290" s="135"/>
      <c r="F290" s="135"/>
      <c r="G290" s="135"/>
      <c r="H290" s="135"/>
      <c r="I290" s="131"/>
      <c r="J290" s="131"/>
      <c r="K290" s="131"/>
      <c r="L290" s="131"/>
      <c r="M290" s="135"/>
      <c r="N290" s="131"/>
      <c r="O290" s="131"/>
      <c r="P290" s="131"/>
      <c r="Q290" s="131"/>
      <c r="R290" s="131"/>
      <c r="S290" s="131"/>
      <c r="T290" s="131"/>
      <c r="U290" s="131"/>
      <c r="V290" s="131"/>
    </row>
    <row r="291" spans="1:24" ht="25.5" customHeight="1">
      <c r="A291" s="20"/>
      <c r="B291" s="348"/>
      <c r="C291" s="350"/>
      <c r="D291" s="345"/>
      <c r="E291" s="346"/>
      <c r="F291" s="346"/>
      <c r="G291" s="346"/>
      <c r="H291" s="346"/>
      <c r="I291" s="345"/>
      <c r="J291" s="345"/>
      <c r="K291" s="345"/>
      <c r="L291" s="345"/>
      <c r="M291" s="346"/>
      <c r="N291" s="345"/>
      <c r="O291" s="345"/>
      <c r="P291" s="345"/>
      <c r="Q291" s="345"/>
      <c r="R291" s="345"/>
      <c r="S291" s="345"/>
      <c r="T291" s="345"/>
      <c r="U291" s="345"/>
      <c r="V291" s="345"/>
    </row>
    <row r="292" spans="1:24" ht="25.5" customHeight="1" thickBot="1">
      <c r="A292" s="15"/>
      <c r="B292" s="53" t="s">
        <v>5</v>
      </c>
      <c r="C292" s="105">
        <f>SUM(C282:C291)</f>
        <v>723940.96</v>
      </c>
      <c r="D292" s="132">
        <f>SUM(D282:D289)</f>
        <v>0</v>
      </c>
      <c r="E292" s="137">
        <f>SUM(E282:E289)</f>
        <v>0</v>
      </c>
      <c r="F292" s="137">
        <f>SUM(F282:F289)</f>
        <v>0</v>
      </c>
      <c r="G292" s="137">
        <f t="shared" ref="G292:V292" si="10">SUM(G282:G289)</f>
        <v>0</v>
      </c>
      <c r="H292" s="137">
        <f>SUM(H282:H289)</f>
        <v>0</v>
      </c>
      <c r="I292" s="132">
        <f>SUM(I282:I289)</f>
        <v>0</v>
      </c>
      <c r="J292" s="132">
        <f t="shared" si="10"/>
        <v>0</v>
      </c>
      <c r="K292" s="132">
        <f t="shared" si="10"/>
        <v>0</v>
      </c>
      <c r="L292" s="132">
        <f t="shared" si="10"/>
        <v>0</v>
      </c>
      <c r="M292" s="137">
        <f>SUM(M282:M289)</f>
        <v>0</v>
      </c>
      <c r="N292" s="132">
        <f>SUM(N282:N291)</f>
        <v>0</v>
      </c>
      <c r="O292" s="132">
        <f t="shared" si="10"/>
        <v>0</v>
      </c>
      <c r="P292" s="132">
        <f t="shared" si="10"/>
        <v>0</v>
      </c>
      <c r="Q292" s="132">
        <f t="shared" si="10"/>
        <v>0</v>
      </c>
      <c r="R292" s="132">
        <f t="shared" si="10"/>
        <v>0</v>
      </c>
      <c r="S292" s="132">
        <f t="shared" si="10"/>
        <v>0</v>
      </c>
      <c r="T292" s="132"/>
      <c r="U292" s="132">
        <f t="shared" si="10"/>
        <v>0</v>
      </c>
      <c r="V292" s="132">
        <f t="shared" si="10"/>
        <v>0</v>
      </c>
      <c r="W292" s="318">
        <f>SUM(D292:V292)</f>
        <v>0</v>
      </c>
    </row>
    <row r="293" spans="1:24" ht="25.5" customHeight="1" thickTop="1" thickBot="1">
      <c r="A293" s="16"/>
      <c r="B293" s="52" t="s">
        <v>49</v>
      </c>
      <c r="C293" s="229">
        <f>+C272+C262+C221+C210+C204++C49+C39+C21+C176+C28+C224</f>
        <v>39148280</v>
      </c>
      <c r="D293" s="229">
        <f t="shared" ref="D293:V293" si="11">+D272+D262+D221+D210+D204++D49+D39+D21+D176+D28+D224</f>
        <v>2532621</v>
      </c>
      <c r="E293" s="229">
        <f t="shared" si="11"/>
        <v>2469272.42</v>
      </c>
      <c r="F293" s="229">
        <f t="shared" si="11"/>
        <v>617951.80000000005</v>
      </c>
      <c r="G293" s="229">
        <f t="shared" si="11"/>
        <v>19688</v>
      </c>
      <c r="H293" s="229">
        <f t="shared" si="11"/>
        <v>1324320.99</v>
      </c>
      <c r="I293" s="229">
        <f t="shared" si="11"/>
        <v>1218281.24</v>
      </c>
      <c r="J293" s="229">
        <f t="shared" si="11"/>
        <v>0</v>
      </c>
      <c r="K293" s="229">
        <f t="shared" si="11"/>
        <v>0</v>
      </c>
      <c r="L293" s="229">
        <f t="shared" si="11"/>
        <v>0</v>
      </c>
      <c r="M293" s="229">
        <f t="shared" si="11"/>
        <v>613973.25</v>
      </c>
      <c r="N293" s="229">
        <f t="shared" si="11"/>
        <v>622000</v>
      </c>
      <c r="O293" s="229">
        <f t="shared" si="11"/>
        <v>0</v>
      </c>
      <c r="P293" s="229">
        <f t="shared" si="11"/>
        <v>22400</v>
      </c>
      <c r="Q293" s="229">
        <f t="shared" si="11"/>
        <v>0</v>
      </c>
      <c r="R293" s="229">
        <f t="shared" si="11"/>
        <v>65658</v>
      </c>
      <c r="S293" s="229">
        <f t="shared" si="11"/>
        <v>94000</v>
      </c>
      <c r="T293" s="229"/>
      <c r="U293" s="229">
        <f t="shared" si="11"/>
        <v>0</v>
      </c>
      <c r="V293" s="51">
        <f t="shared" si="11"/>
        <v>0</v>
      </c>
      <c r="W293" s="353">
        <f>SUM(D293:V293)</f>
        <v>9600166.6999999993</v>
      </c>
      <c r="X293" s="34"/>
    </row>
    <row r="294" spans="1:24" ht="25.5" customHeight="1" thickTop="1" thickBot="1">
      <c r="A294" s="16"/>
      <c r="B294" s="41" t="s">
        <v>25</v>
      </c>
      <c r="C294" s="260">
        <f>+C292+C280+C276+C272+C262+C224+C221+C210+C176+C49+C28+C21+C39++C204</f>
        <v>40118720.960000001</v>
      </c>
      <c r="D294" s="260">
        <f>+D292+D280+D276+D272+D262+D224+D221+D210+D176+D49+D28+D21+D39++D204</f>
        <v>2552621</v>
      </c>
      <c r="E294" s="260">
        <f t="shared" ref="E294:V294" si="12">+E292+E280+E276+E272+E262+E224+E221+E210+E176+E49+E28+E21+E39++E204</f>
        <v>2469272.4200000004</v>
      </c>
      <c r="F294" s="260">
        <f t="shared" si="12"/>
        <v>617951.80000000005</v>
      </c>
      <c r="G294" s="260">
        <f t="shared" si="12"/>
        <v>19688</v>
      </c>
      <c r="H294" s="260">
        <f t="shared" si="12"/>
        <v>1324320.99</v>
      </c>
      <c r="I294" s="260">
        <f t="shared" si="12"/>
        <v>1218281.24</v>
      </c>
      <c r="J294" s="260">
        <f t="shared" si="12"/>
        <v>0</v>
      </c>
      <c r="K294" s="260">
        <f t="shared" si="12"/>
        <v>0</v>
      </c>
      <c r="L294" s="260">
        <f t="shared" si="12"/>
        <v>0</v>
      </c>
      <c r="M294" s="260">
        <f t="shared" si="12"/>
        <v>613973.25</v>
      </c>
      <c r="N294" s="260">
        <f t="shared" si="12"/>
        <v>622000</v>
      </c>
      <c r="O294" s="260">
        <f t="shared" si="12"/>
        <v>0</v>
      </c>
      <c r="P294" s="260">
        <f t="shared" si="12"/>
        <v>22400</v>
      </c>
      <c r="Q294" s="260">
        <f t="shared" si="12"/>
        <v>0</v>
      </c>
      <c r="R294" s="260">
        <f t="shared" si="12"/>
        <v>65658</v>
      </c>
      <c r="S294" s="260">
        <f t="shared" si="12"/>
        <v>94000</v>
      </c>
      <c r="T294" s="260"/>
      <c r="U294" s="260">
        <f t="shared" si="12"/>
        <v>0</v>
      </c>
      <c r="V294" s="309">
        <f t="shared" si="12"/>
        <v>0</v>
      </c>
      <c r="W294" s="354">
        <f>SUM(D294:V294)</f>
        <v>9620166.6999999993</v>
      </c>
      <c r="X294" s="34"/>
    </row>
    <row r="295" spans="1:24" ht="25.5" customHeight="1" thickTop="1">
      <c r="B295" s="246" t="s">
        <v>273</v>
      </c>
      <c r="C295" s="182"/>
      <c r="D295" s="300"/>
      <c r="E295" s="301"/>
      <c r="F295" s="302"/>
      <c r="G295" s="302"/>
      <c r="H295" s="302"/>
      <c r="I295" s="300"/>
      <c r="J295" s="300"/>
      <c r="K295" s="300"/>
      <c r="L295" s="300"/>
      <c r="M295" s="302"/>
      <c r="N295" s="300"/>
      <c r="O295" s="300"/>
      <c r="P295" s="300"/>
      <c r="Q295" s="300"/>
      <c r="R295" s="303"/>
      <c r="S295" s="304"/>
      <c r="T295" s="304"/>
      <c r="U295" s="303"/>
      <c r="V295" s="303"/>
      <c r="W295" s="355"/>
      <c r="X295" s="34"/>
    </row>
    <row r="296" spans="1:24" ht="25.5" customHeight="1">
      <c r="C296" s="182"/>
      <c r="D296" s="35"/>
      <c r="E296" s="266"/>
      <c r="F296" s="134"/>
      <c r="G296" s="134"/>
      <c r="H296" s="134"/>
      <c r="I296" s="35"/>
      <c r="J296" s="35"/>
      <c r="K296" s="35"/>
      <c r="L296" s="35"/>
      <c r="M296" s="134"/>
      <c r="N296" s="35"/>
      <c r="O296" s="35"/>
      <c r="P296" s="35"/>
      <c r="Q296" s="35"/>
      <c r="R296" s="34"/>
      <c r="S296" s="171"/>
      <c r="T296" s="171"/>
      <c r="U296" s="34"/>
      <c r="V296" s="34"/>
      <c r="W296" s="34"/>
      <c r="X296" s="34"/>
    </row>
    <row r="297" spans="1:24" ht="25.5" customHeight="1">
      <c r="C297" s="182"/>
      <c r="D297" s="35"/>
      <c r="E297" s="266"/>
      <c r="F297" s="134"/>
      <c r="G297" s="134"/>
      <c r="H297" s="134"/>
      <c r="I297" s="35"/>
      <c r="J297" s="35"/>
      <c r="K297" s="35"/>
      <c r="L297" s="35"/>
      <c r="M297" s="134"/>
      <c r="N297" s="35"/>
      <c r="O297" s="35"/>
      <c r="P297" s="35"/>
      <c r="Q297" s="35"/>
      <c r="R297" s="34"/>
      <c r="S297" s="171"/>
      <c r="T297" s="171"/>
      <c r="U297" s="34"/>
      <c r="V297" s="34"/>
      <c r="W297" s="253">
        <f>39148280-C293</f>
        <v>0</v>
      </c>
    </row>
    <row r="298" spans="1:24" ht="25.5" customHeight="1">
      <c r="B298" s="253">
        <f>39148280-C293</f>
        <v>0</v>
      </c>
      <c r="C298" s="182"/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  <c r="W298" s="322"/>
    </row>
    <row r="299" spans="1:24" ht="25.5" customHeight="1">
      <c r="C299" s="182"/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  <c r="W299" s="328"/>
    </row>
    <row r="300" spans="1:24" ht="25.5" customHeight="1">
      <c r="C300" s="182"/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  <c r="W300" s="321"/>
    </row>
    <row r="301" spans="1:24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  <c r="W301" s="321"/>
    </row>
    <row r="302" spans="1:24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4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4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1:24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1:24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1:24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1:24" ht="25.5" customHeight="1"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</row>
    <row r="309" spans="1:24" ht="25.5" customHeight="1"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</row>
    <row r="310" spans="1:24" ht="25.5" customHeight="1"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</row>
    <row r="311" spans="1:24" ht="25.5" customHeight="1"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</row>
    <row r="312" spans="1:24" ht="25.5" customHeight="1"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</row>
    <row r="313" spans="1:24" s="310" customFormat="1" ht="25.5" customHeight="1">
      <c r="A313"/>
      <c r="B313"/>
      <c r="C313" s="282"/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  <c r="X313"/>
    </row>
    <row r="314" spans="1:24" s="310" customFormat="1" ht="25.5" customHeight="1">
      <c r="A314"/>
      <c r="B314"/>
      <c r="C314" s="282"/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  <c r="X314"/>
    </row>
    <row r="315" spans="1:24" s="310" customFormat="1" ht="25.5" customHeight="1">
      <c r="A315"/>
      <c r="B315"/>
      <c r="C315" s="282"/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  <c r="X315"/>
    </row>
    <row r="316" spans="1:24" s="310" customFormat="1" ht="25.5" customHeight="1">
      <c r="A316"/>
      <c r="B316"/>
      <c r="C316" s="282"/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  <c r="X316"/>
    </row>
    <row r="317" spans="1:24" s="310" customFormat="1" ht="25.5" customHeight="1">
      <c r="A317"/>
      <c r="B317"/>
      <c r="C317" s="282"/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  <c r="X317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/>
    </row>
    <row r="377" spans="1:24" s="310" customFormat="1" ht="25.5" customHeight="1">
      <c r="A377"/>
      <c r="B377"/>
      <c r="C377" s="282"/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  <c r="X377"/>
    </row>
    <row r="378" spans="1:24" s="310" customFormat="1" ht="25.5" customHeight="1">
      <c r="A378"/>
      <c r="B378"/>
      <c r="C378" s="282"/>
      <c r="D378" s="181"/>
      <c r="E378" s="272"/>
      <c r="F378" s="265"/>
      <c r="G378" s="265"/>
      <c r="H378" s="265"/>
      <c r="I378" s="181"/>
      <c r="J378" s="181"/>
      <c r="K378" s="181"/>
      <c r="L378" s="181"/>
      <c r="M378" s="265"/>
      <c r="N378" s="181"/>
      <c r="O378" s="181"/>
      <c r="P378" s="181"/>
      <c r="Q378" s="181"/>
      <c r="R378" s="221"/>
      <c r="S378" s="234"/>
      <c r="T378" s="234"/>
      <c r="U378" s="221"/>
      <c r="V378" s="221"/>
      <c r="X378"/>
    </row>
    <row r="379" spans="1:24" s="310" customFormat="1" ht="25.5" customHeight="1">
      <c r="A379"/>
      <c r="B379"/>
      <c r="C379" s="282"/>
      <c r="D379" s="181"/>
      <c r="E379" s="272"/>
      <c r="F379" s="265"/>
      <c r="G379" s="265"/>
      <c r="H379" s="265"/>
      <c r="I379" s="181"/>
      <c r="J379" s="181"/>
      <c r="K379" s="181"/>
      <c r="L379" s="181"/>
      <c r="M379" s="265"/>
      <c r="N379" s="181"/>
      <c r="O379" s="181"/>
      <c r="P379" s="181"/>
      <c r="Q379" s="181"/>
      <c r="R379" s="221"/>
      <c r="S379" s="234"/>
      <c r="T379" s="234"/>
      <c r="U379" s="221"/>
      <c r="V379" s="221"/>
      <c r="X379"/>
    </row>
    <row r="380" spans="1:24" s="310" customFormat="1" ht="25.5" customHeight="1">
      <c r="A380"/>
      <c r="B380"/>
      <c r="C380" s="282"/>
      <c r="D380" s="181"/>
      <c r="E380" s="272"/>
      <c r="F380" s="265"/>
      <c r="G380" s="265"/>
      <c r="H380" s="265"/>
      <c r="I380" s="181"/>
      <c r="J380" s="181"/>
      <c r="K380" s="181"/>
      <c r="L380" s="181"/>
      <c r="M380" s="265"/>
      <c r="N380" s="181"/>
      <c r="O380" s="181"/>
      <c r="P380" s="181"/>
      <c r="Q380" s="181"/>
      <c r="R380" s="221"/>
      <c r="S380" s="234"/>
      <c r="T380" s="234"/>
      <c r="U380" s="221"/>
      <c r="V380" s="221"/>
      <c r="X380"/>
    </row>
    <row r="381" spans="1:24" s="310" customFormat="1" ht="25.5" customHeight="1">
      <c r="A381"/>
      <c r="B381"/>
      <c r="C381" s="282"/>
      <c r="D381" s="181"/>
      <c r="E381" s="272"/>
      <c r="F381" s="265"/>
      <c r="G381" s="265"/>
      <c r="H381" s="265"/>
      <c r="I381" s="181"/>
      <c r="J381" s="181"/>
      <c r="K381" s="181"/>
      <c r="L381" s="181"/>
      <c r="M381" s="265"/>
      <c r="N381" s="181"/>
      <c r="O381" s="181"/>
      <c r="P381" s="181"/>
      <c r="Q381" s="181"/>
      <c r="R381" s="221"/>
      <c r="S381" s="234"/>
      <c r="T381" s="234"/>
      <c r="U381" s="221"/>
      <c r="V381" s="221"/>
      <c r="X381"/>
    </row>
  </sheetData>
  <mergeCells count="32">
    <mergeCell ref="P7:P8"/>
    <mergeCell ref="Q7:Q8"/>
    <mergeCell ref="R7:R8"/>
    <mergeCell ref="S7:S8"/>
    <mergeCell ref="U7:U8"/>
    <mergeCell ref="V7:V8"/>
    <mergeCell ref="I7:I8"/>
    <mergeCell ref="J7:J8"/>
    <mergeCell ref="K7:K8"/>
    <mergeCell ref="M7:M8"/>
    <mergeCell ref="N7:N8"/>
    <mergeCell ref="O7:O8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</mergeCells>
  <pageMargins left="0.17" right="0.17" top="0.19685039370078741" bottom="0.17" header="0.19685039370078741" footer="0.1574803149606299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X386"/>
  <sheetViews>
    <sheetView workbookViewId="0">
      <pane ySplit="8" topLeftCell="A264" activePane="bottomLeft" state="frozen"/>
      <selection activeCell="J212" sqref="J212"/>
      <selection pane="bottomLeft" activeCell="W298" sqref="W298"/>
    </sheetView>
  </sheetViews>
  <sheetFormatPr defaultRowHeight="25.5" customHeight="1"/>
  <cols>
    <col min="1" max="1" width="1.140625" customWidth="1"/>
    <col min="2" max="2" width="36.140625" customWidth="1"/>
    <col min="3" max="3" width="11.28515625" style="282" customWidth="1"/>
    <col min="4" max="4" width="9.7109375" style="33" customWidth="1"/>
    <col min="5" max="5" width="9.5703125" style="273" customWidth="1"/>
    <col min="6" max="6" width="8.85546875" style="138" customWidth="1"/>
    <col min="7" max="7" width="1.28515625" style="138" customWidth="1"/>
    <col min="8" max="8" width="10.42578125" style="138" customWidth="1"/>
    <col min="9" max="9" width="9.7109375" style="33" customWidth="1"/>
    <col min="10" max="12" width="1" style="33" customWidth="1"/>
    <col min="13" max="13" width="9.140625" style="138" customWidth="1"/>
    <col min="14" max="14" width="8.42578125" style="33" customWidth="1"/>
    <col min="15" max="15" width="0.7109375" style="33" customWidth="1"/>
    <col min="16" max="16" width="8.140625" style="33" customWidth="1"/>
    <col min="17" max="17" width="1" style="33" customWidth="1"/>
    <col min="18" max="18" width="1.140625" customWidth="1"/>
    <col min="19" max="20" width="7.7109375" style="168" customWidth="1"/>
    <col min="21" max="21" width="0.42578125" customWidth="1"/>
    <col min="22" max="22" width="0.5703125" customWidth="1"/>
    <col min="23" max="23" width="15.285156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432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425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1"/>
      <c r="T5" s="662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4"/>
      <c r="T6" s="665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410</v>
      </c>
      <c r="S7" s="647" t="s">
        <v>66</v>
      </c>
      <c r="T7" s="649" t="s">
        <v>433</v>
      </c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650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12914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532900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200000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>
        <v>0</v>
      </c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>
        <v>0</v>
      </c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>
        <v>0</v>
      </c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>
        <v>0</v>
      </c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228" t="s">
        <v>81</v>
      </c>
      <c r="C19" s="285">
        <f>344150-20000</f>
        <v>324150</v>
      </c>
      <c r="D19" s="131">
        <v>0</v>
      </c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198" t="s">
        <v>424</v>
      </c>
      <c r="C20" s="290">
        <v>70650</v>
      </c>
      <c r="D20" s="131">
        <v>0</v>
      </c>
      <c r="E20" s="267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SUM(C10:C20)</f>
        <v>10137432</v>
      </c>
      <c r="D21" s="40">
        <f>SUM(D10:D20)</f>
        <v>748454</v>
      </c>
      <c r="E21" s="35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748454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1283280-10000-14000-48300</f>
        <v>1210980</v>
      </c>
      <c r="D27" s="131"/>
      <c r="E27" s="267">
        <v>95220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2345220</v>
      </c>
      <c r="D28" s="132">
        <f>SUM(D23:D27)</f>
        <v>0</v>
      </c>
      <c r="E28" s="268">
        <f>SUM(E23:E27)</f>
        <v>189740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189740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3188820+1300000+884640+1648500-100000-22000-19000-60000-184500-25100-50000-100000-20000-50000-64500-70650-40000-53200-40000-15000</f>
        <v>6108010</v>
      </c>
      <c r="D30" s="133"/>
      <c r="E30" s="269">
        <v>218140</v>
      </c>
      <c r="F30" s="269">
        <v>78150</v>
      </c>
      <c r="G30" s="269"/>
      <c r="H30" s="269">
        <v>74660</v>
      </c>
      <c r="I30" s="269"/>
      <c r="J30" s="269"/>
      <c r="K30" s="269"/>
      <c r="L30" s="269"/>
      <c r="M30" s="269">
        <v>110090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269">
        <v>0</v>
      </c>
      <c r="G31" s="269"/>
      <c r="H31" s="269">
        <v>157920</v>
      </c>
      <c r="I31" s="269"/>
      <c r="J31" s="269"/>
      <c r="K31" s="269"/>
      <c r="L31" s="269"/>
      <c r="M31" s="269"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269">
        <v>0</v>
      </c>
      <c r="G32" s="269"/>
      <c r="H32" s="269">
        <v>0</v>
      </c>
      <c r="I32" s="269"/>
      <c r="J32" s="269"/>
      <c r="K32" s="269"/>
      <c r="L32" s="269"/>
      <c r="M32" s="269"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v>11000</v>
      </c>
      <c r="F33" s="269">
        <v>0</v>
      </c>
      <c r="G33" s="269"/>
      <c r="H33" s="269">
        <v>3500</v>
      </c>
      <c r="I33" s="269"/>
      <c r="J33" s="269"/>
      <c r="K33" s="269"/>
      <c r="L33" s="269"/>
      <c r="M33" s="269">
        <v>3500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787000+589000+559480+350880+100000+184500+153000-9400</f>
        <v>2714460</v>
      </c>
      <c r="D34" s="131"/>
      <c r="E34" s="269">
        <v>85330</v>
      </c>
      <c r="F34" s="269">
        <v>58130</v>
      </c>
      <c r="G34" s="269"/>
      <c r="H34" s="269">
        <v>64910</v>
      </c>
      <c r="I34" s="269"/>
      <c r="J34" s="269"/>
      <c r="K34" s="269"/>
      <c r="L34" s="269"/>
      <c r="M34" s="269">
        <v>29240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/>
      <c r="F35" s="269">
        <v>0</v>
      </c>
      <c r="G35" s="269"/>
      <c r="H35" s="269">
        <v>20970</v>
      </c>
      <c r="I35" s="269"/>
      <c r="J35" s="269"/>
      <c r="K35" s="269"/>
      <c r="L35" s="269"/>
      <c r="M35" s="269"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76000+72000+84000+22000+25100+11000-5700</f>
        <v>284400</v>
      </c>
      <c r="D36" s="131"/>
      <c r="E36" s="269">
        <v>9160</v>
      </c>
      <c r="F36" s="269">
        <v>6355</v>
      </c>
      <c r="G36" s="269"/>
      <c r="H36" s="269">
        <v>8500</v>
      </c>
      <c r="I36" s="269"/>
      <c r="J36" s="269"/>
      <c r="K36" s="269"/>
      <c r="L36" s="269"/>
      <c r="M36" s="269">
        <v>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v>0</v>
      </c>
      <c r="F37" s="269">
        <v>0</v>
      </c>
      <c r="G37" s="269"/>
      <c r="H37" s="269">
        <v>1830</v>
      </c>
      <c r="I37" s="269"/>
      <c r="J37" s="269"/>
      <c r="K37" s="269"/>
      <c r="L37" s="269"/>
      <c r="M37" s="269"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ht="25.5" customHeight="1">
      <c r="A38" s="9"/>
      <c r="B38" s="6"/>
      <c r="C38" s="499"/>
      <c r="D38" s="195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315"/>
    </row>
    <row r="39" spans="1:23" ht="25.5" customHeight="1" thickBot="1">
      <c r="A39" s="46"/>
      <c r="B39" s="47" t="s">
        <v>5</v>
      </c>
      <c r="C39" s="289">
        <f>SUM(C30:C37)</f>
        <v>11534650</v>
      </c>
      <c r="D39" s="255">
        <f>SUM(D30:D37)</f>
        <v>0</v>
      </c>
      <c r="E39" s="254">
        <f>SUM(E30:E37)</f>
        <v>324070</v>
      </c>
      <c r="F39" s="254">
        <f>SUM(F30:F37)</f>
        <v>142635</v>
      </c>
      <c r="G39" s="254">
        <f t="shared" ref="G39:V39" si="2">SUM(G30:G37)</f>
        <v>0</v>
      </c>
      <c r="H39" s="254">
        <f>SUM(H30:H37)</f>
        <v>332290</v>
      </c>
      <c r="I39" s="255">
        <f t="shared" si="2"/>
        <v>0</v>
      </c>
      <c r="J39" s="255">
        <f t="shared" si="2"/>
        <v>0</v>
      </c>
      <c r="K39" s="255">
        <f t="shared" si="2"/>
        <v>0</v>
      </c>
      <c r="L39" s="255">
        <f t="shared" si="2"/>
        <v>0</v>
      </c>
      <c r="M39" s="254">
        <f>SUM(M30:M37)</f>
        <v>142830</v>
      </c>
      <c r="N39" s="255">
        <f t="shared" si="2"/>
        <v>0</v>
      </c>
      <c r="O39" s="255">
        <f t="shared" si="2"/>
        <v>0</v>
      </c>
      <c r="P39" s="255">
        <f t="shared" si="2"/>
        <v>0</v>
      </c>
      <c r="Q39" s="255">
        <f t="shared" si="2"/>
        <v>0</v>
      </c>
      <c r="R39" s="255">
        <f t="shared" si="2"/>
        <v>0</v>
      </c>
      <c r="S39" s="255">
        <f t="shared" si="2"/>
        <v>0</v>
      </c>
      <c r="T39" s="255"/>
      <c r="U39" s="255">
        <f t="shared" si="2"/>
        <v>0</v>
      </c>
      <c r="V39" s="255">
        <f t="shared" si="2"/>
        <v>0</v>
      </c>
      <c r="W39" s="316">
        <f>SUM(D39:V39)</f>
        <v>941825</v>
      </c>
    </row>
    <row r="40" spans="1:23" ht="25.5" customHeight="1" thickTop="1">
      <c r="A40" s="5" t="s">
        <v>98</v>
      </c>
      <c r="B40" s="6"/>
      <c r="C40" s="190"/>
      <c r="D40" s="133"/>
      <c r="E40" s="269"/>
      <c r="F40" s="136"/>
      <c r="G40" s="136"/>
      <c r="H40" s="136"/>
      <c r="I40" s="133"/>
      <c r="J40" s="133"/>
      <c r="K40" s="133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7"/>
    </row>
    <row r="41" spans="1:23" ht="25.5" customHeight="1">
      <c r="A41" s="9"/>
      <c r="B41" s="130" t="s">
        <v>93</v>
      </c>
      <c r="C41" s="216">
        <v>5000</v>
      </c>
      <c r="D41" s="133"/>
      <c r="E41" s="269">
        <v>2000</v>
      </c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315"/>
    </row>
    <row r="42" spans="1:23" ht="25.5" customHeight="1">
      <c r="A42" s="9"/>
      <c r="B42" s="130" t="s">
        <v>205</v>
      </c>
      <c r="C42" s="285">
        <v>10000</v>
      </c>
      <c r="D42" s="131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315"/>
    </row>
    <row r="43" spans="1:23" ht="25.5" customHeight="1">
      <c r="A43" s="9"/>
      <c r="B43" s="130" t="s">
        <v>94</v>
      </c>
      <c r="C43" s="285">
        <f>10000-10000</f>
        <v>0</v>
      </c>
      <c r="D43" s="131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311"/>
    </row>
    <row r="44" spans="1:23" ht="25.5" customHeight="1">
      <c r="A44" s="9"/>
      <c r="B44" s="130" t="s">
        <v>95</v>
      </c>
      <c r="C44" s="192">
        <v>5000</v>
      </c>
      <c r="D44" s="131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</row>
    <row r="45" spans="1:23" ht="25.5" customHeight="1">
      <c r="A45" s="9"/>
      <c r="B45" s="130" t="s">
        <v>96</v>
      </c>
      <c r="C45" s="192">
        <v>5000</v>
      </c>
      <c r="D45" s="131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</row>
    <row r="46" spans="1:23" ht="25.5" customHeight="1">
      <c r="A46" s="9"/>
      <c r="B46" s="130" t="s">
        <v>10</v>
      </c>
      <c r="C46" s="216">
        <f>144000+36000+78000+78000-15500</f>
        <v>320500</v>
      </c>
      <c r="D46" s="133"/>
      <c r="E46" s="269">
        <v>10000</v>
      </c>
      <c r="F46" s="269">
        <v>3000</v>
      </c>
      <c r="G46" s="269"/>
      <c r="H46" s="269">
        <v>6500</v>
      </c>
      <c r="I46" s="269"/>
      <c r="J46" s="269"/>
      <c r="K46" s="269"/>
      <c r="L46" s="269"/>
      <c r="M46" s="269">
        <v>6500</v>
      </c>
      <c r="N46" s="269"/>
      <c r="O46" s="269"/>
      <c r="P46" s="269"/>
      <c r="Q46" s="269"/>
      <c r="R46" s="269"/>
      <c r="S46" s="269"/>
      <c r="T46" s="269"/>
      <c r="U46" s="269"/>
      <c r="V46" s="269"/>
    </row>
    <row r="47" spans="1:23" ht="25.5" customHeight="1">
      <c r="A47" s="9"/>
      <c r="B47" s="130" t="s">
        <v>9</v>
      </c>
      <c r="C47" s="216">
        <f>25000+10000+30000+20000</f>
        <v>85000</v>
      </c>
      <c r="D47" s="131"/>
      <c r="E47" s="269"/>
      <c r="F47" s="269"/>
      <c r="G47" s="269"/>
      <c r="H47" s="269">
        <v>7000</v>
      </c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</row>
    <row r="48" spans="1:23" ht="25.5" customHeight="1">
      <c r="A48" s="197"/>
      <c r="B48" s="198" t="s">
        <v>241</v>
      </c>
      <c r="C48" s="286">
        <v>44200</v>
      </c>
      <c r="D48" s="131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</row>
    <row r="49" spans="1:24" ht="25.5" customHeight="1" thickBot="1">
      <c r="A49" s="46"/>
      <c r="B49" s="47" t="s">
        <v>5</v>
      </c>
      <c r="C49" s="289">
        <f>SUM(C41:C48)</f>
        <v>474700</v>
      </c>
      <c r="D49" s="255">
        <f>SUM(D41:D48)</f>
        <v>0</v>
      </c>
      <c r="E49" s="254">
        <f>SUM(E41:E48)</f>
        <v>12000</v>
      </c>
      <c r="F49" s="254">
        <f>SUM(F41:F48)</f>
        <v>3000</v>
      </c>
      <c r="G49" s="254">
        <f t="shared" ref="G49:V49" si="3">SUM(G41:G48)</f>
        <v>0</v>
      </c>
      <c r="H49" s="254">
        <f>SUM(H41:H48)</f>
        <v>13500</v>
      </c>
      <c r="I49" s="255">
        <f t="shared" si="3"/>
        <v>0</v>
      </c>
      <c r="J49" s="255">
        <f t="shared" si="3"/>
        <v>0</v>
      </c>
      <c r="K49" s="255">
        <f t="shared" si="3"/>
        <v>0</v>
      </c>
      <c r="L49" s="255">
        <f t="shared" si="3"/>
        <v>0</v>
      </c>
      <c r="M49" s="254">
        <f>SUM(M41:M48)</f>
        <v>6500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35000</v>
      </c>
    </row>
    <row r="50" spans="1:24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3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4" s="310" customFormat="1" ht="25.5" customHeight="1">
      <c r="A51" s="5"/>
      <c r="B51" s="130" t="s">
        <v>100</v>
      </c>
      <c r="C51" s="281">
        <f>15000+7000+20000+15000</f>
        <v>57000</v>
      </c>
      <c r="D51" s="133"/>
      <c r="E51" s="269"/>
      <c r="F51" s="269"/>
      <c r="G51" s="269"/>
      <c r="H51" s="269">
        <v>3000</v>
      </c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X51"/>
    </row>
    <row r="52" spans="1:24" s="310" customFormat="1" ht="25.5" customHeight="1">
      <c r="A52" s="5"/>
      <c r="B52" s="130" t="s">
        <v>226</v>
      </c>
      <c r="C52" s="281">
        <f>1044000+124000+384000+296000-47000+10000+156000+65000+50000+64500-15000+20000+48300+53200+5700+9400+10000+15500+10000+6400</f>
        <v>2310000</v>
      </c>
      <c r="D52" s="133"/>
      <c r="E52" s="269">
        <v>128000</v>
      </c>
      <c r="F52" s="269">
        <v>7000</v>
      </c>
      <c r="G52" s="269"/>
      <c r="H52" s="269">
        <v>55000</v>
      </c>
      <c r="I52" s="269"/>
      <c r="J52" s="269"/>
      <c r="K52" s="269"/>
      <c r="L52" s="269"/>
      <c r="M52" s="269">
        <v>37500</v>
      </c>
      <c r="N52" s="269"/>
      <c r="O52" s="269"/>
      <c r="P52" s="269"/>
      <c r="Q52" s="269"/>
      <c r="R52" s="269"/>
      <c r="S52" s="269"/>
      <c r="T52" s="269"/>
      <c r="U52" s="269"/>
      <c r="V52" s="269"/>
      <c r="X52"/>
    </row>
    <row r="53" spans="1:24" s="310" customFormat="1" ht="25.5" customHeight="1">
      <c r="A53" s="5"/>
      <c r="B53" s="130" t="s">
        <v>223</v>
      </c>
      <c r="C53" s="281">
        <v>200000</v>
      </c>
      <c r="D53" s="133"/>
      <c r="E53" s="269">
        <v>50000</v>
      </c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X53"/>
    </row>
    <row r="54" spans="1:24" s="310" customFormat="1" ht="25.5" customHeight="1">
      <c r="A54" s="5"/>
      <c r="B54" s="130" t="s">
        <v>224</v>
      </c>
      <c r="C54" s="281">
        <v>20000</v>
      </c>
      <c r="D54" s="133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X54"/>
    </row>
    <row r="55" spans="1:24" s="310" customFormat="1" ht="25.5" customHeight="1">
      <c r="A55" s="5"/>
      <c r="B55" s="130" t="s">
        <v>225</v>
      </c>
      <c r="C55" s="281">
        <f>10000+14000</f>
        <v>24000</v>
      </c>
      <c r="D55" s="133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X55"/>
    </row>
    <row r="56" spans="1:24" s="310" customFormat="1" ht="25.5" customHeight="1">
      <c r="A56" s="5"/>
      <c r="B56" s="130" t="s">
        <v>227</v>
      </c>
      <c r="C56" s="281">
        <v>40000</v>
      </c>
      <c r="D56" s="133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X56"/>
    </row>
    <row r="57" spans="1:24" s="310" customFormat="1" ht="25.5" customHeight="1">
      <c r="A57" s="5"/>
      <c r="B57" s="130" t="s">
        <v>228</v>
      </c>
      <c r="C57" s="281">
        <v>9000</v>
      </c>
      <c r="D57" s="133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X57"/>
    </row>
    <row r="58" spans="1:24" s="310" customFormat="1" ht="25.5" customHeight="1">
      <c r="A58" s="5"/>
      <c r="B58" s="130" t="s">
        <v>11</v>
      </c>
      <c r="C58" s="281">
        <f>10000+60000+20000</f>
        <v>90000</v>
      </c>
      <c r="D58" s="133"/>
      <c r="E58" s="269">
        <v>2210</v>
      </c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X58"/>
    </row>
    <row r="59" spans="1:24" s="310" customFormat="1" ht="25.5" customHeight="1">
      <c r="A59" s="5"/>
      <c r="B59" s="130" t="s">
        <v>229</v>
      </c>
      <c r="C59" s="281">
        <v>10000</v>
      </c>
      <c r="D59" s="133"/>
      <c r="E59" s="269">
        <v>400</v>
      </c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X59"/>
    </row>
    <row r="60" spans="1:24" s="310" customFormat="1" ht="25.5" customHeight="1">
      <c r="A60" s="5"/>
      <c r="B60" s="130" t="s">
        <v>230</v>
      </c>
      <c r="C60" s="281">
        <v>20000</v>
      </c>
      <c r="D60" s="133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X60"/>
    </row>
    <row r="61" spans="1:24" s="310" customFormat="1" ht="25.5" customHeight="1">
      <c r="A61" s="9"/>
      <c r="B61" s="130" t="s">
        <v>50</v>
      </c>
      <c r="C61" s="280">
        <f>10000-10000</f>
        <v>0</v>
      </c>
      <c r="D61" s="133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X61"/>
    </row>
    <row r="62" spans="1:24" s="310" customFormat="1" ht="25.5" customHeight="1">
      <c r="A62" s="9"/>
      <c r="B62" s="130" t="s">
        <v>103</v>
      </c>
      <c r="C62" s="280">
        <v>10000</v>
      </c>
      <c r="D62" s="131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X62"/>
    </row>
    <row r="63" spans="1:24" s="310" customFormat="1" ht="25.5" customHeight="1">
      <c r="A63" s="9"/>
      <c r="B63" s="187" t="s">
        <v>106</v>
      </c>
      <c r="C63" s="283">
        <f>200000+30000+30000+80000+19000+1000+10000+2500+2500+2500+2500+20000+15000+5000</f>
        <v>420000</v>
      </c>
      <c r="D63" s="131"/>
      <c r="E63" s="269">
        <v>37320</v>
      </c>
      <c r="F63" s="269">
        <v>7900</v>
      </c>
      <c r="G63" s="269"/>
      <c r="H63" s="269">
        <v>313</v>
      </c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X63"/>
    </row>
    <row r="64" spans="1:24" s="310" customFormat="1" ht="25.5" customHeight="1">
      <c r="A64" s="9"/>
      <c r="B64" s="187" t="s">
        <v>231</v>
      </c>
      <c r="C64" s="283">
        <f>5000+8900</f>
        <v>13900</v>
      </c>
      <c r="D64" s="131"/>
      <c r="E64" s="269">
        <v>1600</v>
      </c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X64"/>
    </row>
    <row r="65" spans="1:24" s="310" customFormat="1" ht="25.5" customHeight="1">
      <c r="A65" s="9"/>
      <c r="B65" s="187" t="s">
        <v>204</v>
      </c>
      <c r="C65" s="283">
        <v>5000</v>
      </c>
      <c r="D65" s="131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X65"/>
    </row>
    <row r="66" spans="1:24" s="310" customFormat="1" ht="25.5" customHeight="1">
      <c r="A66" s="9"/>
      <c r="B66" s="187" t="s">
        <v>232</v>
      </c>
      <c r="C66" s="283">
        <f>120000+100000-6400</f>
        <v>213600</v>
      </c>
      <c r="D66" s="131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X66"/>
    </row>
    <row r="67" spans="1:24" s="310" customFormat="1" ht="25.5" customHeight="1">
      <c r="A67" s="9"/>
      <c r="B67" s="187" t="s">
        <v>233</v>
      </c>
      <c r="C67" s="283">
        <f>125000-8900-16100</f>
        <v>100000</v>
      </c>
      <c r="D67" s="131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X67"/>
    </row>
    <row r="68" spans="1:24" s="310" customFormat="1" ht="25.5" customHeight="1">
      <c r="A68" s="9"/>
      <c r="B68" s="187" t="s">
        <v>234</v>
      </c>
      <c r="C68" s="283">
        <v>5000</v>
      </c>
      <c r="D68" s="131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X68"/>
    </row>
    <row r="69" spans="1:24" s="310" customFormat="1" ht="25.5" customHeight="1">
      <c r="A69" s="9"/>
      <c r="B69" s="187" t="s">
        <v>235</v>
      </c>
      <c r="C69" s="283">
        <v>90000</v>
      </c>
      <c r="D69" s="131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X69"/>
    </row>
    <row r="70" spans="1:24" s="310" customFormat="1" ht="25.5" customHeight="1">
      <c r="A70" s="9"/>
      <c r="B70" s="187" t="s">
        <v>236</v>
      </c>
      <c r="C70" s="283">
        <v>5000</v>
      </c>
      <c r="D70" s="131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X70"/>
    </row>
    <row r="71" spans="1:24" s="310" customFormat="1" ht="25.5" customHeight="1">
      <c r="A71" s="9"/>
      <c r="B71" s="187" t="s">
        <v>237</v>
      </c>
      <c r="C71" s="283">
        <v>5000</v>
      </c>
      <c r="D71" s="131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X71"/>
    </row>
    <row r="72" spans="1:24" s="310" customFormat="1" ht="25.5" customHeight="1">
      <c r="A72" s="165"/>
      <c r="B72" s="226" t="s">
        <v>277</v>
      </c>
      <c r="C72" s="279">
        <v>5000</v>
      </c>
      <c r="D72" s="131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X72"/>
    </row>
    <row r="73" spans="1:24" s="310" customFormat="1" ht="25.5" customHeight="1">
      <c r="A73" s="165"/>
      <c r="B73" s="226" t="s">
        <v>107</v>
      </c>
      <c r="C73" s="279">
        <v>10000</v>
      </c>
      <c r="D73" s="131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X73"/>
    </row>
    <row r="74" spans="1:24" s="310" customFormat="1" ht="25.5" customHeight="1">
      <c r="A74" s="9"/>
      <c r="B74" s="226" t="s">
        <v>278</v>
      </c>
      <c r="C74" s="279">
        <v>10000</v>
      </c>
      <c r="D74" s="195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X74"/>
    </row>
    <row r="75" spans="1:24" s="310" customFormat="1" ht="25.5" customHeight="1">
      <c r="A75" s="165"/>
      <c r="B75" s="226" t="s">
        <v>279</v>
      </c>
      <c r="C75" s="279">
        <v>10000</v>
      </c>
      <c r="D75" s="195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X75"/>
    </row>
    <row r="76" spans="1:24" s="310" customFormat="1" ht="25.5" customHeight="1">
      <c r="A76" s="9"/>
      <c r="B76" s="226" t="s">
        <v>280</v>
      </c>
      <c r="C76" s="279">
        <v>10000</v>
      </c>
      <c r="D76" s="195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X76"/>
    </row>
    <row r="77" spans="1:24" s="310" customFormat="1" ht="25.5" customHeight="1">
      <c r="A77" s="9"/>
      <c r="B77" s="226" t="s">
        <v>281</v>
      </c>
      <c r="C77" s="279">
        <v>5000</v>
      </c>
      <c r="D77" s="195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X77"/>
    </row>
    <row r="78" spans="1:24" s="310" customFormat="1" ht="25.5" customHeight="1">
      <c r="A78" s="9"/>
      <c r="B78" s="226" t="s">
        <v>282</v>
      </c>
      <c r="C78" s="279">
        <v>5000</v>
      </c>
      <c r="D78" s="195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X78"/>
    </row>
    <row r="79" spans="1:24" s="310" customFormat="1" ht="25.5" customHeight="1">
      <c r="A79" s="9"/>
      <c r="B79" s="226" t="s">
        <v>238</v>
      </c>
      <c r="C79" s="279">
        <f>70000+40000+10000+20000+30000+10000+10000</f>
        <v>190000</v>
      </c>
      <c r="D79" s="195"/>
      <c r="E79" s="269"/>
      <c r="F79" s="269"/>
      <c r="G79" s="269"/>
      <c r="H79" s="269">
        <v>16041</v>
      </c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X79"/>
    </row>
    <row r="80" spans="1:24" s="310" customFormat="1" ht="25.5" customHeight="1">
      <c r="A80" s="9"/>
      <c r="B80" s="226" t="s">
        <v>121</v>
      </c>
      <c r="C80" s="279">
        <f>100000+47000+3000-140000+40000</f>
        <v>50000</v>
      </c>
      <c r="D80" s="195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X80"/>
    </row>
    <row r="81" spans="1:24" s="310" customFormat="1" ht="25.5" customHeight="1">
      <c r="A81" s="9"/>
      <c r="B81" s="226" t="s">
        <v>295</v>
      </c>
      <c r="C81" s="279">
        <f>40000+50000</f>
        <v>90000</v>
      </c>
      <c r="D81" s="195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X81"/>
    </row>
    <row r="82" spans="1:24" s="310" customFormat="1" ht="25.5" customHeight="1">
      <c r="A82" s="9"/>
      <c r="B82" s="226" t="s">
        <v>296</v>
      </c>
      <c r="C82" s="279">
        <v>30000</v>
      </c>
      <c r="D82" s="195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X82"/>
    </row>
    <row r="83" spans="1:24" s="310" customFormat="1" ht="25.5" customHeight="1">
      <c r="A83" s="9"/>
      <c r="B83" s="226" t="s">
        <v>210</v>
      </c>
      <c r="C83" s="279">
        <v>10000</v>
      </c>
      <c r="D83" s="195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X83"/>
    </row>
    <row r="84" spans="1:24" s="310" customFormat="1" ht="25.5" customHeight="1">
      <c r="A84" s="9"/>
      <c r="B84" s="187" t="s">
        <v>297</v>
      </c>
      <c r="C84" s="279">
        <v>20000</v>
      </c>
      <c r="D84" s="195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X84"/>
    </row>
    <row r="85" spans="1:24" s="310" customFormat="1" ht="25.5" customHeight="1">
      <c r="A85" s="9"/>
      <c r="B85" s="187" t="s">
        <v>298</v>
      </c>
      <c r="C85" s="279">
        <v>20000</v>
      </c>
      <c r="D85" s="195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X85"/>
    </row>
    <row r="86" spans="1:24" s="310" customFormat="1" ht="25.5" customHeight="1">
      <c r="A86" s="9"/>
      <c r="B86" s="187" t="s">
        <v>299</v>
      </c>
      <c r="C86" s="279">
        <v>15000</v>
      </c>
      <c r="D86" s="195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X86"/>
    </row>
    <row r="87" spans="1:24" s="310" customFormat="1" ht="25.5" customHeight="1">
      <c r="A87" s="9"/>
      <c r="B87" s="187" t="s">
        <v>300</v>
      </c>
      <c r="C87" s="279">
        <v>10000</v>
      </c>
      <c r="D87" s="19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X87"/>
    </row>
    <row r="88" spans="1:24" s="310" customFormat="1" ht="25.5" customHeight="1">
      <c r="A88" s="9"/>
      <c r="B88" s="187" t="s">
        <v>301</v>
      </c>
      <c r="C88" s="279">
        <v>345100</v>
      </c>
      <c r="D88" s="195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X88"/>
    </row>
    <row r="89" spans="1:24" s="310" customFormat="1" ht="25.5" customHeight="1">
      <c r="A89" s="9"/>
      <c r="B89" s="187" t="s">
        <v>242</v>
      </c>
      <c r="C89" s="279">
        <v>40000</v>
      </c>
      <c r="D89" s="195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X89"/>
    </row>
    <row r="90" spans="1:24" s="310" customFormat="1" ht="25.5" customHeight="1">
      <c r="A90" s="9"/>
      <c r="B90" s="187" t="s">
        <v>307</v>
      </c>
      <c r="C90" s="279">
        <f>10000-10000</f>
        <v>0</v>
      </c>
      <c r="D90" s="131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X90"/>
    </row>
    <row r="91" spans="1:24" s="310" customFormat="1" ht="25.5" customHeight="1">
      <c r="A91" s="9"/>
      <c r="B91" s="187" t="s">
        <v>134</v>
      </c>
      <c r="C91" s="279">
        <f>15000-10000</f>
        <v>5000</v>
      </c>
      <c r="D91" s="195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X91"/>
    </row>
    <row r="92" spans="1:24" s="310" customFormat="1" ht="25.5" customHeight="1">
      <c r="A92" s="9"/>
      <c r="B92" s="187" t="s">
        <v>308</v>
      </c>
      <c r="C92" s="279">
        <f>2500-2500</f>
        <v>0</v>
      </c>
      <c r="D92" s="195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X92"/>
    </row>
    <row r="93" spans="1:24" s="310" customFormat="1" ht="25.5" customHeight="1">
      <c r="A93" s="9"/>
      <c r="B93" s="187" t="s">
        <v>309</v>
      </c>
      <c r="C93" s="279">
        <f>2500-2500</f>
        <v>0</v>
      </c>
      <c r="D93" s="195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X93"/>
    </row>
    <row r="94" spans="1:24" s="310" customFormat="1" ht="25.5" customHeight="1">
      <c r="A94" s="9"/>
      <c r="B94" s="187" t="s">
        <v>310</v>
      </c>
      <c r="C94" s="279">
        <f>2500-2500</f>
        <v>0</v>
      </c>
      <c r="D94" s="195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X94"/>
    </row>
    <row r="95" spans="1:24" s="310" customFormat="1" ht="25.5" customHeight="1">
      <c r="A95" s="9"/>
      <c r="B95" s="187" t="s">
        <v>311</v>
      </c>
      <c r="C95" s="279">
        <f>2500-2500</f>
        <v>0</v>
      </c>
      <c r="D95" s="195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X95"/>
    </row>
    <row r="96" spans="1:24" s="310" customFormat="1" ht="25.5" customHeight="1">
      <c r="A96" s="9"/>
      <c r="B96" s="187" t="s">
        <v>243</v>
      </c>
      <c r="C96" s="279">
        <v>2000</v>
      </c>
      <c r="D96" s="195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X96"/>
    </row>
    <row r="97" spans="1:24" s="310" customFormat="1" ht="25.5" customHeight="1">
      <c r="A97" s="9"/>
      <c r="B97" s="187" t="s">
        <v>248</v>
      </c>
      <c r="C97" s="279">
        <v>2000</v>
      </c>
      <c r="D97" s="195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X97"/>
    </row>
    <row r="98" spans="1:24" s="310" customFormat="1" ht="25.5" customHeight="1">
      <c r="A98" s="9"/>
      <c r="B98" s="187" t="s">
        <v>244</v>
      </c>
      <c r="C98" s="279">
        <v>2000</v>
      </c>
      <c r="D98" s="195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X98"/>
    </row>
    <row r="99" spans="1:24" s="310" customFormat="1" ht="25.5" customHeight="1">
      <c r="A99" s="9"/>
      <c r="B99" s="187" t="s">
        <v>245</v>
      </c>
      <c r="C99" s="279">
        <v>2000</v>
      </c>
      <c r="D99" s="195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X99"/>
    </row>
    <row r="100" spans="1:24" s="310" customFormat="1" ht="25.5" customHeight="1">
      <c r="A100" s="9"/>
      <c r="B100" s="187" t="s">
        <v>246</v>
      </c>
      <c r="C100" s="279">
        <v>2000</v>
      </c>
      <c r="D100" s="195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X100"/>
    </row>
    <row r="101" spans="1:24" s="310" customFormat="1" ht="25.5" customHeight="1">
      <c r="A101" s="9"/>
      <c r="B101" s="187" t="s">
        <v>247</v>
      </c>
      <c r="C101" s="279">
        <v>2000</v>
      </c>
      <c r="D101" s="195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X101"/>
    </row>
    <row r="102" spans="1:24" s="310" customFormat="1" ht="25.5" customHeight="1">
      <c r="A102" s="9"/>
      <c r="B102" s="187" t="s">
        <v>249</v>
      </c>
      <c r="C102" s="279">
        <v>2000</v>
      </c>
      <c r="D102" s="195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X102"/>
    </row>
    <row r="103" spans="1:24" s="310" customFormat="1" ht="25.5" customHeight="1">
      <c r="A103" s="9"/>
      <c r="B103" s="187" t="s">
        <v>250</v>
      </c>
      <c r="C103" s="279">
        <v>2000</v>
      </c>
      <c r="D103" s="195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X103"/>
    </row>
    <row r="104" spans="1:24" s="310" customFormat="1" ht="25.5" customHeight="1">
      <c r="A104" s="9"/>
      <c r="B104" s="187" t="s">
        <v>251</v>
      </c>
      <c r="C104" s="279">
        <v>2000</v>
      </c>
      <c r="D104" s="195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X104"/>
    </row>
    <row r="105" spans="1:24" s="310" customFormat="1" ht="25.5" customHeight="1">
      <c r="A105" s="9"/>
      <c r="B105" s="187" t="s">
        <v>252</v>
      </c>
      <c r="C105" s="279">
        <v>2000</v>
      </c>
      <c r="D105" s="195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X105"/>
    </row>
    <row r="106" spans="1:24" s="310" customFormat="1" ht="25.5" customHeight="1">
      <c r="A106" s="9"/>
      <c r="B106" s="187" t="s">
        <v>253</v>
      </c>
      <c r="C106" s="279">
        <v>2000</v>
      </c>
      <c r="D106" s="195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X106"/>
    </row>
    <row r="107" spans="1:24" s="310" customFormat="1" ht="25.5" customHeight="1">
      <c r="A107" s="9"/>
      <c r="B107" s="187" t="s">
        <v>254</v>
      </c>
      <c r="C107" s="279">
        <v>2000</v>
      </c>
      <c r="D107" s="195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X107"/>
    </row>
    <row r="108" spans="1:24" s="310" customFormat="1" ht="25.5" customHeight="1">
      <c r="A108" s="9"/>
      <c r="B108" s="187" t="s">
        <v>312</v>
      </c>
      <c r="C108" s="279">
        <v>2500</v>
      </c>
      <c r="D108" s="195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X108"/>
    </row>
    <row r="109" spans="1:24" s="310" customFormat="1" ht="25.5" customHeight="1">
      <c r="A109" s="9"/>
      <c r="B109" s="187" t="s">
        <v>313</v>
      </c>
      <c r="C109" s="279">
        <v>2500</v>
      </c>
      <c r="D109" s="131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X109"/>
    </row>
    <row r="110" spans="1:24" s="310" customFormat="1" ht="25.5" customHeight="1">
      <c r="A110" s="9"/>
      <c r="B110" s="187" t="s">
        <v>314</v>
      </c>
      <c r="C110" s="279">
        <v>2500</v>
      </c>
      <c r="D110" s="195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X110"/>
    </row>
    <row r="111" spans="1:24" s="310" customFormat="1" ht="25.5" customHeight="1">
      <c r="A111" s="9"/>
      <c r="B111" s="187" t="s">
        <v>255</v>
      </c>
      <c r="C111" s="279">
        <v>4000</v>
      </c>
      <c r="D111" s="195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X111"/>
    </row>
    <row r="112" spans="1:24" s="310" customFormat="1" ht="25.5" customHeight="1">
      <c r="A112" s="9"/>
      <c r="B112" s="187" t="s">
        <v>256</v>
      </c>
      <c r="C112" s="279">
        <v>2500</v>
      </c>
      <c r="D112" s="195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X112"/>
    </row>
    <row r="113" spans="1:24" s="310" customFormat="1" ht="25.5" customHeight="1">
      <c r="A113" s="9"/>
      <c r="B113" s="187" t="s">
        <v>257</v>
      </c>
      <c r="C113" s="279">
        <v>2500</v>
      </c>
      <c r="D113" s="195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X113"/>
    </row>
    <row r="114" spans="1:24" s="310" customFormat="1" ht="25.5" customHeight="1">
      <c r="A114" s="9"/>
      <c r="B114" s="187" t="s">
        <v>258</v>
      </c>
      <c r="C114" s="279">
        <v>2500</v>
      </c>
      <c r="D114" s="195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X114"/>
    </row>
    <row r="115" spans="1:24" s="310" customFormat="1" ht="25.5" customHeight="1">
      <c r="A115" s="9"/>
      <c r="B115" s="187" t="s">
        <v>259</v>
      </c>
      <c r="C115" s="279">
        <v>1000</v>
      </c>
      <c r="D115" s="195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X115"/>
    </row>
    <row r="116" spans="1:24" s="310" customFormat="1" ht="25.5" customHeight="1">
      <c r="A116" s="9"/>
      <c r="B116" s="187" t="s">
        <v>260</v>
      </c>
      <c r="C116" s="279">
        <v>1000</v>
      </c>
      <c r="D116" s="195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X116"/>
    </row>
    <row r="117" spans="1:24" s="310" customFormat="1" ht="25.5" customHeight="1">
      <c r="A117" s="9"/>
      <c r="B117" s="187" t="s">
        <v>261</v>
      </c>
      <c r="C117" s="279">
        <v>1000</v>
      </c>
      <c r="D117" s="195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X117"/>
    </row>
    <row r="118" spans="1:24" s="310" customFormat="1" ht="25.5" customHeight="1">
      <c r="A118" s="9"/>
      <c r="B118" s="187" t="s">
        <v>262</v>
      </c>
      <c r="C118" s="279">
        <v>1000</v>
      </c>
      <c r="D118" s="195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X118"/>
    </row>
    <row r="119" spans="1:24" s="310" customFormat="1" ht="25.5" customHeight="1">
      <c r="A119" s="9"/>
      <c r="B119" s="187" t="s">
        <v>211</v>
      </c>
      <c r="C119" s="279">
        <v>392000</v>
      </c>
      <c r="D119" s="195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X119"/>
    </row>
    <row r="120" spans="1:24" s="310" customFormat="1" ht="25.5" customHeight="1">
      <c r="A120" s="9"/>
      <c r="B120" s="187" t="s">
        <v>263</v>
      </c>
      <c r="C120" s="279">
        <v>200900</v>
      </c>
      <c r="D120" s="195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X120"/>
    </row>
    <row r="121" spans="1:24" s="310" customFormat="1" ht="25.5" customHeight="1">
      <c r="A121" s="9"/>
      <c r="B121" s="187" t="s">
        <v>315</v>
      </c>
      <c r="C121" s="279">
        <v>230300</v>
      </c>
      <c r="D121" s="195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X121"/>
    </row>
    <row r="122" spans="1:24" s="310" customFormat="1" ht="25.5" customHeight="1">
      <c r="A122" s="9"/>
      <c r="B122" s="187" t="s">
        <v>212</v>
      </c>
      <c r="C122" s="279">
        <v>171500</v>
      </c>
      <c r="D122" s="195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X122"/>
    </row>
    <row r="123" spans="1:24" s="310" customFormat="1" ht="25.5" customHeight="1">
      <c r="A123" s="9"/>
      <c r="B123" s="187" t="s">
        <v>140</v>
      </c>
      <c r="C123" s="279">
        <v>50000</v>
      </c>
      <c r="D123" s="195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X123"/>
    </row>
    <row r="124" spans="1:24" s="310" customFormat="1" ht="25.5" customHeight="1">
      <c r="A124" s="9"/>
      <c r="B124" s="187" t="s">
        <v>206</v>
      </c>
      <c r="C124" s="279">
        <v>20000</v>
      </c>
      <c r="D124" s="195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X124"/>
    </row>
    <row r="125" spans="1:24" s="310" customFormat="1" ht="25.5" customHeight="1">
      <c r="A125" s="9"/>
      <c r="B125" s="187" t="s">
        <v>326</v>
      </c>
      <c r="C125" s="279">
        <v>5000</v>
      </c>
      <c r="D125" s="195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X125"/>
    </row>
    <row r="126" spans="1:24" s="310" customFormat="1" ht="25.5" customHeight="1">
      <c r="A126" s="9"/>
      <c r="B126" s="187" t="s">
        <v>327</v>
      </c>
      <c r="C126" s="279">
        <v>5000</v>
      </c>
      <c r="D126" s="195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X126"/>
    </row>
    <row r="127" spans="1:24" s="310" customFormat="1" ht="25.5" customHeight="1">
      <c r="A127" s="9"/>
      <c r="B127" s="187" t="s">
        <v>142</v>
      </c>
      <c r="C127" s="279">
        <v>20000</v>
      </c>
      <c r="D127" s="195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X127"/>
    </row>
    <row r="128" spans="1:24" s="310" customFormat="1" ht="25.5" customHeight="1">
      <c r="A128" s="9"/>
      <c r="B128" s="226" t="s">
        <v>328</v>
      </c>
      <c r="C128" s="279">
        <v>10000</v>
      </c>
      <c r="D128" s="195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X128"/>
    </row>
    <row r="129" spans="1:24" s="310" customFormat="1" ht="25.5" customHeight="1">
      <c r="A129" s="9"/>
      <c r="B129" s="226" t="s">
        <v>329</v>
      </c>
      <c r="C129" s="279">
        <v>10000</v>
      </c>
      <c r="D129" s="131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X129"/>
    </row>
    <row r="130" spans="1:24" s="310" customFormat="1" ht="25.5" customHeight="1">
      <c r="A130" s="9"/>
      <c r="B130" s="226" t="s">
        <v>330</v>
      </c>
      <c r="C130" s="279">
        <v>10000</v>
      </c>
      <c r="D130" s="195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X130"/>
    </row>
    <row r="131" spans="1:24" s="310" customFormat="1" ht="25.5" customHeight="1">
      <c r="A131" s="9"/>
      <c r="B131" s="226" t="s">
        <v>331</v>
      </c>
      <c r="C131" s="279">
        <f>10000-10000</f>
        <v>0</v>
      </c>
      <c r="D131" s="195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X131"/>
    </row>
    <row r="132" spans="1:24" s="310" customFormat="1" ht="25.5" customHeight="1">
      <c r="A132" s="9"/>
      <c r="B132" s="226" t="s">
        <v>333</v>
      </c>
      <c r="C132" s="279">
        <v>15000</v>
      </c>
      <c r="D132" s="195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X132"/>
    </row>
    <row r="133" spans="1:24" s="310" customFormat="1" ht="25.5" customHeight="1">
      <c r="A133" s="9"/>
      <c r="B133" s="226" t="s">
        <v>157</v>
      </c>
      <c r="C133" s="279">
        <f>10000+8000</f>
        <v>18000</v>
      </c>
      <c r="D133" s="195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>
        <v>14395</v>
      </c>
      <c r="Q133" s="269"/>
      <c r="R133" s="269"/>
      <c r="S133" s="269"/>
      <c r="T133" s="269"/>
      <c r="U133" s="269"/>
      <c r="V133" s="269"/>
      <c r="X133"/>
    </row>
    <row r="134" spans="1:24" s="310" customFormat="1" ht="25.5" customHeight="1">
      <c r="A134" s="9"/>
      <c r="B134" s="226" t="s">
        <v>158</v>
      </c>
      <c r="C134" s="279">
        <f>10000-8000</f>
        <v>2000</v>
      </c>
      <c r="D134" s="195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X134"/>
    </row>
    <row r="135" spans="1:24" s="310" customFormat="1" ht="25.5" customHeight="1">
      <c r="A135" s="9"/>
      <c r="B135" s="226" t="s">
        <v>352</v>
      </c>
      <c r="C135" s="279">
        <f>10000+10000-20000</f>
        <v>0</v>
      </c>
      <c r="D135" s="195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X135"/>
    </row>
    <row r="136" spans="1:24" s="310" customFormat="1" ht="25.5" customHeight="1">
      <c r="A136" s="9"/>
      <c r="B136" s="226" t="s">
        <v>213</v>
      </c>
      <c r="C136" s="279">
        <v>15000</v>
      </c>
      <c r="D136" s="195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X136"/>
    </row>
    <row r="137" spans="1:24" s="310" customFormat="1" ht="25.5" customHeight="1">
      <c r="A137" s="9"/>
      <c r="B137" s="226" t="s">
        <v>265</v>
      </c>
      <c r="C137" s="279">
        <f>20000-20000</f>
        <v>0</v>
      </c>
      <c r="D137" s="195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X137"/>
    </row>
    <row r="138" spans="1:24" s="310" customFormat="1" ht="25.5" customHeight="1">
      <c r="A138" s="9"/>
      <c r="B138" s="226" t="s">
        <v>353</v>
      </c>
      <c r="C138" s="279">
        <v>5000</v>
      </c>
      <c r="D138" s="195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X138"/>
    </row>
    <row r="139" spans="1:24" s="310" customFormat="1" ht="25.5" customHeight="1">
      <c r="A139" s="9"/>
      <c r="B139" s="226" t="s">
        <v>354</v>
      </c>
      <c r="C139" s="279">
        <v>10000</v>
      </c>
      <c r="D139" s="195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X139"/>
    </row>
    <row r="140" spans="1:24" s="310" customFormat="1" ht="25.5" customHeight="1">
      <c r="A140" s="9"/>
      <c r="B140" s="187" t="s">
        <v>355</v>
      </c>
      <c r="C140" s="279">
        <v>20000</v>
      </c>
      <c r="D140" s="195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X140"/>
    </row>
    <row r="141" spans="1:24" s="310" customFormat="1" ht="25.5" customHeight="1">
      <c r="A141" s="9"/>
      <c r="B141" s="187" t="s">
        <v>356</v>
      </c>
      <c r="C141" s="279">
        <v>20000</v>
      </c>
      <c r="D141" s="195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X141"/>
    </row>
    <row r="142" spans="1:24" s="310" customFormat="1" ht="25.5" customHeight="1">
      <c r="A142" s="9"/>
      <c r="B142" s="187" t="s">
        <v>357</v>
      </c>
      <c r="C142" s="279">
        <v>10000</v>
      </c>
      <c r="D142" s="195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X142"/>
    </row>
    <row r="143" spans="1:24" s="310" customFormat="1" ht="25.5" customHeight="1">
      <c r="A143" s="9"/>
      <c r="B143" s="187" t="s">
        <v>358</v>
      </c>
      <c r="C143" s="279">
        <v>10000</v>
      </c>
      <c r="D143" s="195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X143"/>
    </row>
    <row r="144" spans="1:24" s="310" customFormat="1" ht="25.5" customHeight="1">
      <c r="A144" s="9"/>
      <c r="B144" s="187" t="s">
        <v>359</v>
      </c>
      <c r="C144" s="279">
        <v>5000</v>
      </c>
      <c r="D144" s="195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X144"/>
    </row>
    <row r="145" spans="1:24" s="310" customFormat="1" ht="25.5" customHeight="1">
      <c r="A145" s="9"/>
      <c r="B145" s="187" t="s">
        <v>360</v>
      </c>
      <c r="C145" s="279">
        <v>5000</v>
      </c>
      <c r="D145" s="195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X145"/>
    </row>
    <row r="146" spans="1:24" s="310" customFormat="1" ht="25.5" customHeight="1">
      <c r="A146" s="9"/>
      <c r="B146" s="187" t="s">
        <v>361</v>
      </c>
      <c r="C146" s="279">
        <v>5000</v>
      </c>
      <c r="D146" s="195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X146"/>
    </row>
    <row r="147" spans="1:24" s="310" customFormat="1" ht="25.5" customHeight="1">
      <c r="A147" s="9"/>
      <c r="B147" s="187" t="s">
        <v>362</v>
      </c>
      <c r="C147" s="279">
        <v>5000</v>
      </c>
      <c r="D147" s="195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X147"/>
    </row>
    <row r="148" spans="1:24" s="310" customFormat="1" ht="25.5" customHeight="1">
      <c r="A148" s="9"/>
      <c r="B148" s="187" t="s">
        <v>363</v>
      </c>
      <c r="C148" s="279">
        <v>5000</v>
      </c>
      <c r="D148" s="131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X148"/>
    </row>
    <row r="149" spans="1:24" s="310" customFormat="1" ht="25.5" customHeight="1">
      <c r="A149" s="9"/>
      <c r="B149" s="187" t="s">
        <v>364</v>
      </c>
      <c r="C149" s="279">
        <v>5000</v>
      </c>
      <c r="D149" s="131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X149"/>
    </row>
    <row r="150" spans="1:24" s="310" customFormat="1" ht="25.5" customHeight="1">
      <c r="A150" s="9"/>
      <c r="B150" s="187" t="s">
        <v>365</v>
      </c>
      <c r="C150" s="279">
        <v>5000</v>
      </c>
      <c r="D150" s="131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X150"/>
    </row>
    <row r="151" spans="1:24" s="310" customFormat="1" ht="25.5" customHeight="1">
      <c r="A151" s="9"/>
      <c r="B151" s="187" t="s">
        <v>366</v>
      </c>
      <c r="C151" s="279">
        <v>5000</v>
      </c>
      <c r="D151" s="131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X151"/>
    </row>
    <row r="152" spans="1:24" s="310" customFormat="1" ht="25.5" customHeight="1">
      <c r="A152" s="9"/>
      <c r="B152" s="187" t="s">
        <v>367</v>
      </c>
      <c r="C152" s="279">
        <v>5000</v>
      </c>
      <c r="D152" s="131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X152"/>
    </row>
    <row r="153" spans="1:24" s="310" customFormat="1" ht="25.5" customHeight="1">
      <c r="A153" s="9"/>
      <c r="B153" s="187" t="s">
        <v>368</v>
      </c>
      <c r="C153" s="279">
        <v>5000</v>
      </c>
      <c r="D153" s="131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X153"/>
    </row>
    <row r="154" spans="1:24" s="310" customFormat="1" ht="25.5" customHeight="1">
      <c r="A154" s="9"/>
      <c r="B154" s="187" t="s">
        <v>369</v>
      </c>
      <c r="C154" s="279">
        <f>10000-10000</f>
        <v>0</v>
      </c>
      <c r="D154" s="131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X154"/>
    </row>
    <row r="155" spans="1:24" s="310" customFormat="1" ht="25.5" customHeight="1">
      <c r="A155" s="9"/>
      <c r="B155" s="187" t="s">
        <v>370</v>
      </c>
      <c r="C155" s="279">
        <v>10000</v>
      </c>
      <c r="D155" s="131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X155"/>
    </row>
    <row r="156" spans="1:24" s="310" customFormat="1" ht="25.5" customHeight="1">
      <c r="A156" s="9"/>
      <c r="B156" s="187" t="s">
        <v>163</v>
      </c>
      <c r="C156" s="279">
        <f>350000-156000-153000-11000-10000-20000</f>
        <v>0</v>
      </c>
      <c r="D156" s="131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X156"/>
    </row>
    <row r="157" spans="1:24" s="310" customFormat="1" ht="25.5" customHeight="1">
      <c r="A157" s="9"/>
      <c r="B157" s="187" t="s">
        <v>214</v>
      </c>
      <c r="C157" s="279">
        <v>25000</v>
      </c>
      <c r="D157" s="131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X157"/>
    </row>
    <row r="158" spans="1:24" s="310" customFormat="1" ht="25.5" customHeight="1">
      <c r="A158" s="9"/>
      <c r="B158" s="187" t="s">
        <v>167</v>
      </c>
      <c r="C158" s="279">
        <f>30000-30000</f>
        <v>0</v>
      </c>
      <c r="D158" s="131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X158"/>
    </row>
    <row r="159" spans="1:24" s="310" customFormat="1" ht="25.5" customHeight="1">
      <c r="A159" s="9"/>
      <c r="B159" s="187" t="s">
        <v>371</v>
      </c>
      <c r="C159" s="279">
        <v>30000</v>
      </c>
      <c r="D159" s="131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X159"/>
    </row>
    <row r="160" spans="1:24" s="310" customFormat="1" ht="25.5" customHeight="1">
      <c r="A160" s="9"/>
      <c r="B160" s="187" t="s">
        <v>170</v>
      </c>
      <c r="C160" s="279">
        <v>40000</v>
      </c>
      <c r="D160" s="131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X160"/>
    </row>
    <row r="161" spans="1:24" s="310" customFormat="1" ht="25.5" customHeight="1">
      <c r="A161" s="9"/>
      <c r="B161" s="187" t="s">
        <v>266</v>
      </c>
      <c r="C161" s="279">
        <v>15000</v>
      </c>
      <c r="D161" s="131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X161"/>
    </row>
    <row r="162" spans="1:24" s="310" customFormat="1" ht="25.5" customHeight="1">
      <c r="A162" s="9"/>
      <c r="B162" s="187" t="s">
        <v>372</v>
      </c>
      <c r="C162" s="279">
        <v>65000</v>
      </c>
      <c r="D162" s="131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X162"/>
    </row>
    <row r="163" spans="1:24" ht="25.5" customHeight="1">
      <c r="A163" s="9"/>
      <c r="B163" s="187" t="s">
        <v>373</v>
      </c>
      <c r="C163" s="279">
        <f>65000-65000</f>
        <v>0</v>
      </c>
      <c r="D163" s="131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</row>
    <row r="164" spans="1:24" ht="25.5" customHeight="1">
      <c r="A164" s="9"/>
      <c r="B164" s="187" t="s">
        <v>374</v>
      </c>
      <c r="C164" s="279">
        <v>20000</v>
      </c>
      <c r="D164" s="131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</row>
    <row r="165" spans="1:24" ht="25.5" customHeight="1">
      <c r="A165" s="9"/>
      <c r="B165" s="187" t="s">
        <v>375</v>
      </c>
      <c r="C165" s="279">
        <v>20000</v>
      </c>
      <c r="D165" s="131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>
        <v>16000</v>
      </c>
      <c r="T165" s="269"/>
      <c r="U165" s="269"/>
      <c r="V165" s="269"/>
    </row>
    <row r="166" spans="1:24" ht="25.5" customHeight="1">
      <c r="A166" s="9"/>
      <c r="B166" s="187" t="s">
        <v>376</v>
      </c>
      <c r="C166" s="279">
        <v>25000</v>
      </c>
      <c r="D166" s="131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</row>
    <row r="167" spans="1:24" ht="25.5" customHeight="1">
      <c r="A167" s="9"/>
      <c r="B167" s="187" t="s">
        <v>377</v>
      </c>
      <c r="C167" s="279">
        <v>20000</v>
      </c>
      <c r="D167" s="131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>
        <v>18000</v>
      </c>
      <c r="U167" s="269"/>
      <c r="V167" s="269"/>
    </row>
    <row r="168" spans="1:24" ht="25.5" customHeight="1">
      <c r="A168" s="9"/>
      <c r="B168" s="187" t="s">
        <v>267</v>
      </c>
      <c r="C168" s="279">
        <v>15000</v>
      </c>
      <c r="D168" s="131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</row>
    <row r="169" spans="1:24" ht="25.5" customHeight="1">
      <c r="A169" s="9"/>
      <c r="B169" s="187" t="s">
        <v>215</v>
      </c>
      <c r="C169" s="279">
        <v>10000</v>
      </c>
      <c r="D169" s="131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</row>
    <row r="170" spans="1:24" ht="25.5" customHeight="1">
      <c r="A170" s="9"/>
      <c r="B170" s="187" t="s">
        <v>268</v>
      </c>
      <c r="C170" s="279">
        <v>5000</v>
      </c>
      <c r="D170" s="131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</row>
    <row r="171" spans="1:24" ht="25.5" customHeight="1">
      <c r="A171" s="9"/>
      <c r="B171" s="187" t="s">
        <v>413</v>
      </c>
      <c r="C171" s="279">
        <v>140000</v>
      </c>
      <c r="D171" s="131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321"/>
    </row>
    <row r="172" spans="1:24" ht="25.5" customHeight="1">
      <c r="A172" s="9"/>
      <c r="B172" s="187" t="s">
        <v>414</v>
      </c>
      <c r="C172" s="279">
        <v>40000</v>
      </c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</row>
    <row r="173" spans="1:24" ht="25.5" customHeight="1">
      <c r="A173" s="9"/>
      <c r="B173" s="187" t="s">
        <v>415</v>
      </c>
      <c r="C173" s="279">
        <v>20000</v>
      </c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321"/>
    </row>
    <row r="174" spans="1:24" ht="25.5" customHeight="1">
      <c r="A174" s="9"/>
      <c r="B174" s="187" t="s">
        <v>330</v>
      </c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4" ht="25.5" customHeight="1">
      <c r="A175" s="9"/>
      <c r="B175" s="187"/>
      <c r="C175" s="279"/>
      <c r="D175" s="131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</row>
    <row r="176" spans="1:24" ht="25.5" customHeight="1" thickBot="1">
      <c r="A176" s="15"/>
      <c r="B176" s="14" t="s">
        <v>5</v>
      </c>
      <c r="C176" s="170">
        <f>SUM(C51:C175)</f>
        <v>6374300</v>
      </c>
      <c r="D176" s="255">
        <f t="shared" ref="D176:V176" si="4">SUM(D51:D175)</f>
        <v>0</v>
      </c>
      <c r="E176" s="254">
        <f>SUM(E51:E175)</f>
        <v>219530</v>
      </c>
      <c r="F176" s="254">
        <f>SUM(F51:F175)</f>
        <v>14900</v>
      </c>
      <c r="G176" s="254">
        <f t="shared" si="4"/>
        <v>0</v>
      </c>
      <c r="H176" s="254">
        <f>SUM(H51:H175)</f>
        <v>74354</v>
      </c>
      <c r="I176" s="255">
        <f>SUM(I51:I175)</f>
        <v>0</v>
      </c>
      <c r="J176" s="255">
        <f t="shared" si="4"/>
        <v>0</v>
      </c>
      <c r="K176" s="255">
        <f t="shared" si="4"/>
        <v>0</v>
      </c>
      <c r="L176" s="255">
        <f t="shared" si="4"/>
        <v>0</v>
      </c>
      <c r="M176" s="254">
        <f>SUM(M51:M175)</f>
        <v>37500</v>
      </c>
      <c r="N176" s="255">
        <f t="shared" si="4"/>
        <v>0</v>
      </c>
      <c r="O176" s="255">
        <f t="shared" si="4"/>
        <v>0</v>
      </c>
      <c r="P176" s="255">
        <f>SUM(P51:P175)</f>
        <v>14395</v>
      </c>
      <c r="Q176" s="255">
        <f t="shared" si="4"/>
        <v>0</v>
      </c>
      <c r="R176" s="255">
        <f t="shared" si="4"/>
        <v>0</v>
      </c>
      <c r="S176" s="255">
        <f t="shared" si="4"/>
        <v>16000</v>
      </c>
      <c r="T176" s="255">
        <f>SUM(T164:T175)</f>
        <v>18000</v>
      </c>
      <c r="U176" s="255">
        <f t="shared" si="4"/>
        <v>0</v>
      </c>
      <c r="V176" s="255">
        <f t="shared" si="4"/>
        <v>0</v>
      </c>
      <c r="W176" s="314">
        <f>SUM(D176:V176)</f>
        <v>394679</v>
      </c>
    </row>
    <row r="177" spans="1:23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3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3" ht="25.5" customHeight="1">
      <c r="A178" s="9"/>
      <c r="B178" s="130" t="s">
        <v>111</v>
      </c>
      <c r="C178" s="216">
        <f>50000+25000+5000+25000+10000+10000-8000</f>
        <v>117000</v>
      </c>
      <c r="D178" s="131"/>
      <c r="E178" s="267">
        <v>9740</v>
      </c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</row>
    <row r="179" spans="1:23" s="67" customFormat="1" ht="25.5" customHeight="1">
      <c r="A179" s="9"/>
      <c r="B179" s="130" t="s">
        <v>302</v>
      </c>
      <c r="C179" s="216">
        <v>10000</v>
      </c>
      <c r="D179" s="131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312"/>
    </row>
    <row r="180" spans="1:23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>
        <v>900</v>
      </c>
      <c r="F180" s="267"/>
      <c r="G180" s="267"/>
      <c r="H180" s="267"/>
      <c r="I180" s="267"/>
      <c r="J180" s="267"/>
      <c r="K180" s="267"/>
      <c r="L180" s="267"/>
      <c r="M180" s="267"/>
      <c r="N180" s="267">
        <v>90500</v>
      </c>
      <c r="O180" s="267"/>
      <c r="P180" s="267"/>
      <c r="Q180" s="267"/>
      <c r="R180" s="267"/>
      <c r="S180" s="267"/>
      <c r="T180" s="267"/>
      <c r="U180" s="267"/>
      <c r="V180" s="267"/>
      <c r="W180" s="312"/>
    </row>
    <row r="181" spans="1:23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312"/>
    </row>
    <row r="182" spans="1:23" ht="25.5" customHeight="1">
      <c r="A182" s="9"/>
      <c r="B182" s="130" t="s">
        <v>17</v>
      </c>
      <c r="C182" s="216">
        <f>15000+25000+20000-10000+8000-3000</f>
        <v>55000</v>
      </c>
      <c r="D182" s="133"/>
      <c r="E182" s="267">
        <v>404</v>
      </c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</row>
    <row r="183" spans="1:23" ht="25.5" customHeight="1">
      <c r="A183" s="9"/>
      <c r="B183" s="130" t="s">
        <v>13</v>
      </c>
      <c r="C183" s="216">
        <v>15000</v>
      </c>
      <c r="D183" s="131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</row>
    <row r="184" spans="1:23" ht="25.5" customHeight="1">
      <c r="A184" s="9"/>
      <c r="B184" s="130" t="s">
        <v>14</v>
      </c>
      <c r="C184" s="216">
        <f>240000+5000+20000</f>
        <v>265000</v>
      </c>
      <c r="D184" s="133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</row>
    <row r="185" spans="1:23" ht="25.5" customHeight="1">
      <c r="A185" s="9"/>
      <c r="B185" s="130" t="s">
        <v>112</v>
      </c>
      <c r="C185" s="216">
        <f>5000+5000+5000-5000</f>
        <v>10000</v>
      </c>
      <c r="D185" s="133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</row>
    <row r="186" spans="1:23" ht="25.5" customHeight="1">
      <c r="A186" s="9"/>
      <c r="B186" s="130" t="s">
        <v>208</v>
      </c>
      <c r="C186" s="216">
        <v>5000</v>
      </c>
      <c r="D186" s="133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</row>
    <row r="187" spans="1:23" ht="25.5" customHeight="1">
      <c r="A187" s="9"/>
      <c r="B187" s="130" t="s">
        <v>15</v>
      </c>
      <c r="C187" s="216">
        <f>40000+15000+15000+40000+40000+15000</f>
        <v>165000</v>
      </c>
      <c r="D187" s="195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</row>
    <row r="188" spans="1:23" ht="25.5" customHeight="1">
      <c r="A188" s="9"/>
      <c r="B188" s="130" t="s">
        <v>303</v>
      </c>
      <c r="C188" s="216">
        <v>10000</v>
      </c>
      <c r="D188" s="195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</row>
    <row r="189" spans="1:23" ht="25.5" customHeight="1">
      <c r="A189" s="9"/>
      <c r="B189" s="130" t="s">
        <v>304</v>
      </c>
      <c r="C189" s="216">
        <f>5000+20000</f>
        <v>25000</v>
      </c>
      <c r="D189" s="195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</row>
    <row r="190" spans="1:23" ht="25.5" customHeight="1">
      <c r="A190" s="9"/>
      <c r="B190" s="130" t="s">
        <v>332</v>
      </c>
      <c r="C190" s="216">
        <v>10000</v>
      </c>
      <c r="D190" s="195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</row>
    <row r="191" spans="1:23" ht="25.5" customHeight="1">
      <c r="A191" s="9"/>
      <c r="B191" s="130" t="s">
        <v>46</v>
      </c>
      <c r="C191" s="216">
        <v>80000</v>
      </c>
      <c r="D191" s="195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</row>
    <row r="192" spans="1:23" ht="25.5" customHeight="1">
      <c r="A192" s="9"/>
      <c r="B192" s="130" t="s">
        <v>316</v>
      </c>
      <c r="C192" s="216">
        <v>1216788</v>
      </c>
      <c r="D192" s="131"/>
      <c r="E192" s="267"/>
      <c r="F192" s="267"/>
      <c r="G192" s="267"/>
      <c r="H192" s="267"/>
      <c r="I192" s="267">
        <v>180172.79999999999</v>
      </c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</row>
    <row r="193" spans="1:23" ht="25.5" customHeight="1">
      <c r="A193" s="9"/>
      <c r="B193" s="130" t="s">
        <v>317</v>
      </c>
      <c r="C193" s="290">
        <v>0</v>
      </c>
      <c r="D193" s="133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</row>
    <row r="194" spans="1:23" ht="25.5" customHeight="1">
      <c r="A194" s="9"/>
      <c r="B194" s="130" t="s">
        <v>318</v>
      </c>
      <c r="C194" s="216">
        <v>0</v>
      </c>
      <c r="D194" s="133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</row>
    <row r="195" spans="1:23" ht="25.5" customHeight="1">
      <c r="A195" s="9"/>
      <c r="B195" s="185" t="s">
        <v>319</v>
      </c>
      <c r="C195" s="216">
        <v>153296</v>
      </c>
      <c r="D195" s="133"/>
      <c r="E195" s="267"/>
      <c r="F195" s="267"/>
      <c r="G195" s="267"/>
      <c r="H195" s="267"/>
      <c r="I195" s="267">
        <v>56585.52</v>
      </c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</row>
    <row r="196" spans="1:23" ht="25.5" customHeight="1">
      <c r="A196" s="9"/>
      <c r="B196" s="185" t="s">
        <v>320</v>
      </c>
      <c r="C196" s="216">
        <v>78565</v>
      </c>
      <c r="D196" s="133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</row>
    <row r="197" spans="1:23" ht="25.5" customHeight="1">
      <c r="A197" s="9"/>
      <c r="B197" s="185" t="s">
        <v>321</v>
      </c>
      <c r="C197" s="216">
        <v>90062</v>
      </c>
      <c r="D197" s="133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</row>
    <row r="198" spans="1:23" ht="25.5" customHeight="1">
      <c r="A198" s="165"/>
      <c r="B198" s="185" t="s">
        <v>322</v>
      </c>
      <c r="C198" s="216">
        <v>67067</v>
      </c>
      <c r="D198" s="133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</row>
    <row r="199" spans="1:23" ht="25.5" customHeight="1">
      <c r="A199" s="9"/>
      <c r="B199" s="185"/>
      <c r="C199" s="216"/>
      <c r="D199" s="133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</row>
    <row r="200" spans="1:23" ht="25.5" customHeight="1">
      <c r="A200" s="9"/>
      <c r="B200" s="185"/>
      <c r="C200" s="216"/>
      <c r="D200" s="133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</row>
    <row r="201" spans="1:23" ht="25.5" customHeight="1">
      <c r="A201" s="9"/>
      <c r="B201" s="185"/>
      <c r="C201" s="216"/>
      <c r="D201" s="133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</row>
    <row r="202" spans="1:23" ht="25.5" customHeight="1">
      <c r="A202" s="9"/>
      <c r="B202" s="130"/>
      <c r="C202" s="216"/>
      <c r="D202" s="133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</row>
    <row r="203" spans="1:23" ht="25.5" customHeight="1">
      <c r="A203" s="197"/>
      <c r="B203" s="198"/>
      <c r="C203" s="216"/>
      <c r="D203" s="133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</row>
    <row r="204" spans="1:23" ht="25.5" customHeight="1" thickBot="1">
      <c r="A204" s="46"/>
      <c r="B204" s="47" t="s">
        <v>5</v>
      </c>
      <c r="C204" s="170">
        <f>SUM(C178:C203)</f>
        <v>2610778</v>
      </c>
      <c r="D204" s="255">
        <f>SUM(D178:D203)</f>
        <v>0</v>
      </c>
      <c r="E204" s="254">
        <f>SUM(E178:E203)</f>
        <v>11044</v>
      </c>
      <c r="F204" s="254">
        <f t="shared" ref="F204:V204" si="5">SUM(F178:F203)</f>
        <v>0</v>
      </c>
      <c r="G204" s="255">
        <f t="shared" si="5"/>
        <v>0</v>
      </c>
      <c r="H204" s="254">
        <f t="shared" si="5"/>
        <v>0</v>
      </c>
      <c r="I204" s="255">
        <f t="shared" si="5"/>
        <v>236758.31999999998</v>
      </c>
      <c r="J204" s="255">
        <f t="shared" si="5"/>
        <v>0</v>
      </c>
      <c r="K204" s="255">
        <f t="shared" si="5"/>
        <v>0</v>
      </c>
      <c r="L204" s="255">
        <f t="shared" si="5"/>
        <v>0</v>
      </c>
      <c r="M204" s="254">
        <f t="shared" si="5"/>
        <v>0</v>
      </c>
      <c r="N204" s="255">
        <f t="shared" si="5"/>
        <v>90500</v>
      </c>
      <c r="O204" s="255">
        <f t="shared" si="5"/>
        <v>0</v>
      </c>
      <c r="P204" s="255">
        <f t="shared" si="5"/>
        <v>0</v>
      </c>
      <c r="Q204" s="255">
        <f t="shared" si="5"/>
        <v>0</v>
      </c>
      <c r="R204" s="255">
        <f t="shared" si="5"/>
        <v>0</v>
      </c>
      <c r="S204" s="255">
        <f t="shared" si="5"/>
        <v>0</v>
      </c>
      <c r="T204" s="255"/>
      <c r="U204" s="255">
        <f t="shared" si="5"/>
        <v>0</v>
      </c>
      <c r="V204" s="255">
        <f t="shared" si="5"/>
        <v>0</v>
      </c>
      <c r="W204" s="314">
        <f>SUM(D204:V204)</f>
        <v>338302.31999999995</v>
      </c>
    </row>
    <row r="205" spans="1:23" ht="25.5" customHeight="1" thickTop="1">
      <c r="A205" s="5" t="s">
        <v>114</v>
      </c>
      <c r="B205" s="6"/>
      <c r="C205" s="190"/>
      <c r="D205" s="133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>
        <f>+เม.ย.!U204+พ.ค.!U204+มิ.ย.!U204</f>
        <v>0</v>
      </c>
      <c r="V205" s="267">
        <f>+เม.ย.!V204+พ.ค.!V204+มิ.ย.!V204</f>
        <v>0</v>
      </c>
    </row>
    <row r="206" spans="1:23" ht="25.5" customHeight="1">
      <c r="A206" s="9"/>
      <c r="B206" s="130" t="s">
        <v>20</v>
      </c>
      <c r="C206" s="216">
        <f>240000+35000</f>
        <v>275000</v>
      </c>
      <c r="D206" s="261"/>
      <c r="E206" s="267">
        <v>22922.23</v>
      </c>
      <c r="F206" s="267"/>
      <c r="G206" s="267"/>
      <c r="H206" s="267">
        <v>2837.69</v>
      </c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>
        <f>+เม.ย.!U205+พ.ค.!U205+มิ.ย.!U205</f>
        <v>0</v>
      </c>
      <c r="V206" s="267">
        <f>+เม.ย.!V205+พ.ค.!V205+มิ.ย.!V205</f>
        <v>0</v>
      </c>
      <c r="W206" s="321"/>
    </row>
    <row r="207" spans="1:23" ht="25.5" customHeight="1">
      <c r="A207" s="9"/>
      <c r="B207" s="130" t="s">
        <v>283</v>
      </c>
      <c r="C207" s="216">
        <f>100000+12000</f>
        <v>112000</v>
      </c>
      <c r="D207" s="261"/>
      <c r="E207" s="267">
        <v>6903.91</v>
      </c>
      <c r="F207" s="267"/>
      <c r="G207" s="267"/>
      <c r="H207" s="267">
        <v>1000</v>
      </c>
      <c r="I207" s="267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>
        <f>+เม.ย.!U206+พ.ค.!U206+มิ.ย.!U206</f>
        <v>0</v>
      </c>
      <c r="V207" s="267">
        <f>+เม.ย.!V206+พ.ค.!V206+มิ.ย.!V206</f>
        <v>0</v>
      </c>
    </row>
    <row r="208" spans="1:23" ht="25.5" customHeight="1">
      <c r="A208" s="9"/>
      <c r="B208" s="130" t="s">
        <v>284</v>
      </c>
      <c r="C208" s="216">
        <f>15000+3000</f>
        <v>18000</v>
      </c>
      <c r="D208" s="131"/>
      <c r="E208" s="267">
        <v>326</v>
      </c>
      <c r="F208" s="267"/>
      <c r="G208" s="267"/>
      <c r="H208" s="267">
        <v>0</v>
      </c>
      <c r="I208" s="267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>
        <f>+เม.ย.!U207+พ.ค.!U207+มิ.ย.!U207</f>
        <v>0</v>
      </c>
      <c r="V208" s="267">
        <f>+เม.ย.!V207+พ.ค.!V207+มิ.ย.!V207</f>
        <v>0</v>
      </c>
    </row>
    <row r="209" spans="1:23" ht="25.5" customHeight="1">
      <c r="A209" s="9"/>
      <c r="B209" s="130" t="s">
        <v>285</v>
      </c>
      <c r="C209" s="216">
        <f>72000+32000+16100</f>
        <v>120100</v>
      </c>
      <c r="D209" s="131"/>
      <c r="E209" s="267">
        <v>5911.75</v>
      </c>
      <c r="F209" s="267"/>
      <c r="G209" s="267"/>
      <c r="H209" s="267">
        <v>2632.2</v>
      </c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>
        <f>+เม.ย.!U208+พ.ค.!U208+มิ.ย.!U208</f>
        <v>0</v>
      </c>
      <c r="V209" s="267">
        <f>+เม.ย.!V208+พ.ค.!V208+มิ.ย.!V208</f>
        <v>0</v>
      </c>
    </row>
    <row r="210" spans="1:23" ht="25.5" customHeight="1" thickBot="1">
      <c r="A210" s="15"/>
      <c r="B210" s="14" t="s">
        <v>5</v>
      </c>
      <c r="C210" s="170">
        <f>SUM(C206:C209)</f>
        <v>525100</v>
      </c>
      <c r="D210" s="132">
        <f>SUM(D206:D209)</f>
        <v>0</v>
      </c>
      <c r="E210" s="137">
        <f>SUM(E206:E209)</f>
        <v>36063.89</v>
      </c>
      <c r="F210" s="137">
        <f t="shared" ref="F210:V210" si="6">SUM(F206:F209)</f>
        <v>0</v>
      </c>
      <c r="G210" s="132">
        <f t="shared" si="6"/>
        <v>0</v>
      </c>
      <c r="H210" s="137">
        <f>SUM(H206:H209)</f>
        <v>6469.8899999999994</v>
      </c>
      <c r="I210" s="132">
        <f t="shared" si="6"/>
        <v>0</v>
      </c>
      <c r="J210" s="132">
        <f t="shared" si="6"/>
        <v>0</v>
      </c>
      <c r="K210" s="132">
        <f t="shared" si="6"/>
        <v>0</v>
      </c>
      <c r="L210" s="132">
        <f t="shared" si="6"/>
        <v>0</v>
      </c>
      <c r="M210" s="137">
        <f t="shared" si="6"/>
        <v>0</v>
      </c>
      <c r="N210" s="132">
        <f t="shared" si="6"/>
        <v>0</v>
      </c>
      <c r="O210" s="132">
        <f t="shared" si="6"/>
        <v>0</v>
      </c>
      <c r="P210" s="132">
        <f t="shared" si="6"/>
        <v>0</v>
      </c>
      <c r="Q210" s="132">
        <f t="shared" si="6"/>
        <v>0</v>
      </c>
      <c r="R210" s="132">
        <f t="shared" si="6"/>
        <v>0</v>
      </c>
      <c r="S210" s="132">
        <f t="shared" si="6"/>
        <v>0</v>
      </c>
      <c r="T210" s="132"/>
      <c r="U210" s="132">
        <f t="shared" si="6"/>
        <v>0</v>
      </c>
      <c r="V210" s="132">
        <f t="shared" si="6"/>
        <v>0</v>
      </c>
      <c r="W210" s="318">
        <f>SUM(D210:V210)</f>
        <v>42533.78</v>
      </c>
    </row>
    <row r="211" spans="1:23" ht="25.5" customHeight="1" thickTop="1">
      <c r="A211" s="3" t="s">
        <v>122</v>
      </c>
      <c r="B211" s="4"/>
      <c r="C211" s="287"/>
      <c r="D211" s="133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</row>
    <row r="212" spans="1:23" ht="25.5" customHeight="1">
      <c r="A212" s="169"/>
      <c r="B212" s="185" t="s">
        <v>323</v>
      </c>
      <c r="C212" s="190">
        <v>864000</v>
      </c>
      <c r="D212" s="131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</row>
    <row r="213" spans="1:23" ht="25.5" customHeight="1">
      <c r="A213" s="169"/>
      <c r="B213" s="185" t="s">
        <v>324</v>
      </c>
      <c r="C213" s="190">
        <v>1096000</v>
      </c>
      <c r="D213" s="131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</row>
    <row r="214" spans="1:23" ht="25.5" customHeight="1">
      <c r="A214" s="169"/>
      <c r="B214" s="185" t="s">
        <v>325</v>
      </c>
      <c r="C214" s="190">
        <v>580000</v>
      </c>
      <c r="D214" s="133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</row>
    <row r="215" spans="1:23" ht="25.5" customHeight="1">
      <c r="A215" s="169"/>
      <c r="B215" s="185" t="s">
        <v>351</v>
      </c>
      <c r="C215" s="190">
        <v>223000</v>
      </c>
      <c r="D215" s="133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3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</row>
    <row r="220" spans="1:23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1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</row>
    <row r="221" spans="1:23" ht="25.5" customHeight="1" thickBot="1">
      <c r="A221" s="15"/>
      <c r="B221" s="14" t="s">
        <v>5</v>
      </c>
      <c r="C221" s="170">
        <f>SUM(C212:C220)</f>
        <v>2763000</v>
      </c>
      <c r="D221" s="255">
        <f>SUM(D212:D220)</f>
        <v>0</v>
      </c>
      <c r="E221" s="254">
        <f t="shared" ref="E221:V221" si="7">SUM(E212:E220)</f>
        <v>0</v>
      </c>
      <c r="F221" s="254">
        <f t="shared" si="7"/>
        <v>0</v>
      </c>
      <c r="G221" s="254">
        <f t="shared" si="7"/>
        <v>0</v>
      </c>
      <c r="H221" s="254">
        <f t="shared" si="7"/>
        <v>0</v>
      </c>
      <c r="I221" s="255">
        <f>SUM(I212:I220)</f>
        <v>0</v>
      </c>
      <c r="J221" s="255">
        <f t="shared" si="7"/>
        <v>0</v>
      </c>
      <c r="K221" s="255">
        <f t="shared" si="7"/>
        <v>0</v>
      </c>
      <c r="L221" s="255">
        <f t="shared" si="7"/>
        <v>0</v>
      </c>
      <c r="M221" s="254">
        <f t="shared" si="7"/>
        <v>0</v>
      </c>
      <c r="N221" s="255">
        <f t="shared" si="7"/>
        <v>0</v>
      </c>
      <c r="O221" s="255">
        <f t="shared" si="7"/>
        <v>0</v>
      </c>
      <c r="P221" s="255">
        <f t="shared" si="7"/>
        <v>0</v>
      </c>
      <c r="Q221" s="255">
        <f t="shared" si="7"/>
        <v>0</v>
      </c>
      <c r="R221" s="255">
        <f t="shared" si="7"/>
        <v>0</v>
      </c>
      <c r="S221" s="255">
        <f t="shared" si="7"/>
        <v>0</v>
      </c>
      <c r="T221" s="255"/>
      <c r="U221" s="255">
        <f t="shared" si="7"/>
        <v>0</v>
      </c>
      <c r="V221" s="255">
        <f t="shared" si="7"/>
        <v>0</v>
      </c>
      <c r="W221" s="314">
        <f>SUM(D221:V221)</f>
        <v>0</v>
      </c>
    </row>
    <row r="222" spans="1:23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3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</row>
    <row r="223" spans="1:23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1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</row>
    <row r="224" spans="1:23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5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</row>
    <row r="225" spans="1:24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3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</row>
    <row r="226" spans="1:24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1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4" s="310" customFormat="1" ht="25.5" customHeight="1">
      <c r="A227" s="20"/>
      <c r="B227" s="186" t="s">
        <v>286</v>
      </c>
      <c r="C227" s="294">
        <v>10000</v>
      </c>
      <c r="D227" s="131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X227"/>
    </row>
    <row r="228" spans="1:24" s="310" customFormat="1" ht="25.5" customHeight="1">
      <c r="A228" s="20"/>
      <c r="B228" s="186" t="s">
        <v>287</v>
      </c>
      <c r="C228" s="294">
        <v>4500</v>
      </c>
      <c r="D228" s="131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X228"/>
    </row>
    <row r="229" spans="1:24" s="310" customFormat="1" ht="25.5" customHeight="1">
      <c r="A229" s="20"/>
      <c r="B229" s="186" t="s">
        <v>288</v>
      </c>
      <c r="C229" s="294">
        <v>3000</v>
      </c>
      <c r="D229" s="131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X229"/>
    </row>
    <row r="230" spans="1:24" s="310" customFormat="1" ht="25.5" customHeight="1">
      <c r="A230" s="20"/>
      <c r="B230" s="186" t="s">
        <v>289</v>
      </c>
      <c r="C230" s="294">
        <v>20000</v>
      </c>
      <c r="D230" s="131"/>
      <c r="E230" s="267">
        <v>19800</v>
      </c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X230"/>
    </row>
    <row r="231" spans="1:24" s="310" customFormat="1" ht="25.5" customHeight="1">
      <c r="A231" s="20"/>
      <c r="B231" s="186" t="s">
        <v>290</v>
      </c>
      <c r="C231" s="295">
        <f>5500+5500</f>
        <v>11000</v>
      </c>
      <c r="D231" s="131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X231"/>
    </row>
    <row r="232" spans="1:24" s="310" customFormat="1" ht="25.5" customHeight="1">
      <c r="A232" s="20"/>
      <c r="B232" s="186" t="s">
        <v>305</v>
      </c>
      <c r="C232" s="295">
        <v>16000</v>
      </c>
      <c r="D232" s="131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X232"/>
    </row>
    <row r="233" spans="1:24" s="310" customFormat="1" ht="25.5" customHeight="1">
      <c r="A233" s="20"/>
      <c r="B233" s="186" t="s">
        <v>334</v>
      </c>
      <c r="C233" s="295">
        <v>4500</v>
      </c>
      <c r="D233" s="131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X233"/>
    </row>
    <row r="234" spans="1:24" s="310" customFormat="1" ht="25.5" customHeight="1">
      <c r="A234" s="20"/>
      <c r="B234" s="186" t="s">
        <v>335</v>
      </c>
      <c r="C234" s="295">
        <v>4500</v>
      </c>
      <c r="D234" s="131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X234"/>
    </row>
    <row r="235" spans="1:24" s="310" customFormat="1" ht="25.5" customHeight="1" thickBot="1">
      <c r="A235" s="46"/>
      <c r="B235" s="492"/>
      <c r="C235" s="493"/>
      <c r="D235" s="255"/>
      <c r="E235" s="271">
        <f>SUM(E227:E234)</f>
        <v>19800</v>
      </c>
      <c r="F235" s="271">
        <f t="shared" ref="F235:V235" si="8">SUM(F227:F234)</f>
        <v>0</v>
      </c>
      <c r="G235" s="271">
        <f t="shared" si="8"/>
        <v>0</v>
      </c>
      <c r="H235" s="271">
        <f t="shared" si="8"/>
        <v>0</v>
      </c>
      <c r="I235" s="271">
        <f t="shared" si="8"/>
        <v>0</v>
      </c>
      <c r="J235" s="271">
        <f t="shared" si="8"/>
        <v>0</v>
      </c>
      <c r="K235" s="271">
        <f t="shared" si="8"/>
        <v>0</v>
      </c>
      <c r="L235" s="271">
        <f t="shared" si="8"/>
        <v>0</v>
      </c>
      <c r="M235" s="271">
        <f>SUM(M227:M234)</f>
        <v>0</v>
      </c>
      <c r="N235" s="271">
        <f t="shared" si="8"/>
        <v>0</v>
      </c>
      <c r="O235" s="271">
        <f t="shared" si="8"/>
        <v>0</v>
      </c>
      <c r="P235" s="271">
        <f t="shared" si="8"/>
        <v>0</v>
      </c>
      <c r="Q235" s="271">
        <f t="shared" si="8"/>
        <v>0</v>
      </c>
      <c r="R235" s="271">
        <f t="shared" si="8"/>
        <v>0</v>
      </c>
      <c r="S235" s="271">
        <f t="shared" si="8"/>
        <v>0</v>
      </c>
      <c r="T235" s="271"/>
      <c r="U235" s="271">
        <f t="shared" si="8"/>
        <v>0</v>
      </c>
      <c r="V235" s="271">
        <f t="shared" si="8"/>
        <v>0</v>
      </c>
      <c r="W235" s="321">
        <f ca="1">SUM(D235:W235)</f>
        <v>0</v>
      </c>
      <c r="X235"/>
    </row>
    <row r="236" spans="1:24" s="310" customFormat="1" ht="25.5" customHeight="1" thickTop="1">
      <c r="A236" s="20"/>
      <c r="B236" s="360" t="s">
        <v>292</v>
      </c>
      <c r="C236" s="361"/>
      <c r="D236" s="133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X236"/>
    </row>
    <row r="237" spans="1:24" s="310" customFormat="1" ht="25.5" customHeight="1">
      <c r="A237" s="20"/>
      <c r="B237" s="186" t="s">
        <v>293</v>
      </c>
      <c r="C237" s="295">
        <v>32000</v>
      </c>
      <c r="D237" s="131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X237"/>
    </row>
    <row r="238" spans="1:24" s="310" customFormat="1" ht="25.5" customHeight="1">
      <c r="A238" s="20"/>
      <c r="B238" s="186" t="s">
        <v>125</v>
      </c>
      <c r="C238" s="295">
        <f>2800+2800+2300</f>
        <v>7900</v>
      </c>
      <c r="D238" s="131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X238"/>
    </row>
    <row r="239" spans="1:24" s="310" customFormat="1" ht="25.5" customHeight="1">
      <c r="A239" s="20"/>
      <c r="B239" s="186" t="s">
        <v>294</v>
      </c>
      <c r="C239" s="295">
        <v>21000</v>
      </c>
      <c r="D239" s="131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X239"/>
    </row>
    <row r="240" spans="1:24" s="310" customFormat="1" ht="25.5" customHeight="1">
      <c r="A240" s="20"/>
      <c r="B240" s="186" t="s">
        <v>293</v>
      </c>
      <c r="C240" s="295">
        <v>16000</v>
      </c>
      <c r="D240" s="131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X240"/>
    </row>
    <row r="241" spans="1:24" s="310" customFormat="1" ht="25.5" customHeight="1">
      <c r="A241" s="20"/>
      <c r="B241" s="186" t="s">
        <v>306</v>
      </c>
      <c r="C241" s="295">
        <v>7700</v>
      </c>
      <c r="D241" s="131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X241"/>
    </row>
    <row r="242" spans="1:24" s="310" customFormat="1" ht="25.5" customHeight="1" thickBot="1">
      <c r="A242" s="46"/>
      <c r="B242" s="492"/>
      <c r="C242" s="493"/>
      <c r="D242" s="255"/>
      <c r="E242" s="271">
        <f>SUM(E237:E241)</f>
        <v>0</v>
      </c>
      <c r="F242" s="271">
        <f t="shared" ref="F242:V242" si="9">SUM(F237:F241)</f>
        <v>0</v>
      </c>
      <c r="G242" s="271">
        <f t="shared" si="9"/>
        <v>0</v>
      </c>
      <c r="H242" s="271">
        <f t="shared" si="9"/>
        <v>0</v>
      </c>
      <c r="I242" s="271">
        <f t="shared" si="9"/>
        <v>0</v>
      </c>
      <c r="J242" s="271">
        <f t="shared" si="9"/>
        <v>0</v>
      </c>
      <c r="K242" s="271">
        <f t="shared" si="9"/>
        <v>0</v>
      </c>
      <c r="L242" s="271">
        <f t="shared" si="9"/>
        <v>0</v>
      </c>
      <c r="M242" s="271">
        <f>SUM(M237:M241)</f>
        <v>0</v>
      </c>
      <c r="N242" s="271">
        <f t="shared" si="9"/>
        <v>0</v>
      </c>
      <c r="O242" s="271">
        <f t="shared" si="9"/>
        <v>0</v>
      </c>
      <c r="P242" s="271">
        <f t="shared" si="9"/>
        <v>0</v>
      </c>
      <c r="Q242" s="271">
        <f t="shared" si="9"/>
        <v>0</v>
      </c>
      <c r="R242" s="271">
        <f t="shared" si="9"/>
        <v>0</v>
      </c>
      <c r="S242" s="271">
        <f t="shared" si="9"/>
        <v>0</v>
      </c>
      <c r="T242" s="271"/>
      <c r="U242" s="271">
        <f t="shared" si="9"/>
        <v>0</v>
      </c>
      <c r="V242" s="271">
        <f t="shared" si="9"/>
        <v>0</v>
      </c>
      <c r="X242"/>
    </row>
    <row r="243" spans="1:24" s="310" customFormat="1" ht="25.5" customHeight="1" thickTop="1">
      <c r="A243" s="20"/>
      <c r="B243" s="360" t="s">
        <v>336</v>
      </c>
      <c r="C243" s="361"/>
      <c r="D243" s="133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X243"/>
    </row>
    <row r="244" spans="1:24" s="310" customFormat="1" ht="25.5" customHeight="1">
      <c r="A244" s="20"/>
      <c r="B244" s="186" t="s">
        <v>337</v>
      </c>
      <c r="C244" s="295">
        <v>9000</v>
      </c>
      <c r="D244" s="131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X244"/>
    </row>
    <row r="245" spans="1:24" s="310" customFormat="1" ht="25.5" customHeight="1" thickBot="1">
      <c r="A245" s="46"/>
      <c r="B245" s="492"/>
      <c r="C245" s="493"/>
      <c r="D245" s="255"/>
      <c r="E245" s="271">
        <f>SUM(E244)</f>
        <v>0</v>
      </c>
      <c r="F245" s="271">
        <f t="shared" ref="F245:V245" si="10">SUM(F244)</f>
        <v>0</v>
      </c>
      <c r="G245" s="271">
        <f t="shared" si="10"/>
        <v>0</v>
      </c>
      <c r="H245" s="271">
        <f t="shared" si="10"/>
        <v>0</v>
      </c>
      <c r="I245" s="271">
        <f t="shared" si="10"/>
        <v>0</v>
      </c>
      <c r="J245" s="271">
        <f t="shared" si="10"/>
        <v>0</v>
      </c>
      <c r="K245" s="271">
        <f t="shared" si="10"/>
        <v>0</v>
      </c>
      <c r="L245" s="271">
        <f t="shared" si="10"/>
        <v>0</v>
      </c>
      <c r="M245" s="271">
        <f t="shared" si="10"/>
        <v>0</v>
      </c>
      <c r="N245" s="271">
        <f t="shared" si="10"/>
        <v>0</v>
      </c>
      <c r="O245" s="271">
        <f t="shared" si="10"/>
        <v>0</v>
      </c>
      <c r="P245" s="271">
        <f t="shared" si="10"/>
        <v>0</v>
      </c>
      <c r="Q245" s="271">
        <f t="shared" si="10"/>
        <v>0</v>
      </c>
      <c r="R245" s="271">
        <f t="shared" si="10"/>
        <v>0</v>
      </c>
      <c r="S245" s="271">
        <f t="shared" si="10"/>
        <v>0</v>
      </c>
      <c r="T245" s="271"/>
      <c r="U245" s="271">
        <f t="shared" si="10"/>
        <v>0</v>
      </c>
      <c r="V245" s="271">
        <f t="shared" si="10"/>
        <v>0</v>
      </c>
      <c r="X245"/>
    </row>
    <row r="246" spans="1:24" ht="25.5" customHeight="1" thickTop="1">
      <c r="A246" s="20"/>
      <c r="B246" s="360" t="s">
        <v>338</v>
      </c>
      <c r="C246" s="361"/>
      <c r="D246" s="133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7"/>
    </row>
    <row r="247" spans="1:24" ht="25.5" customHeight="1">
      <c r="A247" s="20"/>
      <c r="B247" s="186" t="s">
        <v>339</v>
      </c>
      <c r="C247" s="295">
        <v>8000</v>
      </c>
      <c r="D247" s="131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</row>
    <row r="248" spans="1:24" ht="25.5" customHeight="1">
      <c r="A248" s="20"/>
      <c r="B248" s="186" t="s">
        <v>340</v>
      </c>
      <c r="C248" s="295">
        <v>6000</v>
      </c>
      <c r="D248" s="131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</row>
    <row r="249" spans="1:24" ht="25.5" customHeight="1" thickBot="1">
      <c r="A249" s="46"/>
      <c r="B249" s="492"/>
      <c r="C249" s="493"/>
      <c r="D249" s="255"/>
      <c r="E249" s="271">
        <f>SUM(E247:E248)</f>
        <v>0</v>
      </c>
      <c r="F249" s="271">
        <f t="shared" ref="F249:V249" si="11">SUM(F247:F248)</f>
        <v>0</v>
      </c>
      <c r="G249" s="271">
        <f t="shared" si="11"/>
        <v>0</v>
      </c>
      <c r="H249" s="271">
        <f t="shared" si="11"/>
        <v>0</v>
      </c>
      <c r="I249" s="271">
        <f>SUM(I247:I248)</f>
        <v>0</v>
      </c>
      <c r="J249" s="271">
        <f t="shared" si="11"/>
        <v>0</v>
      </c>
      <c r="K249" s="271">
        <f t="shared" si="11"/>
        <v>0</v>
      </c>
      <c r="L249" s="271">
        <f t="shared" si="11"/>
        <v>0</v>
      </c>
      <c r="M249" s="271">
        <f t="shared" si="11"/>
        <v>0</v>
      </c>
      <c r="N249" s="271">
        <f t="shared" si="11"/>
        <v>0</v>
      </c>
      <c r="O249" s="271">
        <f t="shared" si="11"/>
        <v>0</v>
      </c>
      <c r="P249" s="271">
        <f t="shared" si="11"/>
        <v>0</v>
      </c>
      <c r="Q249" s="271">
        <f t="shared" si="11"/>
        <v>0</v>
      </c>
      <c r="R249" s="271">
        <f t="shared" si="11"/>
        <v>0</v>
      </c>
      <c r="S249" s="271">
        <f t="shared" si="11"/>
        <v>0</v>
      </c>
      <c r="T249" s="271"/>
      <c r="U249" s="271">
        <f t="shared" si="11"/>
        <v>0</v>
      </c>
      <c r="V249" s="271">
        <f t="shared" si="11"/>
        <v>0</v>
      </c>
      <c r="W249" s="494"/>
    </row>
    <row r="250" spans="1:24" ht="25.5" customHeight="1" thickTop="1">
      <c r="A250" s="20"/>
      <c r="B250" s="360" t="s">
        <v>341</v>
      </c>
      <c r="C250" s="361"/>
      <c r="D250" s="133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</row>
    <row r="251" spans="1:24" ht="25.5" customHeight="1">
      <c r="A251" s="20"/>
      <c r="B251" s="186" t="s">
        <v>342</v>
      </c>
      <c r="C251" s="295">
        <v>45300</v>
      </c>
      <c r="D251" s="131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</row>
    <row r="252" spans="1:24" ht="25.5" customHeight="1">
      <c r="A252" s="20"/>
      <c r="B252" s="186" t="s">
        <v>343</v>
      </c>
      <c r="C252" s="295">
        <v>128000</v>
      </c>
      <c r="D252" s="131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67"/>
      <c r="Q252" s="267"/>
      <c r="R252" s="267"/>
      <c r="S252" s="267"/>
      <c r="T252" s="267"/>
      <c r="U252" s="267"/>
      <c r="V252" s="267"/>
    </row>
    <row r="253" spans="1:24" ht="25.5" customHeight="1">
      <c r="A253" s="20"/>
      <c r="B253" s="186" t="s">
        <v>264</v>
      </c>
      <c r="C253" s="295">
        <v>204000</v>
      </c>
      <c r="D253" s="131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</row>
    <row r="254" spans="1:24" ht="25.5" customHeight="1">
      <c r="A254" s="20"/>
      <c r="B254" s="186" t="s">
        <v>381</v>
      </c>
      <c r="C254" s="295">
        <v>204000</v>
      </c>
      <c r="D254" s="131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</row>
    <row r="255" spans="1:24" ht="25.5" customHeight="1">
      <c r="A255" s="20"/>
      <c r="B255" s="186" t="s">
        <v>344</v>
      </c>
      <c r="C255" s="295">
        <v>204000</v>
      </c>
      <c r="D255" s="131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</row>
    <row r="256" spans="1:24" ht="25.5" customHeight="1">
      <c r="A256" s="20"/>
      <c r="B256" s="186" t="s">
        <v>345</v>
      </c>
      <c r="C256" s="295">
        <v>217000</v>
      </c>
      <c r="D256" s="131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</row>
    <row r="257" spans="1:23" ht="25.5" customHeight="1">
      <c r="A257" s="20"/>
      <c r="B257" s="186" t="s">
        <v>346</v>
      </c>
      <c r="C257" s="295">
        <v>27000</v>
      </c>
      <c r="D257" s="131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67"/>
      <c r="Q257" s="267"/>
      <c r="R257" s="267"/>
      <c r="S257" s="267"/>
      <c r="T257" s="267"/>
      <c r="U257" s="267"/>
      <c r="V257" s="267"/>
    </row>
    <row r="258" spans="1:23" ht="25.5" customHeight="1">
      <c r="A258" s="20"/>
      <c r="B258" s="186" t="s">
        <v>347</v>
      </c>
      <c r="C258" s="295">
        <v>211000</v>
      </c>
      <c r="D258" s="131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>
        <v>210000</v>
      </c>
      <c r="O258" s="267"/>
      <c r="P258" s="267"/>
      <c r="Q258" s="267"/>
      <c r="R258" s="267"/>
      <c r="S258" s="267"/>
      <c r="T258" s="267"/>
      <c r="U258" s="267"/>
      <c r="V258" s="267"/>
    </row>
    <row r="259" spans="1:23" ht="25.5" customHeight="1">
      <c r="A259" s="20"/>
      <c r="B259" s="186" t="s">
        <v>348</v>
      </c>
      <c r="C259" s="295">
        <v>211000</v>
      </c>
      <c r="D259" s="131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</row>
    <row r="260" spans="1:23" ht="25.5" customHeight="1">
      <c r="A260" s="20"/>
      <c r="B260" s="186" t="s">
        <v>349</v>
      </c>
      <c r="C260" s="296">
        <v>688700</v>
      </c>
      <c r="D260" s="131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  <c r="Q260" s="267"/>
      <c r="R260" s="267"/>
      <c r="S260" s="267"/>
      <c r="T260" s="267"/>
      <c r="U260" s="267"/>
      <c r="V260" s="267"/>
    </row>
    <row r="261" spans="1:23" ht="25.5" customHeight="1">
      <c r="A261" s="20"/>
      <c r="B261" s="186" t="s">
        <v>350</v>
      </c>
      <c r="C261" s="297">
        <v>62000</v>
      </c>
      <c r="D261" s="131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</row>
    <row r="262" spans="1:23" ht="25.5" customHeight="1" thickBot="1">
      <c r="A262" s="24"/>
      <c r="B262" s="45" t="s">
        <v>5</v>
      </c>
      <c r="C262" s="170">
        <f>SUM(C227:C261)</f>
        <v>2383100</v>
      </c>
      <c r="D262" s="255">
        <f>SUM(D251:D261)</f>
        <v>0</v>
      </c>
      <c r="E262" s="254">
        <f t="shared" ref="E262:V262" si="12">SUM(E251:E261)</f>
        <v>0</v>
      </c>
      <c r="F262" s="254">
        <f t="shared" si="12"/>
        <v>0</v>
      </c>
      <c r="G262" s="255">
        <f t="shared" si="12"/>
        <v>0</v>
      </c>
      <c r="H262" s="254">
        <f t="shared" si="12"/>
        <v>0</v>
      </c>
      <c r="I262" s="255">
        <f t="shared" si="12"/>
        <v>0</v>
      </c>
      <c r="J262" s="255">
        <f t="shared" si="12"/>
        <v>0</v>
      </c>
      <c r="K262" s="255">
        <f t="shared" si="12"/>
        <v>0</v>
      </c>
      <c r="L262" s="255">
        <f t="shared" si="12"/>
        <v>0</v>
      </c>
      <c r="M262" s="254">
        <f t="shared" si="12"/>
        <v>0</v>
      </c>
      <c r="N262" s="255">
        <f>SUM(N251:N261)</f>
        <v>210000</v>
      </c>
      <c r="O262" s="255">
        <f t="shared" si="12"/>
        <v>0</v>
      </c>
      <c r="P262" s="255">
        <f t="shared" si="12"/>
        <v>0</v>
      </c>
      <c r="Q262" s="255">
        <f t="shared" si="12"/>
        <v>0</v>
      </c>
      <c r="R262" s="255">
        <f t="shared" si="12"/>
        <v>0</v>
      </c>
      <c r="S262" s="255">
        <f t="shared" si="12"/>
        <v>0</v>
      </c>
      <c r="T262" s="255"/>
      <c r="U262" s="255">
        <f t="shared" si="12"/>
        <v>0</v>
      </c>
      <c r="V262" s="255">
        <f t="shared" si="12"/>
        <v>0</v>
      </c>
      <c r="W262" s="314">
        <f>SUM(D262:V262)</f>
        <v>210000</v>
      </c>
    </row>
    <row r="263" spans="1:23" ht="25.5" customHeight="1" thickTop="1">
      <c r="A263" s="50" t="s">
        <v>149</v>
      </c>
      <c r="B263" s="4"/>
      <c r="C263" s="193"/>
      <c r="D263" s="133"/>
      <c r="E263" s="269"/>
      <c r="F263" s="136"/>
      <c r="G263" s="136"/>
      <c r="H263" s="136"/>
      <c r="I263" s="133"/>
      <c r="J263" s="133"/>
      <c r="K263" s="133"/>
      <c r="L263" s="133"/>
      <c r="M263" s="136"/>
      <c r="N263" s="133"/>
      <c r="O263" s="133"/>
      <c r="P263" s="133"/>
      <c r="Q263" s="133"/>
      <c r="R263" s="258"/>
      <c r="S263" s="259"/>
      <c r="T263" s="259"/>
      <c r="U263" s="258"/>
      <c r="V263" s="258"/>
    </row>
    <row r="264" spans="1:23" ht="25.5" customHeight="1">
      <c r="A264" s="9"/>
      <c r="B264" s="186"/>
      <c r="C264" s="296"/>
      <c r="D264" s="133"/>
      <c r="E264" s="269"/>
      <c r="F264" s="136"/>
      <c r="G264" s="136"/>
      <c r="H264" s="136"/>
      <c r="I264" s="133"/>
      <c r="J264" s="133"/>
      <c r="K264" s="133"/>
      <c r="L264" s="133"/>
      <c r="M264" s="136"/>
      <c r="N264" s="133"/>
      <c r="O264" s="133"/>
      <c r="P264" s="133"/>
      <c r="Q264" s="133"/>
      <c r="R264" s="258"/>
      <c r="S264" s="259"/>
      <c r="T264" s="259"/>
      <c r="U264" s="258"/>
      <c r="V264" s="258"/>
    </row>
    <row r="265" spans="1:23" ht="25.5" customHeight="1">
      <c r="A265" s="9"/>
      <c r="B265" s="186"/>
      <c r="C265" s="296"/>
      <c r="D265" s="133"/>
      <c r="E265" s="269"/>
      <c r="F265" s="136"/>
      <c r="G265" s="136"/>
      <c r="H265" s="136"/>
      <c r="I265" s="133"/>
      <c r="J265" s="133"/>
      <c r="K265" s="133"/>
      <c r="L265" s="133"/>
      <c r="M265" s="136"/>
      <c r="N265" s="133"/>
      <c r="O265" s="133"/>
      <c r="P265" s="133"/>
      <c r="Q265" s="133"/>
      <c r="R265" s="258"/>
      <c r="S265" s="259"/>
      <c r="T265" s="259"/>
      <c r="U265" s="258"/>
      <c r="V265" s="258"/>
    </row>
    <row r="266" spans="1:23" ht="25.5" customHeight="1">
      <c r="A266" s="9"/>
      <c r="B266" s="186"/>
      <c r="C266" s="296"/>
      <c r="D266" s="133"/>
      <c r="E266" s="269"/>
      <c r="F266" s="136"/>
      <c r="G266" s="136"/>
      <c r="H266" s="136"/>
      <c r="I266" s="133"/>
      <c r="J266" s="133"/>
      <c r="K266" s="133"/>
      <c r="L266" s="133"/>
      <c r="M266" s="136"/>
      <c r="N266" s="133"/>
      <c r="O266" s="133"/>
      <c r="P266" s="133"/>
      <c r="Q266" s="133"/>
      <c r="R266" s="258"/>
      <c r="S266" s="259"/>
      <c r="T266" s="259"/>
      <c r="U266" s="258"/>
      <c r="V266" s="258"/>
    </row>
    <row r="267" spans="1:23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1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</row>
    <row r="268" spans="1:23" ht="25.5" customHeight="1">
      <c r="A268" s="9"/>
      <c r="B268" s="186"/>
      <c r="C268" s="296"/>
      <c r="D268" s="131"/>
      <c r="E268" s="267"/>
      <c r="F268" s="135"/>
      <c r="G268" s="135"/>
      <c r="H268" s="135"/>
      <c r="I268" s="131"/>
      <c r="J268" s="131"/>
      <c r="K268" s="131"/>
      <c r="L268" s="131"/>
      <c r="M268" s="135"/>
      <c r="N268" s="131"/>
      <c r="O268" s="131"/>
      <c r="P268" s="131"/>
      <c r="Q268" s="131"/>
      <c r="R268" s="217"/>
      <c r="S268" s="219"/>
      <c r="T268" s="219"/>
      <c r="U268" s="217"/>
      <c r="V268" s="217"/>
    </row>
    <row r="269" spans="1:23" ht="25.5" customHeight="1">
      <c r="A269" s="9"/>
      <c r="B269" s="186"/>
      <c r="C269" s="296"/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9"/>
      <c r="B270" s="186"/>
      <c r="C270" s="296"/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>
      <c r="A271" s="9"/>
      <c r="B271" s="186"/>
      <c r="C271" s="296"/>
      <c r="D271" s="131"/>
      <c r="E271" s="267"/>
      <c r="F271" s="135"/>
      <c r="G271" s="135"/>
      <c r="H271" s="135"/>
      <c r="I271" s="131"/>
      <c r="J271" s="131"/>
      <c r="K271" s="131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</row>
    <row r="272" spans="1:23" ht="25.5" customHeight="1" thickBot="1">
      <c r="A272" s="15"/>
      <c r="B272" s="14" t="s">
        <v>5</v>
      </c>
      <c r="C272" s="170">
        <f>SUM(C264:C271)</f>
        <v>0</v>
      </c>
      <c r="D272" s="255">
        <f>SUM(D264:D271)</f>
        <v>0</v>
      </c>
      <c r="E272" s="254">
        <f t="shared" ref="E272:V272" si="13">SUM(E264:E271)</f>
        <v>0</v>
      </c>
      <c r="F272" s="254">
        <f t="shared" si="13"/>
        <v>0</v>
      </c>
      <c r="G272" s="255">
        <f t="shared" si="13"/>
        <v>0</v>
      </c>
      <c r="H272" s="254">
        <f t="shared" si="13"/>
        <v>0</v>
      </c>
      <c r="I272" s="255">
        <f t="shared" si="13"/>
        <v>0</v>
      </c>
      <c r="J272" s="255">
        <f t="shared" si="13"/>
        <v>0</v>
      </c>
      <c r="K272" s="255">
        <f t="shared" si="13"/>
        <v>0</v>
      </c>
      <c r="L272" s="255">
        <f t="shared" si="13"/>
        <v>0</v>
      </c>
      <c r="M272" s="254">
        <f t="shared" si="13"/>
        <v>0</v>
      </c>
      <c r="N272" s="255">
        <f t="shared" si="13"/>
        <v>0</v>
      </c>
      <c r="O272" s="255">
        <f t="shared" si="13"/>
        <v>0</v>
      </c>
      <c r="P272" s="255">
        <f t="shared" si="13"/>
        <v>0</v>
      </c>
      <c r="Q272" s="255">
        <f t="shared" si="13"/>
        <v>0</v>
      </c>
      <c r="R272" s="255">
        <f t="shared" si="13"/>
        <v>0</v>
      </c>
      <c r="S272" s="255">
        <f t="shared" si="13"/>
        <v>0</v>
      </c>
      <c r="T272" s="255"/>
      <c r="U272" s="255">
        <f t="shared" si="13"/>
        <v>0</v>
      </c>
      <c r="V272" s="255">
        <f t="shared" si="13"/>
        <v>0</v>
      </c>
      <c r="W272" s="314">
        <f>SUM(D272:V272)</f>
        <v>0</v>
      </c>
    </row>
    <row r="273" spans="1:23" ht="25.5" customHeight="1" thickTop="1">
      <c r="A273" s="20" t="s">
        <v>24</v>
      </c>
      <c r="B273" s="23"/>
      <c r="C273" s="190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30" t="s">
        <v>406</v>
      </c>
      <c r="C274" s="192">
        <v>121500</v>
      </c>
      <c r="D274" s="131"/>
      <c r="E274" s="135"/>
      <c r="F274" s="135"/>
      <c r="G274" s="131"/>
      <c r="H274" s="135"/>
      <c r="I274" s="131"/>
      <c r="J274" s="131"/>
      <c r="K274" s="131"/>
      <c r="L274" s="131"/>
      <c r="M274" s="135"/>
      <c r="N274" s="131"/>
      <c r="O274" s="131"/>
      <c r="P274" s="131"/>
      <c r="Q274" s="131"/>
      <c r="R274" s="131"/>
      <c r="S274" s="131"/>
      <c r="T274" s="131"/>
      <c r="U274" s="131"/>
      <c r="V274" s="131"/>
    </row>
    <row r="275" spans="1:23" ht="25.5" customHeight="1">
      <c r="A275" s="20"/>
      <c r="B275" s="130" t="s">
        <v>405</v>
      </c>
      <c r="C275" s="192">
        <v>105000</v>
      </c>
      <c r="D275" s="131"/>
      <c r="E275" s="135"/>
      <c r="F275" s="135"/>
      <c r="G275" s="131"/>
      <c r="H275" s="135"/>
      <c r="I275" s="131"/>
      <c r="J275" s="131"/>
      <c r="K275" s="131"/>
      <c r="L275" s="131"/>
      <c r="M275" s="135"/>
      <c r="N275" s="131"/>
      <c r="O275" s="131"/>
      <c r="P275" s="131"/>
      <c r="Q275" s="131"/>
      <c r="R275" s="131"/>
      <c r="S275" s="131"/>
      <c r="T275" s="131"/>
      <c r="U275" s="131"/>
      <c r="V275" s="131"/>
    </row>
    <row r="276" spans="1:23" ht="25.5" customHeight="1" thickBot="1">
      <c r="A276" s="15"/>
      <c r="B276" s="14" t="s">
        <v>5</v>
      </c>
      <c r="C276" s="298">
        <f>SUM(C274:C275)</f>
        <v>226500</v>
      </c>
      <c r="D276" s="255">
        <f>SUM(D274:D275)</f>
        <v>0</v>
      </c>
      <c r="E276" s="254">
        <f t="shared" ref="E276:V276" si="14">SUM(E274:E275)</f>
        <v>0</v>
      </c>
      <c r="F276" s="254">
        <f t="shared" si="14"/>
        <v>0</v>
      </c>
      <c r="G276" s="254">
        <f t="shared" si="14"/>
        <v>0</v>
      </c>
      <c r="H276" s="254">
        <f t="shared" si="14"/>
        <v>0</v>
      </c>
      <c r="I276" s="255">
        <f t="shared" si="14"/>
        <v>0</v>
      </c>
      <c r="J276" s="255">
        <f t="shared" si="14"/>
        <v>0</v>
      </c>
      <c r="K276" s="255">
        <f t="shared" si="14"/>
        <v>0</v>
      </c>
      <c r="L276" s="255">
        <f t="shared" si="14"/>
        <v>0</v>
      </c>
      <c r="M276" s="254">
        <f t="shared" si="14"/>
        <v>0</v>
      </c>
      <c r="N276" s="255">
        <f t="shared" si="14"/>
        <v>0</v>
      </c>
      <c r="O276" s="255">
        <f t="shared" si="14"/>
        <v>0</v>
      </c>
      <c r="P276" s="255">
        <f t="shared" si="14"/>
        <v>0</v>
      </c>
      <c r="Q276" s="255">
        <f t="shared" si="14"/>
        <v>0</v>
      </c>
      <c r="R276" s="255">
        <f t="shared" si="14"/>
        <v>0</v>
      </c>
      <c r="S276" s="255">
        <f t="shared" si="14"/>
        <v>0</v>
      </c>
      <c r="T276" s="255"/>
      <c r="U276" s="255">
        <f t="shared" si="14"/>
        <v>0</v>
      </c>
      <c r="V276" s="255">
        <f t="shared" si="14"/>
        <v>0</v>
      </c>
      <c r="W276" s="314">
        <f>SUM(D276:V276)</f>
        <v>0</v>
      </c>
    </row>
    <row r="277" spans="1:23" ht="25.5" customHeight="1" thickTop="1">
      <c r="A277" s="20" t="s">
        <v>44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</row>
    <row r="278" spans="1:23" ht="25.5" customHeight="1">
      <c r="A278" s="20"/>
      <c r="B278" s="185" t="s">
        <v>420</v>
      </c>
      <c r="C278" s="192">
        <v>20000</v>
      </c>
      <c r="D278" s="133"/>
      <c r="E278" s="136"/>
      <c r="F278" s="136"/>
      <c r="G278" s="133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133"/>
      <c r="S278" s="133"/>
      <c r="T278" s="133"/>
      <c r="U278" s="133"/>
      <c r="V278" s="133"/>
    </row>
    <row r="279" spans="1:23" ht="25.5" customHeight="1">
      <c r="A279" s="20"/>
      <c r="B279" s="185"/>
      <c r="C279" s="190"/>
      <c r="D279" s="133"/>
      <c r="E279" s="136"/>
      <c r="F279" s="136"/>
      <c r="G279" s="133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133"/>
      <c r="S279" s="133"/>
      <c r="T279" s="133"/>
      <c r="U279" s="133"/>
      <c r="V279" s="133"/>
    </row>
    <row r="280" spans="1:23" ht="25.5" customHeight="1">
      <c r="A280" s="20"/>
      <c r="B280" s="185"/>
      <c r="C280" s="190"/>
      <c r="D280" s="133"/>
      <c r="E280" s="136"/>
      <c r="F280" s="136"/>
      <c r="G280" s="133"/>
      <c r="H280" s="136"/>
      <c r="I280" s="133"/>
      <c r="J280" s="133"/>
      <c r="K280" s="133"/>
      <c r="L280" s="133"/>
      <c r="M280" s="136"/>
      <c r="N280" s="133"/>
      <c r="O280" s="133"/>
      <c r="P280" s="133"/>
      <c r="Q280" s="133"/>
      <c r="R280" s="133"/>
      <c r="S280" s="133"/>
      <c r="T280" s="133"/>
      <c r="U280" s="133"/>
      <c r="V280" s="133"/>
    </row>
    <row r="281" spans="1:23" ht="25.5" customHeight="1">
      <c r="A281" s="20"/>
      <c r="B281" s="185"/>
      <c r="C281" s="190"/>
      <c r="D281" s="133"/>
      <c r="E281" s="136"/>
      <c r="F281" s="136"/>
      <c r="G281" s="133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133"/>
      <c r="S281" s="133"/>
      <c r="T281" s="133"/>
      <c r="U281" s="133"/>
      <c r="V281" s="133"/>
    </row>
    <row r="282" spans="1:23" ht="25.5" customHeight="1">
      <c r="A282" s="20"/>
      <c r="B282" s="185"/>
      <c r="C282" s="190"/>
      <c r="D282" s="133"/>
      <c r="E282" s="136"/>
      <c r="F282" s="136"/>
      <c r="G282" s="133"/>
      <c r="H282" s="136"/>
      <c r="I282" s="133"/>
      <c r="J282" s="133"/>
      <c r="K282" s="133"/>
      <c r="L282" s="133"/>
      <c r="M282" s="136"/>
      <c r="N282" s="133"/>
      <c r="O282" s="133"/>
      <c r="P282" s="133"/>
      <c r="Q282" s="133"/>
      <c r="R282" s="133"/>
      <c r="S282" s="133"/>
      <c r="T282" s="133"/>
      <c r="U282" s="133"/>
      <c r="V282" s="133"/>
    </row>
    <row r="283" spans="1:23" ht="25.5" customHeight="1">
      <c r="A283" s="20"/>
      <c r="B283" s="185"/>
      <c r="C283" s="190"/>
      <c r="D283" s="133"/>
      <c r="E283" s="136"/>
      <c r="F283" s="136"/>
      <c r="G283" s="133"/>
      <c r="H283" s="136"/>
      <c r="I283" s="133"/>
      <c r="J283" s="133"/>
      <c r="K283" s="133"/>
      <c r="L283" s="133"/>
      <c r="M283" s="136"/>
      <c r="N283" s="133"/>
      <c r="O283" s="133"/>
      <c r="P283" s="133"/>
      <c r="Q283" s="133"/>
      <c r="R283" s="133"/>
      <c r="S283" s="133"/>
      <c r="T283" s="133"/>
      <c r="U283" s="133"/>
      <c r="V283" s="133"/>
    </row>
    <row r="284" spans="1:23" ht="25.5" customHeight="1">
      <c r="A284" s="20"/>
      <c r="B284" s="185"/>
      <c r="C284" s="190"/>
      <c r="D284" s="133"/>
      <c r="E284" s="269"/>
      <c r="F284" s="136"/>
      <c r="G284" s="136"/>
      <c r="H284" s="136"/>
      <c r="I284" s="133"/>
      <c r="J284" s="133"/>
      <c r="K284" s="133"/>
      <c r="L284" s="133"/>
      <c r="M284" s="136"/>
      <c r="N284" s="133"/>
      <c r="O284" s="133"/>
      <c r="P284" s="133"/>
      <c r="Q284" s="133"/>
      <c r="R284" s="258"/>
      <c r="S284" s="259"/>
      <c r="T284" s="259"/>
      <c r="U284" s="258"/>
      <c r="V284" s="258"/>
    </row>
    <row r="285" spans="1:23" ht="25.5" customHeight="1" thickBot="1">
      <c r="A285" s="15"/>
      <c r="B285" s="53" t="s">
        <v>5</v>
      </c>
      <c r="C285" s="105">
        <f>SUM(C278:C284)</f>
        <v>20000</v>
      </c>
      <c r="D285" s="255">
        <f>SUM(D278:D284)</f>
        <v>0</v>
      </c>
      <c r="E285" s="254">
        <f t="shared" ref="E285:V285" si="15">SUM(E278:E284)</f>
        <v>0</v>
      </c>
      <c r="F285" s="254">
        <f t="shared" si="15"/>
        <v>0</v>
      </c>
      <c r="G285" s="254">
        <f t="shared" si="15"/>
        <v>0</v>
      </c>
      <c r="H285" s="254">
        <f t="shared" si="15"/>
        <v>0</v>
      </c>
      <c r="I285" s="255">
        <f t="shared" si="15"/>
        <v>0</v>
      </c>
      <c r="J285" s="255">
        <f t="shared" si="15"/>
        <v>0</v>
      </c>
      <c r="K285" s="255">
        <f t="shared" si="15"/>
        <v>0</v>
      </c>
      <c r="L285" s="255">
        <f t="shared" si="15"/>
        <v>0</v>
      </c>
      <c r="M285" s="254">
        <f t="shared" si="15"/>
        <v>0</v>
      </c>
      <c r="N285" s="255">
        <f t="shared" si="15"/>
        <v>0</v>
      </c>
      <c r="O285" s="255">
        <f t="shared" si="15"/>
        <v>0</v>
      </c>
      <c r="P285" s="255">
        <f t="shared" si="15"/>
        <v>0</v>
      </c>
      <c r="Q285" s="255">
        <f t="shared" si="15"/>
        <v>0</v>
      </c>
      <c r="R285" s="255">
        <f t="shared" si="15"/>
        <v>0</v>
      </c>
      <c r="S285" s="255">
        <f t="shared" si="15"/>
        <v>0</v>
      </c>
      <c r="T285" s="255"/>
      <c r="U285" s="255">
        <f t="shared" si="15"/>
        <v>0</v>
      </c>
      <c r="V285" s="255">
        <f t="shared" si="15"/>
        <v>0</v>
      </c>
      <c r="W285" s="314">
        <f>SUM(D285:V285)</f>
        <v>0</v>
      </c>
    </row>
    <row r="286" spans="1:23" ht="25.5" customHeight="1" thickTop="1">
      <c r="A286" s="20" t="s">
        <v>276</v>
      </c>
      <c r="B286" s="23"/>
      <c r="C286" s="193"/>
      <c r="D286" s="133"/>
      <c r="E286" s="269"/>
      <c r="F286" s="136"/>
      <c r="G286" s="136"/>
      <c r="H286" s="136"/>
      <c r="I286" s="133"/>
      <c r="J286" s="133"/>
      <c r="K286" s="133"/>
      <c r="L286" s="133"/>
      <c r="M286" s="136"/>
      <c r="N286" s="133"/>
      <c r="O286" s="133"/>
      <c r="P286" s="133"/>
      <c r="Q286" s="133"/>
      <c r="R286" s="258"/>
      <c r="S286" s="259"/>
      <c r="T286" s="259"/>
      <c r="U286" s="258"/>
      <c r="V286" s="258"/>
    </row>
    <row r="287" spans="1:23" ht="25.5" customHeight="1">
      <c r="A287" s="20"/>
      <c r="B287" s="185" t="s">
        <v>226</v>
      </c>
      <c r="C287" s="192">
        <f>+'ต.ค. '!E284+'ต.ค. '!F284+'ต.ค. '!H284+'ต.ค. '!M284</f>
        <v>37500</v>
      </c>
      <c r="D287" s="133"/>
      <c r="E287" s="136"/>
      <c r="F287" s="136"/>
      <c r="G287" s="136"/>
      <c r="H287" s="136"/>
      <c r="I287" s="133"/>
      <c r="J287" s="133"/>
      <c r="K287" s="133"/>
      <c r="L287" s="133"/>
      <c r="M287" s="136"/>
      <c r="N287" s="133"/>
      <c r="O287" s="133"/>
      <c r="P287" s="133"/>
      <c r="Q287" s="133"/>
      <c r="R287" s="133"/>
      <c r="S287" s="133"/>
      <c r="T287" s="133"/>
      <c r="U287" s="133"/>
      <c r="V287" s="133"/>
    </row>
    <row r="288" spans="1:23" ht="25.5" customHeight="1">
      <c r="A288" s="20"/>
      <c r="B288" s="185" t="s">
        <v>233</v>
      </c>
      <c r="C288" s="299">
        <v>7500</v>
      </c>
      <c r="D288" s="133"/>
      <c r="E288" s="136"/>
      <c r="F288" s="136"/>
      <c r="G288" s="136"/>
      <c r="H288" s="136"/>
      <c r="I288" s="133"/>
      <c r="J288" s="133"/>
      <c r="K288" s="133"/>
      <c r="L288" s="133"/>
      <c r="M288" s="136"/>
      <c r="N288" s="133"/>
      <c r="O288" s="133"/>
      <c r="P288" s="133"/>
      <c r="Q288" s="133"/>
      <c r="R288" s="133"/>
      <c r="S288" s="133"/>
      <c r="T288" s="133"/>
      <c r="U288" s="133"/>
      <c r="V288" s="133"/>
    </row>
    <row r="289" spans="1:24" ht="25.5" customHeight="1">
      <c r="A289" s="20"/>
      <c r="B289" s="274" t="s">
        <v>378</v>
      </c>
      <c r="C289" s="299">
        <v>37500</v>
      </c>
      <c r="D289" s="133"/>
      <c r="E289" s="136"/>
      <c r="F289" s="136"/>
      <c r="G289" s="136"/>
      <c r="H289" s="136"/>
      <c r="I289" s="133"/>
      <c r="J289" s="133"/>
      <c r="K289" s="133"/>
      <c r="L289" s="133"/>
      <c r="M289" s="136"/>
      <c r="N289" s="133"/>
      <c r="O289" s="133"/>
      <c r="P289" s="133"/>
      <c r="Q289" s="133"/>
      <c r="R289" s="133"/>
      <c r="S289" s="133"/>
      <c r="T289" s="133"/>
      <c r="U289" s="133"/>
      <c r="V289" s="133"/>
    </row>
    <row r="290" spans="1:24" ht="25.5" customHeight="1">
      <c r="A290" s="20"/>
      <c r="B290" s="185" t="s">
        <v>379</v>
      </c>
      <c r="C290" s="299">
        <v>10000</v>
      </c>
      <c r="D290" s="133"/>
      <c r="E290" s="136"/>
      <c r="F290" s="136"/>
      <c r="G290" s="136"/>
      <c r="H290" s="136"/>
      <c r="I290" s="133"/>
      <c r="J290" s="133"/>
      <c r="K290" s="133"/>
      <c r="L290" s="133"/>
      <c r="M290" s="136"/>
      <c r="N290" s="133"/>
      <c r="O290" s="133"/>
      <c r="P290" s="133"/>
      <c r="Q290" s="133"/>
      <c r="R290" s="133"/>
      <c r="S290" s="133"/>
      <c r="T290" s="133"/>
      <c r="U290" s="133"/>
      <c r="V290" s="133"/>
    </row>
    <row r="291" spans="1:24" ht="25.5" customHeight="1">
      <c r="A291" s="20"/>
      <c r="B291" s="185" t="s">
        <v>382</v>
      </c>
      <c r="C291" s="299">
        <v>1950</v>
      </c>
      <c r="D291" s="133"/>
      <c r="E291" s="136"/>
      <c r="F291" s="136"/>
      <c r="G291" s="136"/>
      <c r="H291" s="136"/>
      <c r="I291" s="133"/>
      <c r="J291" s="133"/>
      <c r="K291" s="133"/>
      <c r="L291" s="133"/>
      <c r="M291" s="136"/>
      <c r="N291" s="133"/>
      <c r="O291" s="133"/>
      <c r="P291" s="133"/>
      <c r="Q291" s="133"/>
      <c r="R291" s="133"/>
      <c r="S291" s="133"/>
      <c r="T291" s="133"/>
      <c r="U291" s="133"/>
      <c r="V291" s="133"/>
    </row>
    <row r="292" spans="1:24" ht="25.5" customHeight="1">
      <c r="A292" s="20"/>
      <c r="B292" s="185" t="s">
        <v>380</v>
      </c>
      <c r="C292" s="299">
        <v>4550</v>
      </c>
      <c r="D292" s="133"/>
      <c r="E292" s="136"/>
      <c r="F292" s="136"/>
      <c r="G292" s="136"/>
      <c r="H292" s="136"/>
      <c r="I292" s="133"/>
      <c r="J292" s="133"/>
      <c r="K292" s="133"/>
      <c r="L292" s="133"/>
      <c r="M292" s="136"/>
      <c r="N292" s="133"/>
      <c r="O292" s="133"/>
      <c r="P292" s="133"/>
      <c r="Q292" s="133"/>
      <c r="R292" s="133"/>
      <c r="S292" s="133"/>
      <c r="T292" s="133"/>
      <c r="U292" s="133"/>
      <c r="V292" s="133"/>
    </row>
    <row r="293" spans="1:24" ht="25.5" customHeight="1">
      <c r="A293" s="20"/>
      <c r="B293" s="185" t="s">
        <v>386</v>
      </c>
      <c r="C293" s="192">
        <v>409940.96</v>
      </c>
      <c r="D293" s="133"/>
      <c r="E293" s="136"/>
      <c r="F293" s="136"/>
      <c r="G293" s="136"/>
      <c r="H293" s="136"/>
      <c r="I293" s="133"/>
      <c r="J293" s="133"/>
      <c r="K293" s="133"/>
      <c r="L293" s="133"/>
      <c r="M293" s="136"/>
      <c r="N293" s="133"/>
      <c r="O293" s="133"/>
      <c r="P293" s="133"/>
      <c r="Q293" s="133"/>
      <c r="R293" s="133"/>
      <c r="S293" s="133"/>
      <c r="T293" s="133"/>
      <c r="U293" s="133"/>
      <c r="V293" s="133"/>
    </row>
    <row r="294" spans="1:24" ht="25.5" customHeight="1">
      <c r="A294" s="20"/>
      <c r="B294" s="185" t="s">
        <v>387</v>
      </c>
      <c r="C294" s="192">
        <v>40000</v>
      </c>
      <c r="D294" s="133"/>
      <c r="E294" s="136"/>
      <c r="F294" s="136"/>
      <c r="G294" s="136"/>
      <c r="H294" s="136"/>
      <c r="I294" s="133"/>
      <c r="J294" s="133"/>
      <c r="K294" s="133"/>
      <c r="L294" s="133"/>
      <c r="M294" s="136"/>
      <c r="N294" s="133"/>
      <c r="O294" s="133"/>
      <c r="P294" s="133"/>
      <c r="Q294" s="133"/>
      <c r="R294" s="133"/>
      <c r="S294" s="133"/>
      <c r="T294" s="133"/>
      <c r="U294" s="133"/>
      <c r="V294" s="133"/>
    </row>
    <row r="295" spans="1:24" ht="25.5" customHeight="1">
      <c r="A295" s="20"/>
      <c r="B295" s="347" t="s">
        <v>409</v>
      </c>
      <c r="C295" s="192">
        <v>175000</v>
      </c>
      <c r="D295" s="131"/>
      <c r="E295" s="135"/>
      <c r="F295" s="135"/>
      <c r="G295" s="135"/>
      <c r="H295" s="135"/>
      <c r="I295" s="131"/>
      <c r="J295" s="131"/>
      <c r="K295" s="131"/>
      <c r="L295" s="131"/>
      <c r="M295" s="135"/>
      <c r="N295" s="131"/>
      <c r="O295" s="131"/>
      <c r="P295" s="131"/>
      <c r="Q295" s="131"/>
      <c r="R295" s="131"/>
      <c r="S295" s="131"/>
      <c r="T295" s="131"/>
      <c r="U295" s="131"/>
      <c r="V295" s="131"/>
    </row>
    <row r="296" spans="1:24" ht="25.5" customHeight="1">
      <c r="A296" s="20"/>
      <c r="B296" s="348"/>
      <c r="C296" s="350"/>
      <c r="D296" s="345"/>
      <c r="E296" s="346"/>
      <c r="F296" s="346"/>
      <c r="G296" s="346"/>
      <c r="H296" s="346"/>
      <c r="I296" s="345"/>
      <c r="J296" s="345"/>
      <c r="K296" s="345"/>
      <c r="L296" s="345"/>
      <c r="M296" s="346"/>
      <c r="N296" s="345"/>
      <c r="O296" s="345"/>
      <c r="P296" s="345"/>
      <c r="Q296" s="345"/>
      <c r="R296" s="345"/>
      <c r="S296" s="345"/>
      <c r="T296" s="345"/>
      <c r="U296" s="345"/>
      <c r="V296" s="345"/>
    </row>
    <row r="297" spans="1:24" ht="25.5" customHeight="1" thickBot="1">
      <c r="A297" s="15"/>
      <c r="B297" s="53" t="s">
        <v>5</v>
      </c>
      <c r="C297" s="105">
        <f>SUM(C287:C296)</f>
        <v>723940.96</v>
      </c>
      <c r="D297" s="132">
        <f>SUM(D287:D296)</f>
        <v>0</v>
      </c>
      <c r="E297" s="137">
        <f t="shared" ref="E297:V297" si="16">SUM(E287:E296)</f>
        <v>0</v>
      </c>
      <c r="F297" s="137">
        <f t="shared" si="16"/>
        <v>0</v>
      </c>
      <c r="G297" s="132">
        <f t="shared" si="16"/>
        <v>0</v>
      </c>
      <c r="H297" s="137">
        <f t="shared" si="16"/>
        <v>0</v>
      </c>
      <c r="I297" s="132">
        <f t="shared" si="16"/>
        <v>0</v>
      </c>
      <c r="J297" s="132">
        <f t="shared" si="16"/>
        <v>0</v>
      </c>
      <c r="K297" s="132">
        <f t="shared" si="16"/>
        <v>0</v>
      </c>
      <c r="L297" s="132">
        <f t="shared" si="16"/>
        <v>0</v>
      </c>
      <c r="M297" s="137">
        <f t="shared" si="16"/>
        <v>0</v>
      </c>
      <c r="N297" s="132">
        <f t="shared" si="16"/>
        <v>0</v>
      </c>
      <c r="O297" s="132">
        <f t="shared" si="16"/>
        <v>0</v>
      </c>
      <c r="P297" s="132">
        <f t="shared" si="16"/>
        <v>0</v>
      </c>
      <c r="Q297" s="132">
        <f t="shared" si="16"/>
        <v>0</v>
      </c>
      <c r="R297" s="132">
        <f t="shared" si="16"/>
        <v>0</v>
      </c>
      <c r="S297" s="132">
        <f t="shared" si="16"/>
        <v>0</v>
      </c>
      <c r="T297" s="132"/>
      <c r="U297" s="132">
        <f t="shared" si="16"/>
        <v>0</v>
      </c>
      <c r="V297" s="132">
        <f t="shared" si="16"/>
        <v>0</v>
      </c>
      <c r="W297" s="318">
        <f>SUM(D297:V297)</f>
        <v>0</v>
      </c>
    </row>
    <row r="298" spans="1:24" ht="25.5" customHeight="1" thickTop="1" thickBot="1">
      <c r="A298" s="16"/>
      <c r="B298" s="52" t="s">
        <v>49</v>
      </c>
      <c r="C298" s="229">
        <f>+C272+C262+C221+C210+C204++C49+C39+C21+C176+C28+C224</f>
        <v>39148280</v>
      </c>
      <c r="D298" s="229">
        <f t="shared" ref="D298:V298" si="17">+D272+D262+D221+D210+D204++D49+D39+D21+D176+D28+D224</f>
        <v>748454</v>
      </c>
      <c r="E298" s="229">
        <f t="shared" si="17"/>
        <v>792447.89</v>
      </c>
      <c r="F298" s="229">
        <f t="shared" si="17"/>
        <v>160535</v>
      </c>
      <c r="G298" s="229">
        <f t="shared" si="17"/>
        <v>0</v>
      </c>
      <c r="H298" s="229">
        <f t="shared" si="17"/>
        <v>426613.89</v>
      </c>
      <c r="I298" s="229">
        <f t="shared" si="17"/>
        <v>236758.31999999998</v>
      </c>
      <c r="J298" s="229">
        <f t="shared" si="17"/>
        <v>0</v>
      </c>
      <c r="K298" s="229">
        <f t="shared" si="17"/>
        <v>0</v>
      </c>
      <c r="L298" s="229">
        <f t="shared" si="17"/>
        <v>0</v>
      </c>
      <c r="M298" s="229">
        <f t="shared" si="17"/>
        <v>186830</v>
      </c>
      <c r="N298" s="229">
        <f t="shared" si="17"/>
        <v>300500</v>
      </c>
      <c r="O298" s="229">
        <f t="shared" si="17"/>
        <v>0</v>
      </c>
      <c r="P298" s="229">
        <f t="shared" si="17"/>
        <v>14395</v>
      </c>
      <c r="Q298" s="229">
        <f t="shared" si="17"/>
        <v>0</v>
      </c>
      <c r="R298" s="229">
        <f t="shared" si="17"/>
        <v>0</v>
      </c>
      <c r="S298" s="229">
        <f t="shared" si="17"/>
        <v>16000</v>
      </c>
      <c r="T298" s="229"/>
      <c r="U298" s="229">
        <f t="shared" si="17"/>
        <v>0</v>
      </c>
      <c r="V298" s="51">
        <f t="shared" si="17"/>
        <v>0</v>
      </c>
      <c r="W298" s="353">
        <f>SUM(D298:V298)</f>
        <v>2882534.1</v>
      </c>
      <c r="X298" s="34"/>
    </row>
    <row r="299" spans="1:24" ht="25.5" customHeight="1" thickTop="1" thickBot="1">
      <c r="A299" s="16"/>
      <c r="B299" s="41" t="s">
        <v>25</v>
      </c>
      <c r="C299" s="260">
        <f>+C297+C285+C276+C272+C262+C224+C221+C210+C176+C49+C28+C21+C39++C204</f>
        <v>40118720.960000001</v>
      </c>
      <c r="D299" s="260">
        <f>+D297+D285+D276+D272+D262+D224+D221+D210+D176+D49+D28+D21+D39++D204</f>
        <v>748454</v>
      </c>
      <c r="E299" s="260">
        <f t="shared" ref="E299:V299" si="18">+E297+E285+E276+E272+E262+E224+E221+E210+E176+E49+E28+E21+E39++E204</f>
        <v>792447.89</v>
      </c>
      <c r="F299" s="260">
        <f t="shared" si="18"/>
        <v>160535</v>
      </c>
      <c r="G299" s="260">
        <f t="shared" si="18"/>
        <v>0</v>
      </c>
      <c r="H299" s="260">
        <f t="shared" si="18"/>
        <v>426613.89</v>
      </c>
      <c r="I299" s="260">
        <f t="shared" si="18"/>
        <v>236758.31999999998</v>
      </c>
      <c r="J299" s="260">
        <f t="shared" si="18"/>
        <v>0</v>
      </c>
      <c r="K299" s="260">
        <f t="shared" si="18"/>
        <v>0</v>
      </c>
      <c r="L299" s="260">
        <f t="shared" si="18"/>
        <v>0</v>
      </c>
      <c r="M299" s="260">
        <f t="shared" si="18"/>
        <v>186830</v>
      </c>
      <c r="N299" s="260">
        <f t="shared" si="18"/>
        <v>300500</v>
      </c>
      <c r="O299" s="260">
        <f t="shared" si="18"/>
        <v>0</v>
      </c>
      <c r="P299" s="260">
        <f t="shared" si="18"/>
        <v>14395</v>
      </c>
      <c r="Q299" s="260">
        <f t="shared" si="18"/>
        <v>0</v>
      </c>
      <c r="R299" s="260">
        <f t="shared" si="18"/>
        <v>0</v>
      </c>
      <c r="S299" s="260">
        <f t="shared" si="18"/>
        <v>16000</v>
      </c>
      <c r="T299" s="260"/>
      <c r="U299" s="260">
        <f t="shared" si="18"/>
        <v>0</v>
      </c>
      <c r="V299" s="309">
        <f t="shared" si="18"/>
        <v>0</v>
      </c>
      <c r="W299" s="495">
        <f>SUM(D299:V299)</f>
        <v>2882534.1</v>
      </c>
      <c r="X299" s="34"/>
    </row>
    <row r="300" spans="1:24" ht="25.5" customHeight="1" thickTop="1">
      <c r="B300" s="246" t="s">
        <v>273</v>
      </c>
      <c r="C300" s="182"/>
      <c r="D300" s="300"/>
      <c r="E300" s="301"/>
      <c r="F300" s="302"/>
      <c r="G300" s="302"/>
      <c r="H300" s="302"/>
      <c r="I300" s="300"/>
      <c r="J300" s="300"/>
      <c r="K300" s="300"/>
      <c r="L300" s="300"/>
      <c r="M300" s="302"/>
      <c r="N300" s="300"/>
      <c r="O300" s="300"/>
      <c r="P300" s="300"/>
      <c r="Q300" s="300"/>
      <c r="R300" s="303"/>
      <c r="S300" s="304"/>
      <c r="T300" s="304"/>
      <c r="U300" s="303"/>
      <c r="V300" s="303"/>
      <c r="W300" s="355"/>
      <c r="X300" s="34"/>
    </row>
    <row r="301" spans="1:24" ht="25.5" customHeight="1">
      <c r="C301" s="182"/>
      <c r="D301" s="35"/>
      <c r="E301" s="266"/>
      <c r="F301" s="134"/>
      <c r="G301" s="134"/>
      <c r="H301" s="134"/>
      <c r="I301" s="35"/>
      <c r="J301" s="35"/>
      <c r="K301" s="35"/>
      <c r="L301" s="35"/>
      <c r="M301" s="134"/>
      <c r="N301" s="35"/>
      <c r="O301" s="35"/>
      <c r="P301" s="35"/>
      <c r="Q301" s="35"/>
      <c r="R301" s="34"/>
      <c r="S301" s="171"/>
      <c r="T301" s="171"/>
      <c r="U301" s="34"/>
      <c r="V301" s="34"/>
      <c r="W301" s="34"/>
      <c r="X301" s="34"/>
    </row>
    <row r="302" spans="1:24" ht="25.5" customHeight="1">
      <c r="C302" s="182"/>
      <c r="D302" s="35"/>
      <c r="E302" s="266"/>
      <c r="F302" s="134"/>
      <c r="G302" s="134"/>
      <c r="H302" s="134"/>
      <c r="I302" s="35"/>
      <c r="J302" s="35"/>
      <c r="K302" s="35"/>
      <c r="L302" s="35"/>
      <c r="M302" s="134"/>
      <c r="N302" s="35"/>
      <c r="O302" s="35"/>
      <c r="P302" s="35"/>
      <c r="Q302" s="35"/>
      <c r="R302" s="34"/>
      <c r="S302" s="171"/>
      <c r="T302" s="171"/>
      <c r="U302" s="34"/>
      <c r="V302" s="34"/>
      <c r="W302" s="253">
        <f>39148280-C298</f>
        <v>0</v>
      </c>
    </row>
    <row r="303" spans="1:24" ht="25.5" customHeight="1">
      <c r="B303" s="253">
        <f>39148280-C298</f>
        <v>0</v>
      </c>
      <c r="C303" s="182"/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  <c r="W303" s="322"/>
    </row>
    <row r="304" spans="1:24" ht="25.5" customHeight="1">
      <c r="C304" s="182"/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  <c r="W304" s="328"/>
    </row>
    <row r="305" spans="1:24" ht="25.5" customHeight="1">
      <c r="C305" s="182"/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  <c r="W305" s="321"/>
    </row>
    <row r="306" spans="1:24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  <c r="W306" s="321"/>
    </row>
    <row r="307" spans="1:24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1:24" ht="25.5" customHeight="1"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</row>
    <row r="309" spans="1:24" ht="25.5" customHeight="1"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</row>
    <row r="310" spans="1:24" ht="25.5" customHeight="1"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</row>
    <row r="311" spans="1:24" ht="25.5" customHeight="1"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</row>
    <row r="312" spans="1:24" ht="25.5" customHeight="1"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</row>
    <row r="313" spans="1:24" ht="25.5" customHeight="1"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</row>
    <row r="314" spans="1:24" ht="25.5" customHeight="1"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</row>
    <row r="315" spans="1:24" ht="25.5" customHeight="1"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</row>
    <row r="316" spans="1:24" ht="25.5" customHeight="1"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</row>
    <row r="317" spans="1:24" ht="25.5" customHeight="1"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/>
    </row>
    <row r="377" spans="1:24" s="310" customFormat="1" ht="25.5" customHeight="1">
      <c r="A377"/>
      <c r="B377"/>
      <c r="C377" s="282"/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  <c r="X377"/>
    </row>
    <row r="378" spans="1:24" s="310" customFormat="1" ht="25.5" customHeight="1">
      <c r="A378"/>
      <c r="B378"/>
      <c r="C378" s="282"/>
      <c r="D378" s="181"/>
      <c r="E378" s="272"/>
      <c r="F378" s="265"/>
      <c r="G378" s="265"/>
      <c r="H378" s="265"/>
      <c r="I378" s="181"/>
      <c r="J378" s="181"/>
      <c r="K378" s="181"/>
      <c r="L378" s="181"/>
      <c r="M378" s="265"/>
      <c r="N378" s="181"/>
      <c r="O378" s="181"/>
      <c r="P378" s="181"/>
      <c r="Q378" s="181"/>
      <c r="R378" s="221"/>
      <c r="S378" s="234"/>
      <c r="T378" s="234"/>
      <c r="U378" s="221"/>
      <c r="V378" s="221"/>
      <c r="X378"/>
    </row>
    <row r="379" spans="1:24" s="310" customFormat="1" ht="25.5" customHeight="1">
      <c r="A379"/>
      <c r="B379"/>
      <c r="C379" s="282"/>
      <c r="D379" s="181"/>
      <c r="E379" s="272"/>
      <c r="F379" s="265"/>
      <c r="G379" s="265"/>
      <c r="H379" s="265"/>
      <c r="I379" s="181"/>
      <c r="J379" s="181"/>
      <c r="K379" s="181"/>
      <c r="L379" s="181"/>
      <c r="M379" s="265"/>
      <c r="N379" s="181"/>
      <c r="O379" s="181"/>
      <c r="P379" s="181"/>
      <c r="Q379" s="181"/>
      <c r="R379" s="221"/>
      <c r="S379" s="234"/>
      <c r="T379" s="234"/>
      <c r="U379" s="221"/>
      <c r="V379" s="221"/>
      <c r="X379"/>
    </row>
    <row r="380" spans="1:24" s="310" customFormat="1" ht="25.5" customHeight="1">
      <c r="A380"/>
      <c r="B380"/>
      <c r="C380" s="282"/>
      <c r="D380" s="181"/>
      <c r="E380" s="272"/>
      <c r="F380" s="265"/>
      <c r="G380" s="265"/>
      <c r="H380" s="265"/>
      <c r="I380" s="181"/>
      <c r="J380" s="181"/>
      <c r="K380" s="181"/>
      <c r="L380" s="181"/>
      <c r="M380" s="265"/>
      <c r="N380" s="181"/>
      <c r="O380" s="181"/>
      <c r="P380" s="181"/>
      <c r="Q380" s="181"/>
      <c r="R380" s="221"/>
      <c r="S380" s="234"/>
      <c r="T380" s="234"/>
      <c r="U380" s="221"/>
      <c r="V380" s="221"/>
      <c r="X380"/>
    </row>
    <row r="381" spans="1:24" s="310" customFormat="1" ht="25.5" customHeight="1">
      <c r="A381"/>
      <c r="B381"/>
      <c r="C381" s="282"/>
      <c r="D381" s="181"/>
      <c r="E381" s="272"/>
      <c r="F381" s="265"/>
      <c r="G381" s="265"/>
      <c r="H381" s="265"/>
      <c r="I381" s="181"/>
      <c r="J381" s="181"/>
      <c r="K381" s="181"/>
      <c r="L381" s="181"/>
      <c r="M381" s="265"/>
      <c r="N381" s="181"/>
      <c r="O381" s="181"/>
      <c r="P381" s="181"/>
      <c r="Q381" s="181"/>
      <c r="R381" s="221"/>
      <c r="S381" s="234"/>
      <c r="T381" s="234"/>
      <c r="U381" s="221"/>
      <c r="V381" s="221"/>
      <c r="X381"/>
    </row>
    <row r="382" spans="1:24" s="310" customFormat="1" ht="25.5" customHeight="1">
      <c r="A382"/>
      <c r="B382"/>
      <c r="C382" s="282"/>
      <c r="D382" s="181"/>
      <c r="E382" s="272"/>
      <c r="F382" s="265"/>
      <c r="G382" s="265"/>
      <c r="H382" s="265"/>
      <c r="I382" s="181"/>
      <c r="J382" s="181"/>
      <c r="K382" s="181"/>
      <c r="L382" s="181"/>
      <c r="M382" s="265"/>
      <c r="N382" s="181"/>
      <c r="O382" s="181"/>
      <c r="P382" s="181"/>
      <c r="Q382" s="181"/>
      <c r="R382" s="221"/>
      <c r="S382" s="234"/>
      <c r="T382" s="234"/>
      <c r="U382" s="221"/>
      <c r="V382" s="221"/>
      <c r="X382"/>
    </row>
    <row r="383" spans="1:24" s="310" customFormat="1" ht="25.5" customHeight="1">
      <c r="A383"/>
      <c r="B383"/>
      <c r="C383" s="282"/>
      <c r="D383" s="181"/>
      <c r="E383" s="272"/>
      <c r="F383" s="265"/>
      <c r="G383" s="265"/>
      <c r="H383" s="265"/>
      <c r="I383" s="181"/>
      <c r="J383" s="181"/>
      <c r="K383" s="181"/>
      <c r="L383" s="181"/>
      <c r="M383" s="265"/>
      <c r="N383" s="181"/>
      <c r="O383" s="181"/>
      <c r="P383" s="181"/>
      <c r="Q383" s="181"/>
      <c r="R383" s="221"/>
      <c r="S383" s="234"/>
      <c r="T383" s="234"/>
      <c r="U383" s="221"/>
      <c r="V383" s="221"/>
      <c r="X383"/>
    </row>
    <row r="384" spans="1:24" s="310" customFormat="1" ht="25.5" customHeight="1">
      <c r="A384"/>
      <c r="B384"/>
      <c r="C384" s="282"/>
      <c r="D384" s="181"/>
      <c r="E384" s="272"/>
      <c r="F384" s="265"/>
      <c r="G384" s="265"/>
      <c r="H384" s="265"/>
      <c r="I384" s="181"/>
      <c r="J384" s="181"/>
      <c r="K384" s="181"/>
      <c r="L384" s="181"/>
      <c r="M384" s="265"/>
      <c r="N384" s="181"/>
      <c r="O384" s="181"/>
      <c r="P384" s="181"/>
      <c r="Q384" s="181"/>
      <c r="R384" s="221"/>
      <c r="S384" s="234"/>
      <c r="T384" s="234"/>
      <c r="U384" s="221"/>
      <c r="V384" s="221"/>
      <c r="X384"/>
    </row>
    <row r="385" spans="1:24" s="310" customFormat="1" ht="25.5" customHeight="1">
      <c r="A385"/>
      <c r="B385"/>
      <c r="C385" s="282"/>
      <c r="D385" s="181"/>
      <c r="E385" s="272"/>
      <c r="F385" s="265"/>
      <c r="G385" s="265"/>
      <c r="H385" s="265"/>
      <c r="I385" s="181"/>
      <c r="J385" s="181"/>
      <c r="K385" s="181"/>
      <c r="L385" s="181"/>
      <c r="M385" s="265"/>
      <c r="N385" s="181"/>
      <c r="O385" s="181"/>
      <c r="P385" s="181"/>
      <c r="Q385" s="181"/>
      <c r="R385" s="221"/>
      <c r="S385" s="234"/>
      <c r="T385" s="234"/>
      <c r="U385" s="221"/>
      <c r="V385" s="221"/>
      <c r="X385"/>
    </row>
    <row r="386" spans="1:24" s="310" customFormat="1" ht="25.5" customHeight="1">
      <c r="A386"/>
      <c r="B386"/>
      <c r="C386" s="282"/>
      <c r="D386" s="181"/>
      <c r="E386" s="272"/>
      <c r="F386" s="265"/>
      <c r="G386" s="265"/>
      <c r="H386" s="265"/>
      <c r="I386" s="181"/>
      <c r="J386" s="181"/>
      <c r="K386" s="181"/>
      <c r="L386" s="181"/>
      <c r="M386" s="265"/>
      <c r="N386" s="181"/>
      <c r="O386" s="181"/>
      <c r="P386" s="181"/>
      <c r="Q386" s="181"/>
      <c r="R386" s="221"/>
      <c r="S386" s="234"/>
      <c r="T386" s="234"/>
      <c r="U386" s="221"/>
      <c r="V386" s="221"/>
      <c r="X386"/>
    </row>
  </sheetData>
  <mergeCells count="33">
    <mergeCell ref="D7:D8"/>
    <mergeCell ref="E7:E8"/>
    <mergeCell ref="F7:F8"/>
    <mergeCell ref="G7:G8"/>
    <mergeCell ref="H7:H8"/>
    <mergeCell ref="S7:S8"/>
    <mergeCell ref="J7:J8"/>
    <mergeCell ref="A1:V1"/>
    <mergeCell ref="A2:V2"/>
    <mergeCell ref="A3:V3"/>
    <mergeCell ref="A5:B8"/>
    <mergeCell ref="D5:D6"/>
    <mergeCell ref="E5:F6"/>
    <mergeCell ref="G5:G6"/>
    <mergeCell ref="O7:O8"/>
    <mergeCell ref="R5:T6"/>
    <mergeCell ref="T7:T8"/>
    <mergeCell ref="H5:J6"/>
    <mergeCell ref="K5:K6"/>
    <mergeCell ref="L5:L6"/>
    <mergeCell ref="K7:K8"/>
    <mergeCell ref="M7:M8"/>
    <mergeCell ref="N7:N8"/>
    <mergeCell ref="U7:U8"/>
    <mergeCell ref="V7:V8"/>
    <mergeCell ref="I7:I8"/>
    <mergeCell ref="U5:U6"/>
    <mergeCell ref="V5:V6"/>
    <mergeCell ref="M5:P6"/>
    <mergeCell ref="Q5:Q6"/>
    <mergeCell ref="P7:P8"/>
    <mergeCell ref="Q7:Q8"/>
    <mergeCell ref="R7:R8"/>
  </mergeCells>
  <pageMargins left="0.17" right="0.17" top="0.19685039370078741" bottom="0.17" header="0.19685039370078741" footer="0.1574803149606299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X386"/>
  <sheetViews>
    <sheetView workbookViewId="0">
      <pane ySplit="8" topLeftCell="A36" activePane="bottomLeft" state="frozen"/>
      <selection activeCell="J212" sqref="J212"/>
      <selection pane="bottomLeft" activeCell="E257" sqref="E257"/>
    </sheetView>
  </sheetViews>
  <sheetFormatPr defaultRowHeight="25.5" customHeight="1"/>
  <cols>
    <col min="1" max="1" width="1.140625" customWidth="1"/>
    <col min="2" max="2" width="36.140625" customWidth="1"/>
    <col min="3" max="3" width="11.28515625" style="282" customWidth="1"/>
    <col min="4" max="4" width="11" style="181" customWidth="1"/>
    <col min="5" max="5" width="11" style="272" customWidth="1"/>
    <col min="6" max="8" width="11" style="265" customWidth="1"/>
    <col min="9" max="9" width="11" style="181" customWidth="1"/>
    <col min="10" max="10" width="1.5703125" style="181" customWidth="1"/>
    <col min="11" max="11" width="11" style="181" customWidth="1"/>
    <col min="12" max="12" width="1.7109375" style="181" customWidth="1"/>
    <col min="13" max="13" width="11" style="265" customWidth="1"/>
    <col min="14" max="14" width="11" style="181" customWidth="1"/>
    <col min="15" max="17" width="1.7109375" style="181" customWidth="1"/>
    <col min="18" max="18" width="1.7109375" style="221" customWidth="1"/>
    <col min="19" max="19" width="11" style="234" customWidth="1"/>
    <col min="20" max="20" width="2" style="234" customWidth="1"/>
    <col min="21" max="21" width="1.85546875" style="221" customWidth="1"/>
    <col min="22" max="22" width="9.85546875" style="221" customWidth="1"/>
    <col min="23" max="23" width="17.140625" style="310" customWidth="1"/>
    <col min="24" max="24" width="9.140625" style="22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434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521"/>
      <c r="E4" s="527"/>
      <c r="F4" s="520"/>
      <c r="G4" s="520"/>
      <c r="H4" s="520"/>
      <c r="I4" s="521"/>
      <c r="J4" s="521"/>
      <c r="K4" s="521"/>
      <c r="L4" s="521"/>
      <c r="M4" s="520"/>
      <c r="N4" s="521"/>
      <c r="O4" s="521"/>
      <c r="P4" s="521"/>
      <c r="Q4" s="521"/>
      <c r="R4" s="522"/>
      <c r="S4" s="523"/>
      <c r="T4" s="523"/>
      <c r="U4" s="522"/>
      <c r="V4" s="522"/>
      <c r="W4" s="311"/>
      <c r="X4" s="522"/>
    </row>
    <row r="5" spans="1:24" s="2" customFormat="1" ht="25.5" customHeight="1">
      <c r="A5" s="654" t="s">
        <v>1</v>
      </c>
      <c r="B5" s="655"/>
      <c r="C5" s="276"/>
      <c r="D5" s="667" t="s">
        <v>26</v>
      </c>
      <c r="E5" s="667" t="s">
        <v>27</v>
      </c>
      <c r="F5" s="667"/>
      <c r="G5" s="668" t="s">
        <v>425</v>
      </c>
      <c r="H5" s="669" t="s">
        <v>29</v>
      </c>
      <c r="I5" s="670"/>
      <c r="J5" s="671"/>
      <c r="K5" s="667" t="s">
        <v>30</v>
      </c>
      <c r="L5" s="675" t="s">
        <v>216</v>
      </c>
      <c r="M5" s="669" t="s">
        <v>31</v>
      </c>
      <c r="N5" s="670"/>
      <c r="O5" s="670"/>
      <c r="P5" s="671"/>
      <c r="Q5" s="675" t="s">
        <v>32</v>
      </c>
      <c r="R5" s="669" t="s">
        <v>62</v>
      </c>
      <c r="S5" s="670"/>
      <c r="T5" s="671"/>
      <c r="U5" s="675" t="s">
        <v>63</v>
      </c>
      <c r="V5" s="675" t="s">
        <v>64</v>
      </c>
      <c r="W5" s="312"/>
      <c r="X5" s="525"/>
    </row>
    <row r="6" spans="1:24" s="2" customFormat="1" ht="33.75" customHeight="1">
      <c r="A6" s="656"/>
      <c r="B6" s="657"/>
      <c r="C6" s="277"/>
      <c r="D6" s="667"/>
      <c r="E6" s="667"/>
      <c r="F6" s="667"/>
      <c r="G6" s="668"/>
      <c r="H6" s="672"/>
      <c r="I6" s="673"/>
      <c r="J6" s="674"/>
      <c r="K6" s="667"/>
      <c r="L6" s="676"/>
      <c r="M6" s="672"/>
      <c r="N6" s="673"/>
      <c r="O6" s="673"/>
      <c r="P6" s="674"/>
      <c r="Q6" s="676"/>
      <c r="R6" s="672"/>
      <c r="S6" s="673"/>
      <c r="T6" s="674"/>
      <c r="U6" s="676"/>
      <c r="V6" s="676"/>
      <c r="W6" s="312"/>
      <c r="X6" s="525"/>
    </row>
    <row r="7" spans="1:24" s="2" customFormat="1" ht="25.5" customHeight="1">
      <c r="A7" s="656"/>
      <c r="B7" s="657"/>
      <c r="C7" s="277"/>
      <c r="D7" s="667" t="s">
        <v>33</v>
      </c>
      <c r="E7" s="677" t="s">
        <v>34</v>
      </c>
      <c r="F7" s="668" t="s">
        <v>35</v>
      </c>
      <c r="G7" s="668" t="s">
        <v>36</v>
      </c>
      <c r="H7" s="668" t="s">
        <v>37</v>
      </c>
      <c r="I7" s="675" t="s">
        <v>38</v>
      </c>
      <c r="J7" s="675" t="s">
        <v>39</v>
      </c>
      <c r="K7" s="667" t="s">
        <v>40</v>
      </c>
      <c r="L7" s="524" t="s">
        <v>217</v>
      </c>
      <c r="M7" s="679" t="s">
        <v>37</v>
      </c>
      <c r="N7" s="667" t="s">
        <v>41</v>
      </c>
      <c r="O7" s="675" t="s">
        <v>219</v>
      </c>
      <c r="P7" s="675" t="s">
        <v>42</v>
      </c>
      <c r="Q7" s="675" t="s">
        <v>43</v>
      </c>
      <c r="R7" s="667" t="s">
        <v>410</v>
      </c>
      <c r="S7" s="668" t="s">
        <v>66</v>
      </c>
      <c r="T7" s="677" t="s">
        <v>433</v>
      </c>
      <c r="U7" s="667" t="s">
        <v>67</v>
      </c>
      <c r="V7" s="667" t="s">
        <v>68</v>
      </c>
      <c r="W7" s="312"/>
      <c r="X7" s="525"/>
    </row>
    <row r="8" spans="1:24" s="2" customFormat="1" ht="26.25" customHeight="1">
      <c r="A8" s="658"/>
      <c r="B8" s="659"/>
      <c r="C8" s="278"/>
      <c r="D8" s="667"/>
      <c r="E8" s="678"/>
      <c r="F8" s="668"/>
      <c r="G8" s="668"/>
      <c r="H8" s="668"/>
      <c r="I8" s="676"/>
      <c r="J8" s="676"/>
      <c r="K8" s="667"/>
      <c r="L8" s="526" t="s">
        <v>218</v>
      </c>
      <c r="M8" s="679"/>
      <c r="N8" s="667"/>
      <c r="O8" s="676"/>
      <c r="P8" s="676"/>
      <c r="Q8" s="676"/>
      <c r="R8" s="667"/>
      <c r="S8" s="668"/>
      <c r="T8" s="678"/>
      <c r="U8" s="667"/>
      <c r="V8" s="667"/>
      <c r="W8" s="313"/>
      <c r="X8" s="1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12914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523700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199200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/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228" t="s">
        <v>81</v>
      </c>
      <c r="C19" s="285">
        <f>344150-20000</f>
        <v>324150</v>
      </c>
      <c r="D19" s="131"/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198" t="s">
        <v>424</v>
      </c>
      <c r="C20" s="290">
        <v>70650</v>
      </c>
      <c r="D20" s="131"/>
      <c r="E20" s="267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SUM(C10:C20)</f>
        <v>10137432</v>
      </c>
      <c r="D21" s="40">
        <f>SUM(D10:D20)</f>
        <v>738454</v>
      </c>
      <c r="E21" s="35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738454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1283280-10000-14000-48300</f>
        <v>1210980</v>
      </c>
      <c r="D27" s="131"/>
      <c r="E27" s="267">
        <v>95220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2345220</v>
      </c>
      <c r="D28" s="132">
        <f>SUM(D23:D27)</f>
        <v>0</v>
      </c>
      <c r="E28" s="268">
        <f>SUM(E23:E27)</f>
        <v>189740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189740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3188820+1300000+884640+1648500-100000-22000-19000-60000-184500-25100-50000-100000-20000-50000-64500-70650-40000-53200-40000-15000</f>
        <v>6108010</v>
      </c>
      <c r="D30" s="133"/>
      <c r="E30" s="269">
        <v>218140</v>
      </c>
      <c r="F30" s="269">
        <v>78150</v>
      </c>
      <c r="G30" s="269"/>
      <c r="H30" s="269">
        <v>74660</v>
      </c>
      <c r="I30" s="269"/>
      <c r="J30" s="269"/>
      <c r="K30" s="269"/>
      <c r="L30" s="269"/>
      <c r="M30" s="269">
        <v>99560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269">
        <v>0</v>
      </c>
      <c r="G31" s="269"/>
      <c r="H31" s="269">
        <v>157920</v>
      </c>
      <c r="I31" s="269"/>
      <c r="J31" s="269"/>
      <c r="K31" s="269"/>
      <c r="L31" s="269"/>
      <c r="M31" s="269"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269">
        <v>0</v>
      </c>
      <c r="G32" s="269"/>
      <c r="H32" s="269">
        <v>0</v>
      </c>
      <c r="I32" s="269"/>
      <c r="J32" s="269"/>
      <c r="K32" s="269"/>
      <c r="L32" s="269"/>
      <c r="M32" s="269"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v>11000</v>
      </c>
      <c r="F33" s="269">
        <v>0</v>
      </c>
      <c r="G33" s="269"/>
      <c r="H33" s="269">
        <v>3500</v>
      </c>
      <c r="I33" s="269"/>
      <c r="J33" s="269"/>
      <c r="K33" s="269"/>
      <c r="L33" s="269"/>
      <c r="M33" s="269">
        <v>3500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787000+589000+559480+350880+100000+184500+153000-9400</f>
        <v>2714460</v>
      </c>
      <c r="D34" s="131"/>
      <c r="E34" s="269">
        <v>85330</v>
      </c>
      <c r="F34" s="269">
        <v>46630</v>
      </c>
      <c r="G34" s="269"/>
      <c r="H34" s="269">
        <v>64910</v>
      </c>
      <c r="I34" s="269"/>
      <c r="J34" s="269"/>
      <c r="K34" s="269"/>
      <c r="L34" s="269"/>
      <c r="M34" s="269">
        <v>29240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v>0</v>
      </c>
      <c r="F35" s="269">
        <v>0</v>
      </c>
      <c r="G35" s="269"/>
      <c r="H35" s="269">
        <v>20970</v>
      </c>
      <c r="I35" s="269"/>
      <c r="J35" s="269"/>
      <c r="K35" s="269"/>
      <c r="L35" s="269"/>
      <c r="M35" s="269"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76000+72000+84000+22000+25100+11000-5700</f>
        <v>284400</v>
      </c>
      <c r="D36" s="131"/>
      <c r="E36" s="269">
        <v>9160</v>
      </c>
      <c r="F36" s="269">
        <v>4570</v>
      </c>
      <c r="G36" s="269"/>
      <c r="H36" s="269">
        <v>8500</v>
      </c>
      <c r="I36" s="269"/>
      <c r="J36" s="269"/>
      <c r="K36" s="269"/>
      <c r="L36" s="269"/>
      <c r="M36" s="269">
        <v>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v>0</v>
      </c>
      <c r="F37" s="269">
        <v>0</v>
      </c>
      <c r="G37" s="269"/>
      <c r="H37" s="269">
        <v>1830</v>
      </c>
      <c r="I37" s="269"/>
      <c r="J37" s="269"/>
      <c r="K37" s="269"/>
      <c r="L37" s="269"/>
      <c r="M37" s="269"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ht="25.5" customHeight="1">
      <c r="A38" s="9"/>
      <c r="B38" s="6"/>
      <c r="C38" s="499"/>
      <c r="D38" s="195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315"/>
    </row>
    <row r="39" spans="1:23" ht="25.5" customHeight="1" thickBot="1">
      <c r="A39" s="46"/>
      <c r="B39" s="47" t="s">
        <v>5</v>
      </c>
      <c r="C39" s="289">
        <f>SUM(C30:C37)</f>
        <v>11534650</v>
      </c>
      <c r="D39" s="255">
        <f>SUM(D30:D37)</f>
        <v>0</v>
      </c>
      <c r="E39" s="254">
        <f>SUM(E30:E37)</f>
        <v>324070</v>
      </c>
      <c r="F39" s="254">
        <f>SUM(F30:F37)</f>
        <v>129350</v>
      </c>
      <c r="G39" s="254">
        <f t="shared" ref="G39:V39" si="2">SUM(G30:G37)</f>
        <v>0</v>
      </c>
      <c r="H39" s="254">
        <f>SUM(H30:H37)</f>
        <v>332290</v>
      </c>
      <c r="I39" s="255">
        <f t="shared" si="2"/>
        <v>0</v>
      </c>
      <c r="J39" s="255">
        <f t="shared" si="2"/>
        <v>0</v>
      </c>
      <c r="K39" s="255">
        <f t="shared" si="2"/>
        <v>0</v>
      </c>
      <c r="L39" s="255">
        <f t="shared" si="2"/>
        <v>0</v>
      </c>
      <c r="M39" s="254">
        <f>SUM(M30:M37)</f>
        <v>132300</v>
      </c>
      <c r="N39" s="255">
        <f t="shared" si="2"/>
        <v>0</v>
      </c>
      <c r="O39" s="255">
        <f t="shared" si="2"/>
        <v>0</v>
      </c>
      <c r="P39" s="255">
        <f t="shared" si="2"/>
        <v>0</v>
      </c>
      <c r="Q39" s="255">
        <f t="shared" si="2"/>
        <v>0</v>
      </c>
      <c r="R39" s="255">
        <f t="shared" si="2"/>
        <v>0</v>
      </c>
      <c r="S39" s="255">
        <f t="shared" si="2"/>
        <v>0</v>
      </c>
      <c r="T39" s="255"/>
      <c r="U39" s="255">
        <f t="shared" si="2"/>
        <v>0</v>
      </c>
      <c r="V39" s="255">
        <f t="shared" si="2"/>
        <v>0</v>
      </c>
      <c r="W39" s="316">
        <f>SUM(D39:V39)</f>
        <v>918010</v>
      </c>
    </row>
    <row r="40" spans="1:23" ht="25.5" customHeight="1" thickTop="1">
      <c r="A40" s="5" t="s">
        <v>98</v>
      </c>
      <c r="B40" s="6"/>
      <c r="C40" s="190"/>
      <c r="D40" s="133"/>
      <c r="E40" s="269"/>
      <c r="F40" s="136"/>
      <c r="G40" s="136"/>
      <c r="H40" s="136"/>
      <c r="I40" s="133"/>
      <c r="J40" s="133"/>
      <c r="K40" s="133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7"/>
    </row>
    <row r="41" spans="1:23" ht="25.5" customHeight="1">
      <c r="A41" s="9"/>
      <c r="B41" s="130" t="s">
        <v>93</v>
      </c>
      <c r="C41" s="216">
        <v>5000</v>
      </c>
      <c r="D41" s="133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315"/>
    </row>
    <row r="42" spans="1:23" ht="25.5" customHeight="1">
      <c r="A42" s="9"/>
      <c r="B42" s="130" t="s">
        <v>205</v>
      </c>
      <c r="C42" s="285">
        <v>10000</v>
      </c>
      <c r="D42" s="131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315"/>
    </row>
    <row r="43" spans="1:23" ht="25.5" customHeight="1">
      <c r="A43" s="9"/>
      <c r="B43" s="130" t="s">
        <v>94</v>
      </c>
      <c r="C43" s="285">
        <f>10000-10000</f>
        <v>0</v>
      </c>
      <c r="D43" s="131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311"/>
    </row>
    <row r="44" spans="1:23" ht="25.5" customHeight="1">
      <c r="A44" s="9"/>
      <c r="B44" s="130" t="s">
        <v>95</v>
      </c>
      <c r="C44" s="192">
        <v>5000</v>
      </c>
      <c r="D44" s="131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</row>
    <row r="45" spans="1:23" ht="25.5" customHeight="1">
      <c r="A45" s="9"/>
      <c r="B45" s="130" t="s">
        <v>96</v>
      </c>
      <c r="C45" s="192">
        <v>5000</v>
      </c>
      <c r="D45" s="131"/>
      <c r="E45" s="269">
        <v>1980</v>
      </c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</row>
    <row r="46" spans="1:23" ht="25.5" customHeight="1">
      <c r="A46" s="9"/>
      <c r="B46" s="130" t="s">
        <v>10</v>
      </c>
      <c r="C46" s="216">
        <f>144000+36000+78000+78000-15500</f>
        <v>320500</v>
      </c>
      <c r="D46" s="133"/>
      <c r="E46" s="269">
        <v>10000</v>
      </c>
      <c r="F46" s="269">
        <v>3000</v>
      </c>
      <c r="G46" s="269"/>
      <c r="H46" s="269">
        <v>6500</v>
      </c>
      <c r="I46" s="269"/>
      <c r="J46" s="269"/>
      <c r="K46" s="269"/>
      <c r="L46" s="269"/>
      <c r="M46" s="269">
        <v>6500</v>
      </c>
      <c r="N46" s="269"/>
      <c r="O46" s="269"/>
      <c r="P46" s="269"/>
      <c r="Q46" s="269"/>
      <c r="R46" s="269"/>
      <c r="S46" s="269"/>
      <c r="T46" s="269"/>
      <c r="U46" s="269"/>
      <c r="V46" s="269"/>
    </row>
    <row r="47" spans="1:23" ht="25.5" customHeight="1">
      <c r="A47" s="9"/>
      <c r="B47" s="130" t="s">
        <v>9</v>
      </c>
      <c r="C47" s="216">
        <f>25000+10000+30000+20000</f>
        <v>85000</v>
      </c>
      <c r="D47" s="131"/>
      <c r="E47" s="269">
        <v>2100</v>
      </c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</row>
    <row r="48" spans="1:23" ht="25.5" customHeight="1">
      <c r="A48" s="197"/>
      <c r="B48" s="198" t="s">
        <v>241</v>
      </c>
      <c r="C48" s="286">
        <v>44200</v>
      </c>
      <c r="D48" s="131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</row>
    <row r="49" spans="1:24" ht="25.5" customHeight="1" thickBot="1">
      <c r="A49" s="46"/>
      <c r="B49" s="47" t="s">
        <v>5</v>
      </c>
      <c r="C49" s="289">
        <f>SUM(C41:C48)</f>
        <v>474700</v>
      </c>
      <c r="D49" s="255">
        <f>SUM(D41:D48)</f>
        <v>0</v>
      </c>
      <c r="E49" s="254">
        <f>SUM(E41:E48)</f>
        <v>14080</v>
      </c>
      <c r="F49" s="254">
        <f>SUM(F41:F48)</f>
        <v>3000</v>
      </c>
      <c r="G49" s="254">
        <f t="shared" ref="G49:V49" si="3">SUM(G41:G48)</f>
        <v>0</v>
      </c>
      <c r="H49" s="254">
        <f>SUM(H41:H48)</f>
        <v>6500</v>
      </c>
      <c r="I49" s="255">
        <f t="shared" si="3"/>
        <v>0</v>
      </c>
      <c r="J49" s="255">
        <f t="shared" si="3"/>
        <v>0</v>
      </c>
      <c r="K49" s="255">
        <f t="shared" si="3"/>
        <v>0</v>
      </c>
      <c r="L49" s="255">
        <f t="shared" si="3"/>
        <v>0</v>
      </c>
      <c r="M49" s="254">
        <f>SUM(M41:M48)</f>
        <v>6500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30080</v>
      </c>
    </row>
    <row r="50" spans="1:24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3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4" s="310" customFormat="1" ht="25.5" customHeight="1">
      <c r="A51" s="5"/>
      <c r="B51" s="130" t="s">
        <v>100</v>
      </c>
      <c r="C51" s="281">
        <f>15000+7000+20000+15000</f>
        <v>57000</v>
      </c>
      <c r="D51" s="133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X51" s="221"/>
    </row>
    <row r="52" spans="1:24" s="310" customFormat="1" ht="25.5" customHeight="1">
      <c r="A52" s="5"/>
      <c r="B52" s="130" t="s">
        <v>226</v>
      </c>
      <c r="C52" s="281">
        <f>1044000+124000+384000+296000-47000+10000+156000+65000+50000+64500-15000+20000+48300+53200+5700+9400+10000+15500+10000+6400</f>
        <v>2310000</v>
      </c>
      <c r="D52" s="133"/>
      <c r="E52" s="269">
        <v>128000</v>
      </c>
      <c r="F52" s="269">
        <v>7000</v>
      </c>
      <c r="G52" s="269"/>
      <c r="H52" s="269">
        <v>55000</v>
      </c>
      <c r="I52" s="269"/>
      <c r="J52" s="269"/>
      <c r="K52" s="269"/>
      <c r="L52" s="269"/>
      <c r="M52" s="269">
        <v>37500</v>
      </c>
      <c r="N52" s="269"/>
      <c r="O52" s="269"/>
      <c r="P52" s="269"/>
      <c r="Q52" s="269"/>
      <c r="R52" s="269"/>
      <c r="S52" s="269"/>
      <c r="T52" s="269"/>
      <c r="U52" s="269"/>
      <c r="V52" s="269"/>
      <c r="X52" s="221"/>
    </row>
    <row r="53" spans="1:24" s="310" customFormat="1" ht="25.5" customHeight="1">
      <c r="A53" s="5"/>
      <c r="B53" s="130" t="s">
        <v>223</v>
      </c>
      <c r="C53" s="281">
        <v>200000</v>
      </c>
      <c r="D53" s="133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X53" s="221"/>
    </row>
    <row r="54" spans="1:24" s="310" customFormat="1" ht="25.5" customHeight="1">
      <c r="A54" s="5"/>
      <c r="B54" s="130" t="s">
        <v>224</v>
      </c>
      <c r="C54" s="281">
        <v>20000</v>
      </c>
      <c r="D54" s="133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X54" s="221"/>
    </row>
    <row r="55" spans="1:24" s="310" customFormat="1" ht="25.5" customHeight="1">
      <c r="A55" s="5"/>
      <c r="B55" s="130" t="s">
        <v>225</v>
      </c>
      <c r="C55" s="281">
        <f>10000+14000</f>
        <v>24000</v>
      </c>
      <c r="D55" s="133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X55" s="221"/>
    </row>
    <row r="56" spans="1:24" s="310" customFormat="1" ht="25.5" customHeight="1">
      <c r="A56" s="5"/>
      <c r="B56" s="130" t="s">
        <v>227</v>
      </c>
      <c r="C56" s="281">
        <v>40000</v>
      </c>
      <c r="D56" s="133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X56" s="221"/>
    </row>
    <row r="57" spans="1:24" s="310" customFormat="1" ht="25.5" customHeight="1">
      <c r="A57" s="5"/>
      <c r="B57" s="130" t="s">
        <v>228</v>
      </c>
      <c r="C57" s="281">
        <v>9000</v>
      </c>
      <c r="D57" s="133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X57" s="221"/>
    </row>
    <row r="58" spans="1:24" s="310" customFormat="1" ht="25.5" customHeight="1">
      <c r="A58" s="5"/>
      <c r="B58" s="130" t="s">
        <v>11</v>
      </c>
      <c r="C58" s="281">
        <f>10000+60000+20000</f>
        <v>90000</v>
      </c>
      <c r="D58" s="133"/>
      <c r="E58" s="269">
        <v>7035</v>
      </c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X58" s="221"/>
    </row>
    <row r="59" spans="1:24" s="310" customFormat="1" ht="25.5" customHeight="1">
      <c r="A59" s="5"/>
      <c r="B59" s="130" t="s">
        <v>229</v>
      </c>
      <c r="C59" s="281">
        <v>10000</v>
      </c>
      <c r="D59" s="133"/>
      <c r="E59" s="269">
        <v>5105</v>
      </c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X59" s="221"/>
    </row>
    <row r="60" spans="1:24" s="310" customFormat="1" ht="25.5" customHeight="1">
      <c r="A60" s="5"/>
      <c r="B60" s="130" t="s">
        <v>230</v>
      </c>
      <c r="C60" s="281">
        <v>20000</v>
      </c>
      <c r="D60" s="133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X60" s="221"/>
    </row>
    <row r="61" spans="1:24" s="310" customFormat="1" ht="25.5" customHeight="1">
      <c r="A61" s="9"/>
      <c r="B61" s="130" t="s">
        <v>50</v>
      </c>
      <c r="C61" s="280">
        <f>10000-10000</f>
        <v>0</v>
      </c>
      <c r="D61" s="133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X61" s="221"/>
    </row>
    <row r="62" spans="1:24" s="310" customFormat="1" ht="25.5" customHeight="1">
      <c r="A62" s="9"/>
      <c r="B62" s="130" t="s">
        <v>103</v>
      </c>
      <c r="C62" s="280">
        <v>10000</v>
      </c>
      <c r="D62" s="131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X62" s="221"/>
    </row>
    <row r="63" spans="1:24" s="310" customFormat="1" ht="25.5" customHeight="1">
      <c r="A63" s="9"/>
      <c r="B63" s="187" t="s">
        <v>106</v>
      </c>
      <c r="C63" s="283">
        <f>200000+30000+30000+80000+19000+1000+10000+2500+2500+2500+2500+20000+15000+5000</f>
        <v>420000</v>
      </c>
      <c r="D63" s="131"/>
      <c r="E63" s="269"/>
      <c r="F63" s="269">
        <v>4204</v>
      </c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  <c r="X63" s="221"/>
    </row>
    <row r="64" spans="1:24" s="310" customFormat="1" ht="25.5" customHeight="1">
      <c r="A64" s="9"/>
      <c r="B64" s="187" t="s">
        <v>231</v>
      </c>
      <c r="C64" s="283">
        <f>5000+8900</f>
        <v>13900</v>
      </c>
      <c r="D64" s="131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X64" s="221"/>
    </row>
    <row r="65" spans="1:24" s="310" customFormat="1" ht="25.5" customHeight="1">
      <c r="A65" s="9"/>
      <c r="B65" s="187" t="s">
        <v>204</v>
      </c>
      <c r="C65" s="283">
        <v>5000</v>
      </c>
      <c r="D65" s="131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X65" s="221"/>
    </row>
    <row r="66" spans="1:24" s="310" customFormat="1" ht="25.5" customHeight="1">
      <c r="A66" s="9"/>
      <c r="B66" s="187" t="s">
        <v>232</v>
      </c>
      <c r="C66" s="283">
        <f>120000+100000-6400</f>
        <v>213600</v>
      </c>
      <c r="D66" s="131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X66" s="221"/>
    </row>
    <row r="67" spans="1:24" s="310" customFormat="1" ht="25.5" customHeight="1">
      <c r="A67" s="9"/>
      <c r="B67" s="187" t="s">
        <v>233</v>
      </c>
      <c r="C67" s="283">
        <f>125000-8900-16100</f>
        <v>100000</v>
      </c>
      <c r="D67" s="131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X67" s="221"/>
    </row>
    <row r="68" spans="1:24" s="310" customFormat="1" ht="25.5" customHeight="1">
      <c r="A68" s="9"/>
      <c r="B68" s="187" t="s">
        <v>234</v>
      </c>
      <c r="C68" s="283">
        <v>5000</v>
      </c>
      <c r="D68" s="131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X68" s="221"/>
    </row>
    <row r="69" spans="1:24" s="310" customFormat="1" ht="25.5" customHeight="1">
      <c r="A69" s="9"/>
      <c r="B69" s="187" t="s">
        <v>235</v>
      </c>
      <c r="C69" s="283">
        <v>90000</v>
      </c>
      <c r="D69" s="131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X69" s="221"/>
    </row>
    <row r="70" spans="1:24" s="310" customFormat="1" ht="25.5" customHeight="1">
      <c r="A70" s="9"/>
      <c r="B70" s="187" t="s">
        <v>236</v>
      </c>
      <c r="C70" s="283">
        <v>5000</v>
      </c>
      <c r="D70" s="131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X70" s="221"/>
    </row>
    <row r="71" spans="1:24" s="310" customFormat="1" ht="25.5" customHeight="1">
      <c r="A71" s="9"/>
      <c r="B71" s="187" t="s">
        <v>237</v>
      </c>
      <c r="C71" s="283">
        <v>5000</v>
      </c>
      <c r="D71" s="131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X71" s="221"/>
    </row>
    <row r="72" spans="1:24" s="310" customFormat="1" ht="25.5" customHeight="1">
      <c r="A72" s="165"/>
      <c r="B72" s="226" t="s">
        <v>277</v>
      </c>
      <c r="C72" s="279">
        <v>5000</v>
      </c>
      <c r="D72" s="131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X72" s="221"/>
    </row>
    <row r="73" spans="1:24" s="310" customFormat="1" ht="25.5" customHeight="1">
      <c r="A73" s="165"/>
      <c r="B73" s="226" t="s">
        <v>107</v>
      </c>
      <c r="C73" s="279">
        <v>10000</v>
      </c>
      <c r="D73" s="131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X73" s="221"/>
    </row>
    <row r="74" spans="1:24" s="310" customFormat="1" ht="25.5" customHeight="1">
      <c r="A74" s="9"/>
      <c r="B74" s="226" t="s">
        <v>278</v>
      </c>
      <c r="C74" s="279">
        <v>10000</v>
      </c>
      <c r="D74" s="195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X74" s="221"/>
    </row>
    <row r="75" spans="1:24" s="310" customFormat="1" ht="25.5" customHeight="1">
      <c r="A75" s="165"/>
      <c r="B75" s="226" t="s">
        <v>279</v>
      </c>
      <c r="C75" s="279">
        <v>10000</v>
      </c>
      <c r="D75" s="195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X75" s="221"/>
    </row>
    <row r="76" spans="1:24" s="310" customFormat="1" ht="25.5" customHeight="1">
      <c r="A76" s="9"/>
      <c r="B76" s="226" t="s">
        <v>280</v>
      </c>
      <c r="C76" s="279">
        <v>10000</v>
      </c>
      <c r="D76" s="195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X76" s="221"/>
    </row>
    <row r="77" spans="1:24" s="310" customFormat="1" ht="25.5" customHeight="1">
      <c r="A77" s="9"/>
      <c r="B77" s="226" t="s">
        <v>281</v>
      </c>
      <c r="C77" s="279">
        <v>5000</v>
      </c>
      <c r="D77" s="195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X77" s="221"/>
    </row>
    <row r="78" spans="1:24" s="310" customFormat="1" ht="25.5" customHeight="1">
      <c r="A78" s="9"/>
      <c r="B78" s="226" t="s">
        <v>282</v>
      </c>
      <c r="C78" s="279">
        <v>5000</v>
      </c>
      <c r="D78" s="195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X78" s="221"/>
    </row>
    <row r="79" spans="1:24" s="310" customFormat="1" ht="25.5" customHeight="1">
      <c r="A79" s="9"/>
      <c r="B79" s="226" t="s">
        <v>238</v>
      </c>
      <c r="C79" s="279">
        <f>70000+40000+10000+20000+30000+10000+10000</f>
        <v>190000</v>
      </c>
      <c r="D79" s="195"/>
      <c r="E79" s="269"/>
      <c r="F79" s="269">
        <v>800</v>
      </c>
      <c r="G79" s="269"/>
      <c r="H79" s="269"/>
      <c r="I79" s="269"/>
      <c r="J79" s="269"/>
      <c r="K79" s="269"/>
      <c r="L79" s="269"/>
      <c r="M79" s="269">
        <v>1440</v>
      </c>
      <c r="N79" s="269"/>
      <c r="O79" s="269"/>
      <c r="P79" s="269"/>
      <c r="Q79" s="269"/>
      <c r="R79" s="269"/>
      <c r="S79" s="269"/>
      <c r="T79" s="269"/>
      <c r="U79" s="269"/>
      <c r="V79" s="269"/>
      <c r="X79" s="221"/>
    </row>
    <row r="80" spans="1:24" s="310" customFormat="1" ht="25.5" customHeight="1">
      <c r="A80" s="9"/>
      <c r="B80" s="226" t="s">
        <v>121</v>
      </c>
      <c r="C80" s="279">
        <f>100000+47000+3000-140000+40000</f>
        <v>50000</v>
      </c>
      <c r="D80" s="195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X80" s="221"/>
    </row>
    <row r="81" spans="1:24" s="310" customFormat="1" ht="25.5" customHeight="1">
      <c r="A81" s="9"/>
      <c r="B81" s="226" t="s">
        <v>295</v>
      </c>
      <c r="C81" s="279">
        <f>40000+50000</f>
        <v>90000</v>
      </c>
      <c r="D81" s="195"/>
      <c r="E81" s="269"/>
      <c r="F81" s="269"/>
      <c r="G81" s="269">
        <v>21000</v>
      </c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X81" s="221"/>
    </row>
    <row r="82" spans="1:24" s="310" customFormat="1" ht="25.5" customHeight="1">
      <c r="A82" s="9"/>
      <c r="B82" s="226" t="s">
        <v>296</v>
      </c>
      <c r="C82" s="279">
        <v>30000</v>
      </c>
      <c r="D82" s="195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X82" s="221"/>
    </row>
    <row r="83" spans="1:24" s="310" customFormat="1" ht="25.5" customHeight="1">
      <c r="A83" s="9"/>
      <c r="B83" s="226" t="s">
        <v>210</v>
      </c>
      <c r="C83" s="279">
        <v>10000</v>
      </c>
      <c r="D83" s="195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X83" s="221"/>
    </row>
    <row r="84" spans="1:24" s="310" customFormat="1" ht="25.5" customHeight="1">
      <c r="A84" s="9"/>
      <c r="B84" s="187" t="s">
        <v>297</v>
      </c>
      <c r="C84" s="279">
        <v>20000</v>
      </c>
      <c r="D84" s="195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X84" s="221"/>
    </row>
    <row r="85" spans="1:24" s="310" customFormat="1" ht="25.5" customHeight="1">
      <c r="A85" s="9"/>
      <c r="B85" s="187" t="s">
        <v>298</v>
      </c>
      <c r="C85" s="279">
        <v>20000</v>
      </c>
      <c r="D85" s="195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X85" s="221"/>
    </row>
    <row r="86" spans="1:24" s="310" customFormat="1" ht="25.5" customHeight="1">
      <c r="A86" s="9"/>
      <c r="B86" s="187" t="s">
        <v>299</v>
      </c>
      <c r="C86" s="279">
        <v>15000</v>
      </c>
      <c r="D86" s="195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X86" s="221"/>
    </row>
    <row r="87" spans="1:24" s="310" customFormat="1" ht="25.5" customHeight="1">
      <c r="A87" s="9"/>
      <c r="B87" s="187" t="s">
        <v>300</v>
      </c>
      <c r="C87" s="279">
        <v>10000</v>
      </c>
      <c r="D87" s="19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X87" s="221"/>
    </row>
    <row r="88" spans="1:24" s="310" customFormat="1" ht="25.5" customHeight="1">
      <c r="A88" s="9"/>
      <c r="B88" s="187" t="s">
        <v>301</v>
      </c>
      <c r="C88" s="279">
        <v>345100</v>
      </c>
      <c r="D88" s="195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X88" s="221"/>
    </row>
    <row r="89" spans="1:24" s="310" customFormat="1" ht="25.5" customHeight="1">
      <c r="A89" s="9"/>
      <c r="B89" s="187" t="s">
        <v>242</v>
      </c>
      <c r="C89" s="279">
        <v>40000</v>
      </c>
      <c r="D89" s="195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X89" s="221"/>
    </row>
    <row r="90" spans="1:24" s="310" customFormat="1" ht="25.5" customHeight="1">
      <c r="A90" s="9"/>
      <c r="B90" s="187" t="s">
        <v>307</v>
      </c>
      <c r="C90" s="279">
        <f>10000-10000</f>
        <v>0</v>
      </c>
      <c r="D90" s="131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X90" s="221"/>
    </row>
    <row r="91" spans="1:24" s="310" customFormat="1" ht="25.5" customHeight="1">
      <c r="A91" s="9"/>
      <c r="B91" s="187" t="s">
        <v>134</v>
      </c>
      <c r="C91" s="279">
        <f>15000-10000</f>
        <v>5000</v>
      </c>
      <c r="D91" s="195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X91" s="221"/>
    </row>
    <row r="92" spans="1:24" s="310" customFormat="1" ht="25.5" customHeight="1">
      <c r="A92" s="9"/>
      <c r="B92" s="187" t="s">
        <v>308</v>
      </c>
      <c r="C92" s="279">
        <f>2500-2500</f>
        <v>0</v>
      </c>
      <c r="D92" s="195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X92" s="221"/>
    </row>
    <row r="93" spans="1:24" s="310" customFormat="1" ht="25.5" customHeight="1">
      <c r="A93" s="9"/>
      <c r="B93" s="187" t="s">
        <v>309</v>
      </c>
      <c r="C93" s="279">
        <f>2500-2500</f>
        <v>0</v>
      </c>
      <c r="D93" s="195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X93" s="221"/>
    </row>
    <row r="94" spans="1:24" s="310" customFormat="1" ht="25.5" customHeight="1">
      <c r="A94" s="9"/>
      <c r="B94" s="187" t="s">
        <v>310</v>
      </c>
      <c r="C94" s="279">
        <f>2500-2500</f>
        <v>0</v>
      </c>
      <c r="D94" s="195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X94" s="221"/>
    </row>
    <row r="95" spans="1:24" s="310" customFormat="1" ht="25.5" customHeight="1">
      <c r="A95" s="9"/>
      <c r="B95" s="187" t="s">
        <v>311</v>
      </c>
      <c r="C95" s="279">
        <f>2500-2500</f>
        <v>0</v>
      </c>
      <c r="D95" s="195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X95" s="221"/>
    </row>
    <row r="96" spans="1:24" s="310" customFormat="1" ht="25.5" customHeight="1">
      <c r="A96" s="9"/>
      <c r="B96" s="187" t="s">
        <v>243</v>
      </c>
      <c r="C96" s="279">
        <v>2000</v>
      </c>
      <c r="D96" s="195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X96" s="221"/>
    </row>
    <row r="97" spans="1:24" s="310" customFormat="1" ht="25.5" customHeight="1">
      <c r="A97" s="9"/>
      <c r="B97" s="187" t="s">
        <v>248</v>
      </c>
      <c r="C97" s="279">
        <v>2000</v>
      </c>
      <c r="D97" s="195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X97" s="221"/>
    </row>
    <row r="98" spans="1:24" s="310" customFormat="1" ht="25.5" customHeight="1">
      <c r="A98" s="9"/>
      <c r="B98" s="187" t="s">
        <v>244</v>
      </c>
      <c r="C98" s="279">
        <v>2000</v>
      </c>
      <c r="D98" s="195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X98" s="221"/>
    </row>
    <row r="99" spans="1:24" s="310" customFormat="1" ht="25.5" customHeight="1">
      <c r="A99" s="9"/>
      <c r="B99" s="187" t="s">
        <v>245</v>
      </c>
      <c r="C99" s="279">
        <v>2000</v>
      </c>
      <c r="D99" s="195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X99" s="221"/>
    </row>
    <row r="100" spans="1:24" s="310" customFormat="1" ht="25.5" customHeight="1">
      <c r="A100" s="9"/>
      <c r="B100" s="187" t="s">
        <v>246</v>
      </c>
      <c r="C100" s="279">
        <v>2000</v>
      </c>
      <c r="D100" s="195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X100" s="221"/>
    </row>
    <row r="101" spans="1:24" s="310" customFormat="1" ht="25.5" customHeight="1">
      <c r="A101" s="9"/>
      <c r="B101" s="187" t="s">
        <v>247</v>
      </c>
      <c r="C101" s="279">
        <v>2000</v>
      </c>
      <c r="D101" s="195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X101" s="221"/>
    </row>
    <row r="102" spans="1:24" s="310" customFormat="1" ht="25.5" customHeight="1">
      <c r="A102" s="9"/>
      <c r="B102" s="187" t="s">
        <v>249</v>
      </c>
      <c r="C102" s="279">
        <v>2000</v>
      </c>
      <c r="D102" s="195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X102" s="221"/>
    </row>
    <row r="103" spans="1:24" s="310" customFormat="1" ht="25.5" customHeight="1">
      <c r="A103" s="9"/>
      <c r="B103" s="187" t="s">
        <v>250</v>
      </c>
      <c r="C103" s="279">
        <v>2000</v>
      </c>
      <c r="D103" s="195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X103" s="221"/>
    </row>
    <row r="104" spans="1:24" s="310" customFormat="1" ht="25.5" customHeight="1">
      <c r="A104" s="9"/>
      <c r="B104" s="187" t="s">
        <v>251</v>
      </c>
      <c r="C104" s="279">
        <v>2000</v>
      </c>
      <c r="D104" s="195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X104" s="221"/>
    </row>
    <row r="105" spans="1:24" s="310" customFormat="1" ht="25.5" customHeight="1">
      <c r="A105" s="9"/>
      <c r="B105" s="187" t="s">
        <v>252</v>
      </c>
      <c r="C105" s="279">
        <v>2000</v>
      </c>
      <c r="D105" s="195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X105" s="221"/>
    </row>
    <row r="106" spans="1:24" s="310" customFormat="1" ht="25.5" customHeight="1">
      <c r="A106" s="9"/>
      <c r="B106" s="187" t="s">
        <v>253</v>
      </c>
      <c r="C106" s="279">
        <v>2000</v>
      </c>
      <c r="D106" s="195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X106" s="221"/>
    </row>
    <row r="107" spans="1:24" s="310" customFormat="1" ht="25.5" customHeight="1">
      <c r="A107" s="9"/>
      <c r="B107" s="187" t="s">
        <v>254</v>
      </c>
      <c r="C107" s="279">
        <v>2000</v>
      </c>
      <c r="D107" s="195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X107" s="221"/>
    </row>
    <row r="108" spans="1:24" s="310" customFormat="1" ht="25.5" customHeight="1">
      <c r="A108" s="9"/>
      <c r="B108" s="187" t="s">
        <v>312</v>
      </c>
      <c r="C108" s="279">
        <v>2500</v>
      </c>
      <c r="D108" s="195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X108" s="221"/>
    </row>
    <row r="109" spans="1:24" s="310" customFormat="1" ht="25.5" customHeight="1">
      <c r="A109" s="9"/>
      <c r="B109" s="187" t="s">
        <v>313</v>
      </c>
      <c r="C109" s="279">
        <v>2500</v>
      </c>
      <c r="D109" s="131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X109" s="221"/>
    </row>
    <row r="110" spans="1:24" s="310" customFormat="1" ht="25.5" customHeight="1">
      <c r="A110" s="9"/>
      <c r="B110" s="187" t="s">
        <v>314</v>
      </c>
      <c r="C110" s="279">
        <v>2500</v>
      </c>
      <c r="D110" s="195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X110" s="221"/>
    </row>
    <row r="111" spans="1:24" s="310" customFormat="1" ht="25.5" customHeight="1">
      <c r="A111" s="9"/>
      <c r="B111" s="187" t="s">
        <v>255</v>
      </c>
      <c r="C111" s="279">
        <v>4000</v>
      </c>
      <c r="D111" s="195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X111" s="221"/>
    </row>
    <row r="112" spans="1:24" s="310" customFormat="1" ht="25.5" customHeight="1">
      <c r="A112" s="9"/>
      <c r="B112" s="187" t="s">
        <v>256</v>
      </c>
      <c r="C112" s="279">
        <v>2500</v>
      </c>
      <c r="D112" s="195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X112" s="221"/>
    </row>
    <row r="113" spans="1:24" s="310" customFormat="1" ht="25.5" customHeight="1">
      <c r="A113" s="9"/>
      <c r="B113" s="187" t="s">
        <v>257</v>
      </c>
      <c r="C113" s="279">
        <v>2500</v>
      </c>
      <c r="D113" s="195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X113" s="221"/>
    </row>
    <row r="114" spans="1:24" s="310" customFormat="1" ht="25.5" customHeight="1">
      <c r="A114" s="9"/>
      <c r="B114" s="187" t="s">
        <v>258</v>
      </c>
      <c r="C114" s="279">
        <v>2500</v>
      </c>
      <c r="D114" s="195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X114" s="221"/>
    </row>
    <row r="115" spans="1:24" s="310" customFormat="1" ht="25.5" customHeight="1">
      <c r="A115" s="9"/>
      <c r="B115" s="187" t="s">
        <v>259</v>
      </c>
      <c r="C115" s="279">
        <v>1000</v>
      </c>
      <c r="D115" s="195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X115" s="221"/>
    </row>
    <row r="116" spans="1:24" s="310" customFormat="1" ht="25.5" customHeight="1">
      <c r="A116" s="9"/>
      <c r="B116" s="187" t="s">
        <v>260</v>
      </c>
      <c r="C116" s="279">
        <v>1000</v>
      </c>
      <c r="D116" s="195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X116" s="221"/>
    </row>
    <row r="117" spans="1:24" s="310" customFormat="1" ht="25.5" customHeight="1">
      <c r="A117" s="9"/>
      <c r="B117" s="187" t="s">
        <v>261</v>
      </c>
      <c r="C117" s="279">
        <v>1000</v>
      </c>
      <c r="D117" s="195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X117" s="221"/>
    </row>
    <row r="118" spans="1:24" s="310" customFormat="1" ht="25.5" customHeight="1">
      <c r="A118" s="9"/>
      <c r="B118" s="187" t="s">
        <v>262</v>
      </c>
      <c r="C118" s="279">
        <v>1000</v>
      </c>
      <c r="D118" s="195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X118" s="221"/>
    </row>
    <row r="119" spans="1:24" s="310" customFormat="1" ht="25.5" customHeight="1">
      <c r="A119" s="9"/>
      <c r="B119" s="187" t="s">
        <v>211</v>
      </c>
      <c r="C119" s="279">
        <v>392000</v>
      </c>
      <c r="D119" s="195"/>
      <c r="E119" s="269"/>
      <c r="F119" s="269"/>
      <c r="G119" s="269"/>
      <c r="H119" s="269"/>
      <c r="I119" s="269">
        <v>81600</v>
      </c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X119" s="221"/>
    </row>
    <row r="120" spans="1:24" s="310" customFormat="1" ht="25.5" customHeight="1">
      <c r="A120" s="9"/>
      <c r="B120" s="187" t="s">
        <v>263</v>
      </c>
      <c r="C120" s="279">
        <v>200900</v>
      </c>
      <c r="D120" s="195"/>
      <c r="E120" s="269"/>
      <c r="F120" s="269"/>
      <c r="G120" s="269"/>
      <c r="H120" s="269"/>
      <c r="I120" s="269">
        <v>49200</v>
      </c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X120" s="221"/>
    </row>
    <row r="121" spans="1:24" s="310" customFormat="1" ht="25.5" customHeight="1">
      <c r="A121" s="9"/>
      <c r="B121" s="187" t="s">
        <v>315</v>
      </c>
      <c r="C121" s="279">
        <v>230300</v>
      </c>
      <c r="D121" s="195"/>
      <c r="E121" s="269"/>
      <c r="F121" s="269"/>
      <c r="G121" s="269"/>
      <c r="H121" s="269"/>
      <c r="I121" s="269">
        <v>60000</v>
      </c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X121" s="221"/>
    </row>
    <row r="122" spans="1:24" s="310" customFormat="1" ht="25.5" customHeight="1">
      <c r="A122" s="9"/>
      <c r="B122" s="187" t="s">
        <v>212</v>
      </c>
      <c r="C122" s="279">
        <v>171500</v>
      </c>
      <c r="D122" s="195"/>
      <c r="E122" s="269"/>
      <c r="F122" s="269"/>
      <c r="G122" s="269"/>
      <c r="H122" s="269"/>
      <c r="I122" s="269">
        <v>36000</v>
      </c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X122" s="221"/>
    </row>
    <row r="123" spans="1:24" s="310" customFormat="1" ht="25.5" customHeight="1">
      <c r="A123" s="9"/>
      <c r="B123" s="187" t="s">
        <v>140</v>
      </c>
      <c r="C123" s="279">
        <v>50000</v>
      </c>
      <c r="D123" s="195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X123" s="221"/>
    </row>
    <row r="124" spans="1:24" s="310" customFormat="1" ht="25.5" customHeight="1">
      <c r="A124" s="9"/>
      <c r="B124" s="187" t="s">
        <v>206</v>
      </c>
      <c r="C124" s="279">
        <v>20000</v>
      </c>
      <c r="D124" s="195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X124" s="221"/>
    </row>
    <row r="125" spans="1:24" s="310" customFormat="1" ht="25.5" customHeight="1">
      <c r="A125" s="9"/>
      <c r="B125" s="187" t="s">
        <v>326</v>
      </c>
      <c r="C125" s="279">
        <v>5000</v>
      </c>
      <c r="D125" s="195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X125" s="221"/>
    </row>
    <row r="126" spans="1:24" s="310" customFormat="1" ht="25.5" customHeight="1">
      <c r="A126" s="9"/>
      <c r="B126" s="187" t="s">
        <v>327</v>
      </c>
      <c r="C126" s="279">
        <v>5000</v>
      </c>
      <c r="D126" s="195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X126" s="221"/>
    </row>
    <row r="127" spans="1:24" s="310" customFormat="1" ht="25.5" customHeight="1">
      <c r="A127" s="9"/>
      <c r="B127" s="187" t="s">
        <v>142</v>
      </c>
      <c r="C127" s="279">
        <v>20000</v>
      </c>
      <c r="D127" s="195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X127" s="221"/>
    </row>
    <row r="128" spans="1:24" s="310" customFormat="1" ht="25.5" customHeight="1">
      <c r="A128" s="9"/>
      <c r="B128" s="226" t="s">
        <v>328</v>
      </c>
      <c r="C128" s="279">
        <v>10000</v>
      </c>
      <c r="D128" s="195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X128" s="221"/>
    </row>
    <row r="129" spans="1:24" s="310" customFormat="1" ht="25.5" customHeight="1">
      <c r="A129" s="9"/>
      <c r="B129" s="226" t="s">
        <v>329</v>
      </c>
      <c r="C129" s="279">
        <v>10000</v>
      </c>
      <c r="D129" s="131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X129" s="221"/>
    </row>
    <row r="130" spans="1:24" s="310" customFormat="1" ht="25.5" customHeight="1">
      <c r="A130" s="9"/>
      <c r="B130" s="226" t="s">
        <v>330</v>
      </c>
      <c r="C130" s="279">
        <v>10000</v>
      </c>
      <c r="D130" s="195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X130" s="221"/>
    </row>
    <row r="131" spans="1:24" s="310" customFormat="1" ht="25.5" customHeight="1">
      <c r="A131" s="9"/>
      <c r="B131" s="226" t="s">
        <v>331</v>
      </c>
      <c r="C131" s="279">
        <f>10000-10000</f>
        <v>0</v>
      </c>
      <c r="D131" s="195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X131" s="221"/>
    </row>
    <row r="132" spans="1:24" s="310" customFormat="1" ht="25.5" customHeight="1">
      <c r="A132" s="9"/>
      <c r="B132" s="226" t="s">
        <v>333</v>
      </c>
      <c r="C132" s="279">
        <v>15000</v>
      </c>
      <c r="D132" s="195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X132" s="221"/>
    </row>
    <row r="133" spans="1:24" s="310" customFormat="1" ht="25.5" customHeight="1">
      <c r="A133" s="9"/>
      <c r="B133" s="226" t="s">
        <v>157</v>
      </c>
      <c r="C133" s="279">
        <f>10000+8000</f>
        <v>18000</v>
      </c>
      <c r="D133" s="195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X133" s="221"/>
    </row>
    <row r="134" spans="1:24" s="310" customFormat="1" ht="25.5" customHeight="1">
      <c r="A134" s="9"/>
      <c r="B134" s="226" t="s">
        <v>158</v>
      </c>
      <c r="C134" s="279">
        <f>10000-8000</f>
        <v>2000</v>
      </c>
      <c r="D134" s="195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X134" s="221"/>
    </row>
    <row r="135" spans="1:24" s="310" customFormat="1" ht="25.5" customHeight="1">
      <c r="A135" s="9"/>
      <c r="B135" s="226" t="s">
        <v>352</v>
      </c>
      <c r="C135" s="279">
        <f>10000+10000-20000</f>
        <v>0</v>
      </c>
      <c r="D135" s="195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X135" s="221"/>
    </row>
    <row r="136" spans="1:24" s="310" customFormat="1" ht="25.5" customHeight="1">
      <c r="A136" s="9"/>
      <c r="B136" s="226" t="s">
        <v>213</v>
      </c>
      <c r="C136" s="279">
        <v>15000</v>
      </c>
      <c r="D136" s="195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X136" s="221"/>
    </row>
    <row r="137" spans="1:24" s="310" customFormat="1" ht="25.5" customHeight="1">
      <c r="A137" s="9"/>
      <c r="B137" s="226" t="s">
        <v>265</v>
      </c>
      <c r="C137" s="279">
        <f>20000-20000</f>
        <v>0</v>
      </c>
      <c r="D137" s="195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X137" s="221"/>
    </row>
    <row r="138" spans="1:24" s="310" customFormat="1" ht="25.5" customHeight="1">
      <c r="A138" s="9"/>
      <c r="B138" s="226" t="s">
        <v>353</v>
      </c>
      <c r="C138" s="279">
        <v>5000</v>
      </c>
      <c r="D138" s="195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X138" s="221"/>
    </row>
    <row r="139" spans="1:24" s="310" customFormat="1" ht="25.5" customHeight="1">
      <c r="A139" s="9"/>
      <c r="B139" s="226" t="s">
        <v>354</v>
      </c>
      <c r="C139" s="279">
        <v>10000</v>
      </c>
      <c r="D139" s="195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X139" s="221"/>
    </row>
    <row r="140" spans="1:24" s="310" customFormat="1" ht="25.5" customHeight="1">
      <c r="A140" s="9"/>
      <c r="B140" s="187" t="s">
        <v>355</v>
      </c>
      <c r="C140" s="279">
        <v>20000</v>
      </c>
      <c r="D140" s="195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X140" s="221"/>
    </row>
    <row r="141" spans="1:24" s="310" customFormat="1" ht="25.5" customHeight="1">
      <c r="A141" s="9"/>
      <c r="B141" s="187" t="s">
        <v>356</v>
      </c>
      <c r="C141" s="279">
        <v>20000</v>
      </c>
      <c r="D141" s="195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X141" s="221"/>
    </row>
    <row r="142" spans="1:24" s="310" customFormat="1" ht="25.5" customHeight="1">
      <c r="A142" s="9"/>
      <c r="B142" s="187" t="s">
        <v>357</v>
      </c>
      <c r="C142" s="279">
        <v>10000</v>
      </c>
      <c r="D142" s="195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X142" s="221"/>
    </row>
    <row r="143" spans="1:24" s="310" customFormat="1" ht="25.5" customHeight="1">
      <c r="A143" s="9"/>
      <c r="B143" s="187" t="s">
        <v>358</v>
      </c>
      <c r="C143" s="279">
        <v>10000</v>
      </c>
      <c r="D143" s="195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X143" s="221"/>
    </row>
    <row r="144" spans="1:24" s="310" customFormat="1" ht="25.5" customHeight="1">
      <c r="A144" s="9"/>
      <c r="B144" s="187" t="s">
        <v>359</v>
      </c>
      <c r="C144" s="279">
        <v>5000</v>
      </c>
      <c r="D144" s="195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X144" s="221"/>
    </row>
    <row r="145" spans="1:24" s="310" customFormat="1" ht="25.5" customHeight="1">
      <c r="A145" s="9"/>
      <c r="B145" s="187" t="s">
        <v>360</v>
      </c>
      <c r="C145" s="279">
        <v>5000</v>
      </c>
      <c r="D145" s="195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X145" s="221"/>
    </row>
    <row r="146" spans="1:24" s="310" customFormat="1" ht="25.5" customHeight="1">
      <c r="A146" s="9"/>
      <c r="B146" s="187" t="s">
        <v>361</v>
      </c>
      <c r="C146" s="279">
        <v>5000</v>
      </c>
      <c r="D146" s="195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X146" s="221"/>
    </row>
    <row r="147" spans="1:24" s="310" customFormat="1" ht="25.5" customHeight="1">
      <c r="A147" s="9"/>
      <c r="B147" s="187" t="s">
        <v>362</v>
      </c>
      <c r="C147" s="279">
        <v>5000</v>
      </c>
      <c r="D147" s="195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X147" s="221"/>
    </row>
    <row r="148" spans="1:24" s="310" customFormat="1" ht="25.5" customHeight="1">
      <c r="A148" s="9"/>
      <c r="B148" s="187" t="s">
        <v>363</v>
      </c>
      <c r="C148" s="279">
        <v>5000</v>
      </c>
      <c r="D148" s="131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X148" s="221"/>
    </row>
    <row r="149" spans="1:24" s="310" customFormat="1" ht="25.5" customHeight="1">
      <c r="A149" s="9"/>
      <c r="B149" s="187" t="s">
        <v>364</v>
      </c>
      <c r="C149" s="279">
        <v>5000</v>
      </c>
      <c r="D149" s="131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X149" s="221"/>
    </row>
    <row r="150" spans="1:24" s="310" customFormat="1" ht="25.5" customHeight="1">
      <c r="A150" s="9"/>
      <c r="B150" s="187" t="s">
        <v>365</v>
      </c>
      <c r="C150" s="279">
        <v>5000</v>
      </c>
      <c r="D150" s="131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X150" s="221"/>
    </row>
    <row r="151" spans="1:24" s="310" customFormat="1" ht="25.5" customHeight="1">
      <c r="A151" s="9"/>
      <c r="B151" s="187" t="s">
        <v>366</v>
      </c>
      <c r="C151" s="279">
        <v>5000</v>
      </c>
      <c r="D151" s="131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X151" s="221"/>
    </row>
    <row r="152" spans="1:24" s="310" customFormat="1" ht="25.5" customHeight="1">
      <c r="A152" s="9"/>
      <c r="B152" s="187" t="s">
        <v>367</v>
      </c>
      <c r="C152" s="279">
        <v>5000</v>
      </c>
      <c r="D152" s="131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X152" s="221"/>
    </row>
    <row r="153" spans="1:24" s="310" customFormat="1" ht="25.5" customHeight="1">
      <c r="A153" s="9"/>
      <c r="B153" s="187" t="s">
        <v>368</v>
      </c>
      <c r="C153" s="279">
        <v>5000</v>
      </c>
      <c r="D153" s="131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X153" s="221"/>
    </row>
    <row r="154" spans="1:24" s="310" customFormat="1" ht="25.5" customHeight="1">
      <c r="A154" s="9"/>
      <c r="B154" s="187" t="s">
        <v>369</v>
      </c>
      <c r="C154" s="279">
        <f>10000-10000</f>
        <v>0</v>
      </c>
      <c r="D154" s="131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X154" s="221"/>
    </row>
    <row r="155" spans="1:24" s="310" customFormat="1" ht="25.5" customHeight="1">
      <c r="A155" s="9"/>
      <c r="B155" s="187" t="s">
        <v>370</v>
      </c>
      <c r="C155" s="279">
        <v>10000</v>
      </c>
      <c r="D155" s="131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X155" s="221"/>
    </row>
    <row r="156" spans="1:24" s="310" customFormat="1" ht="25.5" customHeight="1">
      <c r="A156" s="9"/>
      <c r="B156" s="187" t="s">
        <v>163</v>
      </c>
      <c r="C156" s="279">
        <f>350000-156000-153000-11000-10000-20000</f>
        <v>0</v>
      </c>
      <c r="D156" s="131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X156" s="221"/>
    </row>
    <row r="157" spans="1:24" s="310" customFormat="1" ht="25.5" customHeight="1">
      <c r="A157" s="9"/>
      <c r="B157" s="187" t="s">
        <v>214</v>
      </c>
      <c r="C157" s="279">
        <v>25000</v>
      </c>
      <c r="D157" s="131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X157" s="221"/>
    </row>
    <row r="158" spans="1:24" s="310" customFormat="1" ht="25.5" customHeight="1">
      <c r="A158" s="9"/>
      <c r="B158" s="187" t="s">
        <v>167</v>
      </c>
      <c r="C158" s="279">
        <f>30000-30000</f>
        <v>0</v>
      </c>
      <c r="D158" s="131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X158" s="221"/>
    </row>
    <row r="159" spans="1:24" s="310" customFormat="1" ht="25.5" customHeight="1">
      <c r="A159" s="9"/>
      <c r="B159" s="187" t="s">
        <v>371</v>
      </c>
      <c r="C159" s="279">
        <v>30000</v>
      </c>
      <c r="D159" s="131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X159" s="221"/>
    </row>
    <row r="160" spans="1:24" s="310" customFormat="1" ht="25.5" customHeight="1">
      <c r="A160" s="9"/>
      <c r="B160" s="187" t="s">
        <v>170</v>
      </c>
      <c r="C160" s="279">
        <v>40000</v>
      </c>
      <c r="D160" s="131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X160" s="221"/>
    </row>
    <row r="161" spans="1:24" s="310" customFormat="1" ht="25.5" customHeight="1">
      <c r="A161" s="9"/>
      <c r="B161" s="187" t="s">
        <v>266</v>
      </c>
      <c r="C161" s="279">
        <v>15000</v>
      </c>
      <c r="D161" s="131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>
        <v>14984</v>
      </c>
      <c r="T161" s="269"/>
      <c r="U161" s="269"/>
      <c r="V161" s="269"/>
      <c r="X161" s="221"/>
    </row>
    <row r="162" spans="1:24" s="310" customFormat="1" ht="25.5" customHeight="1">
      <c r="A162" s="9"/>
      <c r="B162" s="187" t="s">
        <v>372</v>
      </c>
      <c r="C162" s="279">
        <v>65000</v>
      </c>
      <c r="D162" s="131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X162" s="221"/>
    </row>
    <row r="163" spans="1:24" ht="25.5" customHeight="1">
      <c r="A163" s="9"/>
      <c r="B163" s="187" t="s">
        <v>373</v>
      </c>
      <c r="C163" s="279">
        <f>65000-65000</f>
        <v>0</v>
      </c>
      <c r="D163" s="131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</row>
    <row r="164" spans="1:24" ht="25.5" customHeight="1">
      <c r="A164" s="9"/>
      <c r="B164" s="187" t="s">
        <v>374</v>
      </c>
      <c r="C164" s="279">
        <v>20000</v>
      </c>
      <c r="D164" s="131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</row>
    <row r="165" spans="1:24" ht="25.5" customHeight="1">
      <c r="A165" s="9"/>
      <c r="B165" s="187" t="s">
        <v>375</v>
      </c>
      <c r="C165" s="279">
        <v>20000</v>
      </c>
      <c r="D165" s="131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</row>
    <row r="166" spans="1:24" ht="25.5" customHeight="1">
      <c r="A166" s="9"/>
      <c r="B166" s="187" t="s">
        <v>376</v>
      </c>
      <c r="C166" s="279">
        <v>25000</v>
      </c>
      <c r="D166" s="131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</row>
    <row r="167" spans="1:24" ht="25.5" customHeight="1">
      <c r="A167" s="9"/>
      <c r="B167" s="187" t="s">
        <v>377</v>
      </c>
      <c r="C167" s="279">
        <v>20000</v>
      </c>
      <c r="D167" s="131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</row>
    <row r="168" spans="1:24" ht="25.5" customHeight="1">
      <c r="A168" s="9"/>
      <c r="B168" s="187" t="s">
        <v>267</v>
      </c>
      <c r="C168" s="279">
        <v>15000</v>
      </c>
      <c r="D168" s="131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</row>
    <row r="169" spans="1:24" ht="25.5" customHeight="1">
      <c r="A169" s="9"/>
      <c r="B169" s="187" t="s">
        <v>215</v>
      </c>
      <c r="C169" s="279">
        <v>10000</v>
      </c>
      <c r="D169" s="131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>
        <v>10000</v>
      </c>
      <c r="W169" s="528"/>
    </row>
    <row r="170" spans="1:24" ht="25.5" customHeight="1">
      <c r="A170" s="9"/>
      <c r="B170" s="187" t="s">
        <v>268</v>
      </c>
      <c r="C170" s="279">
        <v>5000</v>
      </c>
      <c r="D170" s="131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</row>
    <row r="171" spans="1:24" ht="25.5" customHeight="1">
      <c r="A171" s="9"/>
      <c r="B171" s="187" t="s">
        <v>413</v>
      </c>
      <c r="C171" s="279">
        <v>140000</v>
      </c>
      <c r="D171" s="131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321"/>
    </row>
    <row r="172" spans="1:24" ht="25.5" customHeight="1">
      <c r="A172" s="9"/>
      <c r="B172" s="187" t="s">
        <v>414</v>
      </c>
      <c r="C172" s="279">
        <v>40000</v>
      </c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</row>
    <row r="173" spans="1:24" ht="25.5" customHeight="1">
      <c r="A173" s="9"/>
      <c r="B173" s="187" t="s">
        <v>415</v>
      </c>
      <c r="C173" s="279">
        <v>20000</v>
      </c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321"/>
    </row>
    <row r="174" spans="1:24" ht="25.5" customHeight="1">
      <c r="A174" s="9"/>
      <c r="B174" s="187" t="s">
        <v>330</v>
      </c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4" ht="25.5" customHeight="1">
      <c r="A175" s="9"/>
      <c r="B175" s="187"/>
      <c r="C175" s="279"/>
      <c r="D175" s="131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</row>
    <row r="176" spans="1:24" ht="25.5" customHeight="1" thickBot="1">
      <c r="A176" s="15"/>
      <c r="B176" s="14" t="s">
        <v>5</v>
      </c>
      <c r="C176" s="170">
        <f>SUM(C51:C175)</f>
        <v>6374300</v>
      </c>
      <c r="D176" s="255">
        <f t="shared" ref="D176:V176" si="4">SUM(D51:D175)</f>
        <v>0</v>
      </c>
      <c r="E176" s="254">
        <f>SUM(E51:E175)</f>
        <v>140140</v>
      </c>
      <c r="F176" s="254">
        <f>SUM(F51:F175)</f>
        <v>12004</v>
      </c>
      <c r="G176" s="254">
        <f t="shared" si="4"/>
        <v>21000</v>
      </c>
      <c r="H176" s="254">
        <f>SUM(H51:H175)</f>
        <v>55000</v>
      </c>
      <c r="I176" s="255">
        <f>SUM(I51:I175)</f>
        <v>226800</v>
      </c>
      <c r="J176" s="255">
        <f t="shared" si="4"/>
        <v>0</v>
      </c>
      <c r="K176" s="255">
        <f t="shared" si="4"/>
        <v>0</v>
      </c>
      <c r="L176" s="255">
        <f t="shared" si="4"/>
        <v>0</v>
      </c>
      <c r="M176" s="254">
        <f>SUM(M51:M175)</f>
        <v>38940</v>
      </c>
      <c r="N176" s="255">
        <f t="shared" si="4"/>
        <v>0</v>
      </c>
      <c r="O176" s="255">
        <f t="shared" si="4"/>
        <v>0</v>
      </c>
      <c r="P176" s="255">
        <f>SUM(P51:P175)</f>
        <v>0</v>
      </c>
      <c r="Q176" s="255">
        <f t="shared" si="4"/>
        <v>0</v>
      </c>
      <c r="R176" s="255">
        <f t="shared" si="4"/>
        <v>0</v>
      </c>
      <c r="S176" s="255">
        <f t="shared" si="4"/>
        <v>14984</v>
      </c>
      <c r="T176" s="255">
        <f>SUM(T164:T175)</f>
        <v>0</v>
      </c>
      <c r="U176" s="255">
        <f t="shared" si="4"/>
        <v>0</v>
      </c>
      <c r="V176" s="255">
        <f t="shared" si="4"/>
        <v>10000</v>
      </c>
      <c r="W176" s="314">
        <f>SUM(D176:V176)</f>
        <v>518868</v>
      </c>
    </row>
    <row r="177" spans="1:24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3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4" ht="25.5" customHeight="1">
      <c r="A178" s="9"/>
      <c r="B178" s="130" t="s">
        <v>111</v>
      </c>
      <c r="C178" s="216">
        <f>50000+25000+5000+25000+10000+10000-8000</f>
        <v>117000</v>
      </c>
      <c r="D178" s="131"/>
      <c r="E178" s="267">
        <v>16500</v>
      </c>
      <c r="F178" s="267"/>
      <c r="G178" s="267"/>
      <c r="H178" s="267"/>
      <c r="I178" s="267"/>
      <c r="J178" s="267"/>
      <c r="K178" s="267"/>
      <c r="L178" s="267"/>
      <c r="M178" s="267">
        <v>10609</v>
      </c>
      <c r="N178" s="267"/>
      <c r="O178" s="267"/>
      <c r="P178" s="267"/>
      <c r="Q178" s="267"/>
      <c r="R178" s="267"/>
      <c r="S178" s="267"/>
      <c r="T178" s="267"/>
      <c r="U178" s="267"/>
      <c r="V178" s="267"/>
    </row>
    <row r="179" spans="1:24" s="67" customFormat="1" ht="25.5" customHeight="1">
      <c r="A179" s="9"/>
      <c r="B179" s="130" t="s">
        <v>302</v>
      </c>
      <c r="C179" s="216">
        <v>10000</v>
      </c>
      <c r="D179" s="131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312"/>
      <c r="X179" s="525"/>
    </row>
    <row r="180" spans="1:24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/>
      <c r="F180" s="267"/>
      <c r="G180" s="267"/>
      <c r="H180" s="267">
        <v>1406</v>
      </c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312"/>
      <c r="X180" s="525"/>
    </row>
    <row r="181" spans="1:24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312"/>
      <c r="X181" s="525"/>
    </row>
    <row r="182" spans="1:24" ht="25.5" customHeight="1">
      <c r="A182" s="9"/>
      <c r="B182" s="130" t="s">
        <v>17</v>
      </c>
      <c r="C182" s="216">
        <f>15000+25000+20000-10000+8000-3000</f>
        <v>55000</v>
      </c>
      <c r="D182" s="133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</row>
    <row r="183" spans="1:24" ht="25.5" customHeight="1">
      <c r="A183" s="9"/>
      <c r="B183" s="130" t="s">
        <v>13</v>
      </c>
      <c r="C183" s="216">
        <v>15000</v>
      </c>
      <c r="D183" s="131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</row>
    <row r="184" spans="1:24" ht="25.5" customHeight="1">
      <c r="A184" s="9"/>
      <c r="B184" s="130" t="s">
        <v>14</v>
      </c>
      <c r="C184" s="216">
        <f>240000+5000+20000</f>
        <v>265000</v>
      </c>
      <c r="D184" s="133"/>
      <c r="E184" s="267">
        <v>24397.1</v>
      </c>
      <c r="F184" s="267">
        <v>63.8</v>
      </c>
      <c r="G184" s="267"/>
      <c r="H184" s="267"/>
      <c r="I184" s="267"/>
      <c r="J184" s="267"/>
      <c r="K184" s="267"/>
      <c r="L184" s="267"/>
      <c r="M184" s="267">
        <v>223.3</v>
      </c>
      <c r="N184" s="267"/>
      <c r="O184" s="267"/>
      <c r="P184" s="267"/>
      <c r="Q184" s="267"/>
      <c r="R184" s="267"/>
      <c r="S184" s="267"/>
      <c r="T184" s="267"/>
      <c r="U184" s="267"/>
      <c r="V184" s="267"/>
    </row>
    <row r="185" spans="1:24" ht="25.5" customHeight="1">
      <c r="A185" s="9"/>
      <c r="B185" s="130" t="s">
        <v>112</v>
      </c>
      <c r="C185" s="216">
        <f>5000+5000+5000-5000</f>
        <v>10000</v>
      </c>
      <c r="D185" s="133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</row>
    <row r="186" spans="1:24" ht="25.5" customHeight="1">
      <c r="A186" s="9"/>
      <c r="B186" s="130" t="s">
        <v>208</v>
      </c>
      <c r="C186" s="216">
        <v>5000</v>
      </c>
      <c r="D186" s="133"/>
      <c r="E186" s="267">
        <v>1920</v>
      </c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</row>
    <row r="187" spans="1:24" ht="25.5" customHeight="1">
      <c r="A187" s="9"/>
      <c r="B187" s="130" t="s">
        <v>15</v>
      </c>
      <c r="C187" s="216">
        <f>40000+15000+15000+40000+40000+15000</f>
        <v>165000</v>
      </c>
      <c r="D187" s="195"/>
      <c r="E187" s="267">
        <v>13652</v>
      </c>
      <c r="F187" s="267"/>
      <c r="G187" s="267"/>
      <c r="H187" s="267">
        <v>6930</v>
      </c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</row>
    <row r="188" spans="1:24" ht="25.5" customHeight="1">
      <c r="A188" s="9"/>
      <c r="B188" s="130" t="s">
        <v>303</v>
      </c>
      <c r="C188" s="216">
        <v>10000</v>
      </c>
      <c r="D188" s="195"/>
      <c r="E188" s="267"/>
      <c r="F188" s="267"/>
      <c r="G188" s="267"/>
      <c r="H188" s="267">
        <v>5810</v>
      </c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</row>
    <row r="189" spans="1:24" ht="25.5" customHeight="1">
      <c r="A189" s="9"/>
      <c r="B189" s="130" t="s">
        <v>304</v>
      </c>
      <c r="C189" s="216">
        <f>5000+20000</f>
        <v>25000</v>
      </c>
      <c r="D189" s="195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</row>
    <row r="190" spans="1:24" ht="25.5" customHeight="1">
      <c r="A190" s="9"/>
      <c r="B190" s="130" t="s">
        <v>332</v>
      </c>
      <c r="C190" s="216">
        <v>10000</v>
      </c>
      <c r="D190" s="195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</row>
    <row r="191" spans="1:24" ht="25.5" customHeight="1">
      <c r="A191" s="9"/>
      <c r="B191" s="130" t="s">
        <v>46</v>
      </c>
      <c r="C191" s="216">
        <v>80000</v>
      </c>
      <c r="D191" s="195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</row>
    <row r="192" spans="1:24" ht="25.5" customHeight="1">
      <c r="A192" s="9"/>
      <c r="B192" s="130" t="s">
        <v>316</v>
      </c>
      <c r="C192" s="216">
        <v>1216788</v>
      </c>
      <c r="D192" s="131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</row>
    <row r="193" spans="1:23" ht="25.5" customHeight="1">
      <c r="A193" s="9"/>
      <c r="B193" s="130" t="s">
        <v>317</v>
      </c>
      <c r="C193" s="290">
        <v>0</v>
      </c>
      <c r="D193" s="133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</row>
    <row r="194" spans="1:23" ht="25.5" customHeight="1">
      <c r="A194" s="9"/>
      <c r="B194" s="130" t="s">
        <v>318</v>
      </c>
      <c r="C194" s="216">
        <v>0</v>
      </c>
      <c r="D194" s="133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</row>
    <row r="195" spans="1:23" ht="25.5" customHeight="1">
      <c r="A195" s="9"/>
      <c r="B195" s="185" t="s">
        <v>319</v>
      </c>
      <c r="C195" s="216">
        <v>153296</v>
      </c>
      <c r="D195" s="133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</row>
    <row r="196" spans="1:23" ht="25.5" customHeight="1">
      <c r="A196" s="9"/>
      <c r="B196" s="185" t="s">
        <v>320</v>
      </c>
      <c r="C196" s="216">
        <v>78565</v>
      </c>
      <c r="D196" s="133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</row>
    <row r="197" spans="1:23" ht="25.5" customHeight="1">
      <c r="A197" s="9"/>
      <c r="B197" s="185" t="s">
        <v>321</v>
      </c>
      <c r="C197" s="216">
        <v>90062</v>
      </c>
      <c r="D197" s="133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</row>
    <row r="198" spans="1:23" ht="25.5" customHeight="1">
      <c r="A198" s="165"/>
      <c r="B198" s="185" t="s">
        <v>322</v>
      </c>
      <c r="C198" s="216">
        <v>67067</v>
      </c>
      <c r="D198" s="133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</row>
    <row r="199" spans="1:23" ht="25.5" customHeight="1">
      <c r="A199" s="9"/>
      <c r="B199" s="185"/>
      <c r="C199" s="216"/>
      <c r="D199" s="133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</row>
    <row r="200" spans="1:23" ht="25.5" customHeight="1">
      <c r="A200" s="9"/>
      <c r="B200" s="185"/>
      <c r="C200" s="216"/>
      <c r="D200" s="133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</row>
    <row r="201" spans="1:23" ht="25.5" customHeight="1">
      <c r="A201" s="9"/>
      <c r="B201" s="185"/>
      <c r="C201" s="216"/>
      <c r="D201" s="133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</row>
    <row r="202" spans="1:23" ht="25.5" customHeight="1">
      <c r="A202" s="9"/>
      <c r="B202" s="130"/>
      <c r="C202" s="216"/>
      <c r="D202" s="133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</row>
    <row r="203" spans="1:23" ht="25.5" customHeight="1">
      <c r="A203" s="197"/>
      <c r="B203" s="198"/>
      <c r="C203" s="216"/>
      <c r="D203" s="133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</row>
    <row r="204" spans="1:23" ht="25.5" customHeight="1" thickBot="1">
      <c r="A204" s="46"/>
      <c r="B204" s="47" t="s">
        <v>5</v>
      </c>
      <c r="C204" s="170">
        <f>SUM(C178:C203)</f>
        <v>2610778</v>
      </c>
      <c r="D204" s="255">
        <f>SUM(D178:D203)</f>
        <v>0</v>
      </c>
      <c r="E204" s="254">
        <f>SUM(E178:E203)</f>
        <v>56469.1</v>
      </c>
      <c r="F204" s="254">
        <f t="shared" ref="F204:V204" si="5">SUM(F178:F203)</f>
        <v>63.8</v>
      </c>
      <c r="G204" s="255">
        <f t="shared" si="5"/>
        <v>0</v>
      </c>
      <c r="H204" s="254">
        <f t="shared" si="5"/>
        <v>14146</v>
      </c>
      <c r="I204" s="255">
        <f t="shared" si="5"/>
        <v>0</v>
      </c>
      <c r="J204" s="255">
        <f t="shared" si="5"/>
        <v>0</v>
      </c>
      <c r="K204" s="255">
        <f t="shared" si="5"/>
        <v>0</v>
      </c>
      <c r="L204" s="255">
        <f t="shared" si="5"/>
        <v>0</v>
      </c>
      <c r="M204" s="254">
        <f t="shared" si="5"/>
        <v>10832.3</v>
      </c>
      <c r="N204" s="255">
        <f t="shared" si="5"/>
        <v>0</v>
      </c>
      <c r="O204" s="255">
        <f t="shared" si="5"/>
        <v>0</v>
      </c>
      <c r="P204" s="255">
        <f t="shared" si="5"/>
        <v>0</v>
      </c>
      <c r="Q204" s="255">
        <f t="shared" si="5"/>
        <v>0</v>
      </c>
      <c r="R204" s="255">
        <f t="shared" si="5"/>
        <v>0</v>
      </c>
      <c r="S204" s="255">
        <f t="shared" si="5"/>
        <v>0</v>
      </c>
      <c r="T204" s="255"/>
      <c r="U204" s="255">
        <f t="shared" si="5"/>
        <v>0</v>
      </c>
      <c r="V204" s="255">
        <f t="shared" si="5"/>
        <v>0</v>
      </c>
      <c r="W204" s="314">
        <f>SUM(D204:V204)</f>
        <v>81511.199999999997</v>
      </c>
    </row>
    <row r="205" spans="1:23" ht="25.5" customHeight="1" thickTop="1">
      <c r="A205" s="5" t="s">
        <v>114</v>
      </c>
      <c r="B205" s="6"/>
      <c r="C205" s="190"/>
      <c r="D205" s="133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>
        <f>+เม.ย.!U204+พ.ค.!U204+มิ.ย.!U204</f>
        <v>0</v>
      </c>
      <c r="V205" s="267">
        <f>+เม.ย.!V204+พ.ค.!V204+มิ.ย.!V204</f>
        <v>0</v>
      </c>
    </row>
    <row r="206" spans="1:23" ht="25.5" customHeight="1">
      <c r="A206" s="9"/>
      <c r="B206" s="130" t="s">
        <v>20</v>
      </c>
      <c r="C206" s="216">
        <f>240000+35000</f>
        <v>275000</v>
      </c>
      <c r="D206" s="261"/>
      <c r="E206" s="267">
        <v>22789.11</v>
      </c>
      <c r="F206" s="267"/>
      <c r="G206" s="267"/>
      <c r="H206" s="267">
        <v>2705.86</v>
      </c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>
        <f>+เม.ย.!U205+พ.ค.!U205+มิ.ย.!U205</f>
        <v>0</v>
      </c>
      <c r="V206" s="267">
        <f>+เม.ย.!V205+พ.ค.!V205+มิ.ย.!V205</f>
        <v>0</v>
      </c>
      <c r="W206" s="321"/>
    </row>
    <row r="207" spans="1:23" ht="25.5" customHeight="1">
      <c r="A207" s="9"/>
      <c r="B207" s="130" t="s">
        <v>283</v>
      </c>
      <c r="C207" s="216">
        <f>100000+12000</f>
        <v>112000</v>
      </c>
      <c r="D207" s="261"/>
      <c r="E207" s="267">
        <v>10840.44</v>
      </c>
      <c r="F207" s="267"/>
      <c r="G207" s="267"/>
      <c r="H207" s="267">
        <v>1000</v>
      </c>
      <c r="I207" s="267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>
        <f>+เม.ย.!U206+พ.ค.!U206+มิ.ย.!U206</f>
        <v>0</v>
      </c>
      <c r="V207" s="267">
        <f>+เม.ย.!V206+พ.ค.!V206+มิ.ย.!V206</f>
        <v>0</v>
      </c>
    </row>
    <row r="208" spans="1:23" ht="25.5" customHeight="1">
      <c r="A208" s="9"/>
      <c r="B208" s="130" t="s">
        <v>284</v>
      </c>
      <c r="C208" s="216">
        <f>15000+3000</f>
        <v>18000</v>
      </c>
      <c r="D208" s="131"/>
      <c r="E208" s="267">
        <v>132</v>
      </c>
      <c r="F208" s="267"/>
      <c r="G208" s="267"/>
      <c r="H208" s="267"/>
      <c r="I208" s="267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>
        <f>+เม.ย.!U207+พ.ค.!U207+มิ.ย.!U207</f>
        <v>0</v>
      </c>
      <c r="V208" s="267">
        <f>+เม.ย.!V207+พ.ค.!V207+มิ.ย.!V207</f>
        <v>0</v>
      </c>
    </row>
    <row r="209" spans="1:23" ht="25.5" customHeight="1">
      <c r="A209" s="9"/>
      <c r="B209" s="130" t="s">
        <v>285</v>
      </c>
      <c r="C209" s="216">
        <f>72000+32000+16100</f>
        <v>120100</v>
      </c>
      <c r="D209" s="131"/>
      <c r="E209" s="267">
        <v>5911.75</v>
      </c>
      <c r="F209" s="267"/>
      <c r="G209" s="267"/>
      <c r="H209" s="267">
        <v>2632.2</v>
      </c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>
        <f>+เม.ย.!U208+พ.ค.!U208+มิ.ย.!U208</f>
        <v>0</v>
      </c>
      <c r="V209" s="267">
        <f>+เม.ย.!V208+พ.ค.!V208+มิ.ย.!V208</f>
        <v>0</v>
      </c>
    </row>
    <row r="210" spans="1:23" ht="25.5" customHeight="1" thickBot="1">
      <c r="A210" s="15"/>
      <c r="B210" s="14" t="s">
        <v>5</v>
      </c>
      <c r="C210" s="170">
        <f>SUM(C206:C209)</f>
        <v>525100</v>
      </c>
      <c r="D210" s="132">
        <f>SUM(D206:D209)</f>
        <v>0</v>
      </c>
      <c r="E210" s="137">
        <f>SUM(E206:E209)</f>
        <v>39673.300000000003</v>
      </c>
      <c r="F210" s="137">
        <f t="shared" ref="F210:V210" si="6">SUM(F206:F209)</f>
        <v>0</v>
      </c>
      <c r="G210" s="132">
        <f t="shared" si="6"/>
        <v>0</v>
      </c>
      <c r="H210" s="137">
        <f>SUM(H206:H209)</f>
        <v>6338.0599999999995</v>
      </c>
      <c r="I210" s="132">
        <f t="shared" si="6"/>
        <v>0</v>
      </c>
      <c r="J210" s="132">
        <f t="shared" si="6"/>
        <v>0</v>
      </c>
      <c r="K210" s="132">
        <f t="shared" si="6"/>
        <v>0</v>
      </c>
      <c r="L210" s="132">
        <f t="shared" si="6"/>
        <v>0</v>
      </c>
      <c r="M210" s="137">
        <f t="shared" si="6"/>
        <v>0</v>
      </c>
      <c r="N210" s="132">
        <f t="shared" si="6"/>
        <v>0</v>
      </c>
      <c r="O210" s="132">
        <f t="shared" si="6"/>
        <v>0</v>
      </c>
      <c r="P210" s="132">
        <f t="shared" si="6"/>
        <v>0</v>
      </c>
      <c r="Q210" s="132">
        <f t="shared" si="6"/>
        <v>0</v>
      </c>
      <c r="R210" s="132">
        <f t="shared" si="6"/>
        <v>0</v>
      </c>
      <c r="S210" s="132">
        <f t="shared" si="6"/>
        <v>0</v>
      </c>
      <c r="T210" s="132"/>
      <c r="U210" s="132">
        <f t="shared" si="6"/>
        <v>0</v>
      </c>
      <c r="V210" s="132">
        <f t="shared" si="6"/>
        <v>0</v>
      </c>
      <c r="W210" s="318">
        <f>SUM(D210:V210)</f>
        <v>46011.360000000001</v>
      </c>
    </row>
    <row r="211" spans="1:23" ht="25.5" customHeight="1" thickTop="1">
      <c r="A211" s="3" t="s">
        <v>122</v>
      </c>
      <c r="B211" s="4"/>
      <c r="C211" s="287"/>
      <c r="D211" s="133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</row>
    <row r="212" spans="1:23" ht="25.5" customHeight="1">
      <c r="A212" s="169"/>
      <c r="B212" s="185" t="s">
        <v>323</v>
      </c>
      <c r="C212" s="190">
        <v>864000</v>
      </c>
      <c r="D212" s="131"/>
      <c r="E212" s="267"/>
      <c r="F212" s="267"/>
      <c r="G212" s="267"/>
      <c r="H212" s="267"/>
      <c r="I212" s="267">
        <v>224000</v>
      </c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</row>
    <row r="213" spans="1:23" ht="25.5" customHeight="1">
      <c r="A213" s="169"/>
      <c r="B213" s="185" t="s">
        <v>324</v>
      </c>
      <c r="C213" s="190">
        <v>1096000</v>
      </c>
      <c r="D213" s="131"/>
      <c r="E213" s="267"/>
      <c r="F213" s="267"/>
      <c r="G213" s="267"/>
      <c r="H213" s="267"/>
      <c r="I213" s="267">
        <v>276000</v>
      </c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</row>
    <row r="214" spans="1:23" ht="25.5" customHeight="1">
      <c r="A214" s="169"/>
      <c r="B214" s="185" t="s">
        <v>325</v>
      </c>
      <c r="C214" s="190">
        <v>580000</v>
      </c>
      <c r="D214" s="133"/>
      <c r="E214" s="267"/>
      <c r="F214" s="267"/>
      <c r="G214" s="267"/>
      <c r="H214" s="267"/>
      <c r="I214" s="267">
        <v>140000</v>
      </c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</row>
    <row r="215" spans="1:23" ht="25.5" customHeight="1">
      <c r="A215" s="169"/>
      <c r="B215" s="185" t="s">
        <v>351</v>
      </c>
      <c r="C215" s="190">
        <v>223000</v>
      </c>
      <c r="D215" s="133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3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</row>
    <row r="220" spans="1:23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1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</row>
    <row r="221" spans="1:23" ht="25.5" customHeight="1" thickBot="1">
      <c r="A221" s="15"/>
      <c r="B221" s="14" t="s">
        <v>5</v>
      </c>
      <c r="C221" s="170">
        <f>SUM(C212:C220)</f>
        <v>2763000</v>
      </c>
      <c r="D221" s="255">
        <f>SUM(D212:D220)</f>
        <v>0</v>
      </c>
      <c r="E221" s="254">
        <f t="shared" ref="E221:V221" si="7">SUM(E212:E220)</f>
        <v>0</v>
      </c>
      <c r="F221" s="254">
        <f t="shared" si="7"/>
        <v>0</v>
      </c>
      <c r="G221" s="254">
        <f t="shared" si="7"/>
        <v>0</v>
      </c>
      <c r="H221" s="254">
        <f t="shared" si="7"/>
        <v>0</v>
      </c>
      <c r="I221" s="255">
        <f>SUM(I212:I220)</f>
        <v>640000</v>
      </c>
      <c r="J221" s="255">
        <f t="shared" si="7"/>
        <v>0</v>
      </c>
      <c r="K221" s="255">
        <f t="shared" si="7"/>
        <v>0</v>
      </c>
      <c r="L221" s="255">
        <f t="shared" si="7"/>
        <v>0</v>
      </c>
      <c r="M221" s="254">
        <f t="shared" si="7"/>
        <v>0</v>
      </c>
      <c r="N221" s="255">
        <f t="shared" si="7"/>
        <v>0</v>
      </c>
      <c r="O221" s="255">
        <f t="shared" si="7"/>
        <v>0</v>
      </c>
      <c r="P221" s="255">
        <f t="shared" si="7"/>
        <v>0</v>
      </c>
      <c r="Q221" s="255">
        <f t="shared" si="7"/>
        <v>0</v>
      </c>
      <c r="R221" s="255">
        <f t="shared" si="7"/>
        <v>0</v>
      </c>
      <c r="S221" s="255">
        <f t="shared" si="7"/>
        <v>0</v>
      </c>
      <c r="T221" s="255"/>
      <c r="U221" s="255">
        <f t="shared" si="7"/>
        <v>0</v>
      </c>
      <c r="V221" s="255">
        <f t="shared" si="7"/>
        <v>0</v>
      </c>
      <c r="W221" s="314">
        <f>SUM(D221:V221)</f>
        <v>640000</v>
      </c>
    </row>
    <row r="222" spans="1:23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3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</row>
    <row r="223" spans="1:23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1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</row>
    <row r="224" spans="1:23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5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</row>
    <row r="225" spans="1:24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3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</row>
    <row r="226" spans="1:24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1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4" s="310" customFormat="1" ht="25.5" customHeight="1">
      <c r="A227" s="20"/>
      <c r="B227" s="186" t="s">
        <v>286</v>
      </c>
      <c r="C227" s="294">
        <v>10000</v>
      </c>
      <c r="D227" s="131"/>
      <c r="E227" s="267"/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X227" s="221"/>
    </row>
    <row r="228" spans="1:24" s="310" customFormat="1" ht="25.5" customHeight="1">
      <c r="A228" s="20"/>
      <c r="B228" s="186" t="s">
        <v>287</v>
      </c>
      <c r="C228" s="294">
        <v>4500</v>
      </c>
      <c r="D228" s="131"/>
      <c r="E228" s="267"/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X228" s="221"/>
    </row>
    <row r="229" spans="1:24" s="310" customFormat="1" ht="25.5" customHeight="1">
      <c r="A229" s="20"/>
      <c r="B229" s="186" t="s">
        <v>288</v>
      </c>
      <c r="C229" s="294">
        <v>3000</v>
      </c>
      <c r="D229" s="131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X229" s="221"/>
    </row>
    <row r="230" spans="1:24" s="310" customFormat="1" ht="25.5" customHeight="1">
      <c r="A230" s="20"/>
      <c r="B230" s="186" t="s">
        <v>289</v>
      </c>
      <c r="C230" s="294">
        <v>20000</v>
      </c>
      <c r="D230" s="131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X230" s="221"/>
    </row>
    <row r="231" spans="1:24" s="310" customFormat="1" ht="25.5" customHeight="1">
      <c r="A231" s="20"/>
      <c r="B231" s="186" t="s">
        <v>290</v>
      </c>
      <c r="C231" s="295">
        <f>5500+5500</f>
        <v>11000</v>
      </c>
      <c r="D231" s="131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X231" s="221"/>
    </row>
    <row r="232" spans="1:24" s="310" customFormat="1" ht="25.5" customHeight="1">
      <c r="A232" s="20"/>
      <c r="B232" s="186" t="s">
        <v>305</v>
      </c>
      <c r="C232" s="295">
        <v>16000</v>
      </c>
      <c r="D232" s="131"/>
      <c r="E232" s="267"/>
      <c r="F232" s="267"/>
      <c r="G232" s="267"/>
      <c r="H232" s="267">
        <v>16000</v>
      </c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X232" s="221"/>
    </row>
    <row r="233" spans="1:24" s="310" customFormat="1" ht="25.5" customHeight="1">
      <c r="A233" s="20"/>
      <c r="B233" s="186" t="s">
        <v>334</v>
      </c>
      <c r="C233" s="295">
        <v>4500</v>
      </c>
      <c r="D233" s="131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X233" s="221"/>
    </row>
    <row r="234" spans="1:24" s="310" customFormat="1" ht="25.5" customHeight="1">
      <c r="A234" s="20"/>
      <c r="B234" s="186" t="s">
        <v>335</v>
      </c>
      <c r="C234" s="295">
        <v>4500</v>
      </c>
      <c r="D234" s="131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X234" s="221"/>
    </row>
    <row r="235" spans="1:24" s="310" customFormat="1" ht="25.5" customHeight="1" thickBot="1">
      <c r="A235" s="46"/>
      <c r="B235" s="492"/>
      <c r="C235" s="493"/>
      <c r="D235" s="255"/>
      <c r="E235" s="271">
        <f>SUM(E227:E234)</f>
        <v>0</v>
      </c>
      <c r="F235" s="271">
        <f t="shared" ref="F235:V235" si="8">SUM(F227:F234)</f>
        <v>0</v>
      </c>
      <c r="G235" s="271">
        <f t="shared" si="8"/>
        <v>0</v>
      </c>
      <c r="H235" s="271">
        <f t="shared" si="8"/>
        <v>16000</v>
      </c>
      <c r="I235" s="271">
        <f t="shared" si="8"/>
        <v>0</v>
      </c>
      <c r="J235" s="271">
        <f t="shared" si="8"/>
        <v>0</v>
      </c>
      <c r="K235" s="271">
        <f t="shared" si="8"/>
        <v>0</v>
      </c>
      <c r="L235" s="271">
        <f t="shared" si="8"/>
        <v>0</v>
      </c>
      <c r="M235" s="271">
        <f>SUM(M227:M234)</f>
        <v>0</v>
      </c>
      <c r="N235" s="271">
        <f t="shared" si="8"/>
        <v>0</v>
      </c>
      <c r="O235" s="271">
        <f t="shared" si="8"/>
        <v>0</v>
      </c>
      <c r="P235" s="271">
        <f t="shared" si="8"/>
        <v>0</v>
      </c>
      <c r="Q235" s="271">
        <f t="shared" si="8"/>
        <v>0</v>
      </c>
      <c r="R235" s="271">
        <f t="shared" si="8"/>
        <v>0</v>
      </c>
      <c r="S235" s="271">
        <f t="shared" si="8"/>
        <v>0</v>
      </c>
      <c r="T235" s="271"/>
      <c r="U235" s="271">
        <f t="shared" si="8"/>
        <v>0</v>
      </c>
      <c r="V235" s="271">
        <f t="shared" si="8"/>
        <v>0</v>
      </c>
      <c r="W235" s="321">
        <f>SUM(D235:V235)</f>
        <v>16000</v>
      </c>
      <c r="X235" s="221"/>
    </row>
    <row r="236" spans="1:24" s="310" customFormat="1" ht="25.5" customHeight="1" thickTop="1">
      <c r="A236" s="20"/>
      <c r="B236" s="360" t="s">
        <v>292</v>
      </c>
      <c r="C236" s="361"/>
      <c r="D236" s="133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X236" s="221"/>
    </row>
    <row r="237" spans="1:24" s="310" customFormat="1" ht="25.5" customHeight="1">
      <c r="A237" s="20"/>
      <c r="B237" s="186" t="s">
        <v>293</v>
      </c>
      <c r="C237" s="295">
        <v>32000</v>
      </c>
      <c r="D237" s="131"/>
      <c r="E237" s="267">
        <v>32000</v>
      </c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X237" s="221"/>
    </row>
    <row r="238" spans="1:24" s="310" customFormat="1" ht="25.5" customHeight="1">
      <c r="A238" s="20"/>
      <c r="B238" s="186" t="s">
        <v>125</v>
      </c>
      <c r="C238" s="295">
        <f>2800+2800+2300</f>
        <v>7900</v>
      </c>
      <c r="D238" s="131"/>
      <c r="E238" s="267">
        <v>2800</v>
      </c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X238" s="221"/>
    </row>
    <row r="239" spans="1:24" s="310" customFormat="1" ht="25.5" customHeight="1">
      <c r="A239" s="20"/>
      <c r="B239" s="186" t="s">
        <v>294</v>
      </c>
      <c r="C239" s="295">
        <v>21000</v>
      </c>
      <c r="D239" s="131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X239" s="221"/>
    </row>
    <row r="240" spans="1:24" s="310" customFormat="1" ht="25.5" customHeight="1">
      <c r="A240" s="20"/>
      <c r="B240" s="186" t="s">
        <v>293</v>
      </c>
      <c r="C240" s="295">
        <v>16000</v>
      </c>
      <c r="D240" s="131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X240" s="221"/>
    </row>
    <row r="241" spans="1:24" s="310" customFormat="1" ht="25.5" customHeight="1">
      <c r="A241" s="20"/>
      <c r="B241" s="186" t="s">
        <v>306</v>
      </c>
      <c r="C241" s="295">
        <v>7700</v>
      </c>
      <c r="D241" s="131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X241" s="221"/>
    </row>
    <row r="242" spans="1:24" s="310" customFormat="1" ht="25.5" customHeight="1" thickBot="1">
      <c r="A242" s="46"/>
      <c r="B242" s="492"/>
      <c r="C242" s="493"/>
      <c r="D242" s="255"/>
      <c r="E242" s="271">
        <f>SUM(E237:E241)</f>
        <v>34800</v>
      </c>
      <c r="F242" s="271">
        <f t="shared" ref="F242:V242" si="9">SUM(F237:F241)</f>
        <v>0</v>
      </c>
      <c r="G242" s="271">
        <f t="shared" si="9"/>
        <v>0</v>
      </c>
      <c r="H242" s="271">
        <f t="shared" si="9"/>
        <v>0</v>
      </c>
      <c r="I242" s="271">
        <f t="shared" si="9"/>
        <v>0</v>
      </c>
      <c r="J242" s="271">
        <f t="shared" si="9"/>
        <v>0</v>
      </c>
      <c r="K242" s="271">
        <f t="shared" si="9"/>
        <v>0</v>
      </c>
      <c r="L242" s="271">
        <f t="shared" si="9"/>
        <v>0</v>
      </c>
      <c r="M242" s="271">
        <f>SUM(M237:M241)</f>
        <v>0</v>
      </c>
      <c r="N242" s="271">
        <f t="shared" si="9"/>
        <v>0</v>
      </c>
      <c r="O242" s="271">
        <f t="shared" si="9"/>
        <v>0</v>
      </c>
      <c r="P242" s="271">
        <f t="shared" si="9"/>
        <v>0</v>
      </c>
      <c r="Q242" s="271">
        <f t="shared" si="9"/>
        <v>0</v>
      </c>
      <c r="R242" s="271">
        <f t="shared" si="9"/>
        <v>0</v>
      </c>
      <c r="S242" s="271">
        <f t="shared" si="9"/>
        <v>0</v>
      </c>
      <c r="T242" s="271"/>
      <c r="U242" s="271">
        <f t="shared" si="9"/>
        <v>0</v>
      </c>
      <c r="V242" s="271">
        <f t="shared" si="9"/>
        <v>0</v>
      </c>
      <c r="W242" s="321">
        <f>SUM(D242:V242)</f>
        <v>34800</v>
      </c>
      <c r="X242" s="221"/>
    </row>
    <row r="243" spans="1:24" s="310" customFormat="1" ht="25.5" customHeight="1" thickTop="1">
      <c r="A243" s="20"/>
      <c r="B243" s="360" t="s">
        <v>336</v>
      </c>
      <c r="C243" s="361"/>
      <c r="D243" s="133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X243" s="221"/>
    </row>
    <row r="244" spans="1:24" s="310" customFormat="1" ht="25.5" customHeight="1">
      <c r="A244" s="20"/>
      <c r="B244" s="186" t="s">
        <v>337</v>
      </c>
      <c r="C244" s="295">
        <v>9000</v>
      </c>
      <c r="D244" s="131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X244" s="221"/>
    </row>
    <row r="245" spans="1:24" s="310" customFormat="1" ht="25.5" customHeight="1" thickBot="1">
      <c r="A245" s="46"/>
      <c r="B245" s="492"/>
      <c r="C245" s="493"/>
      <c r="D245" s="255"/>
      <c r="E245" s="271">
        <f>SUM(E244)</f>
        <v>0</v>
      </c>
      <c r="F245" s="271">
        <f t="shared" ref="F245:V245" si="10">SUM(F244)</f>
        <v>0</v>
      </c>
      <c r="G245" s="271">
        <f t="shared" si="10"/>
        <v>0</v>
      </c>
      <c r="H245" s="271">
        <f t="shared" si="10"/>
        <v>0</v>
      </c>
      <c r="I245" s="271">
        <f t="shared" si="10"/>
        <v>0</v>
      </c>
      <c r="J245" s="271">
        <f t="shared" si="10"/>
        <v>0</v>
      </c>
      <c r="K245" s="271">
        <f t="shared" si="10"/>
        <v>0</v>
      </c>
      <c r="L245" s="271">
        <f t="shared" si="10"/>
        <v>0</v>
      </c>
      <c r="M245" s="271">
        <f t="shared" si="10"/>
        <v>0</v>
      </c>
      <c r="N245" s="271">
        <f t="shared" si="10"/>
        <v>0</v>
      </c>
      <c r="O245" s="271">
        <f t="shared" si="10"/>
        <v>0</v>
      </c>
      <c r="P245" s="271">
        <f t="shared" si="10"/>
        <v>0</v>
      </c>
      <c r="Q245" s="271">
        <f t="shared" si="10"/>
        <v>0</v>
      </c>
      <c r="R245" s="271">
        <f t="shared" si="10"/>
        <v>0</v>
      </c>
      <c r="S245" s="271">
        <f t="shared" si="10"/>
        <v>0</v>
      </c>
      <c r="T245" s="271"/>
      <c r="U245" s="271">
        <f t="shared" si="10"/>
        <v>0</v>
      </c>
      <c r="V245" s="271">
        <f t="shared" si="10"/>
        <v>0</v>
      </c>
      <c r="X245" s="221"/>
    </row>
    <row r="246" spans="1:24" ht="25.5" customHeight="1" thickTop="1">
      <c r="A246" s="20"/>
      <c r="B246" s="360" t="s">
        <v>338</v>
      </c>
      <c r="C246" s="361"/>
      <c r="D246" s="133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7"/>
    </row>
    <row r="247" spans="1:24" ht="25.5" customHeight="1">
      <c r="A247" s="20"/>
      <c r="B247" s="186" t="s">
        <v>339</v>
      </c>
      <c r="C247" s="295">
        <v>8000</v>
      </c>
      <c r="D247" s="131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</row>
    <row r="248" spans="1:24" ht="25.5" customHeight="1">
      <c r="A248" s="20"/>
      <c r="B248" s="186" t="s">
        <v>340</v>
      </c>
      <c r="C248" s="295">
        <v>6000</v>
      </c>
      <c r="D248" s="131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</row>
    <row r="249" spans="1:24" ht="25.5" customHeight="1" thickBot="1">
      <c r="A249" s="46"/>
      <c r="B249" s="492"/>
      <c r="C249" s="493"/>
      <c r="D249" s="255"/>
      <c r="E249" s="271">
        <f>SUM(E247:E248)</f>
        <v>0</v>
      </c>
      <c r="F249" s="271">
        <f t="shared" ref="F249:V249" si="11">SUM(F247:F248)</f>
        <v>0</v>
      </c>
      <c r="G249" s="271">
        <f t="shared" si="11"/>
        <v>0</v>
      </c>
      <c r="H249" s="271">
        <f t="shared" si="11"/>
        <v>0</v>
      </c>
      <c r="I249" s="271">
        <f>SUM(I247:I248)</f>
        <v>0</v>
      </c>
      <c r="J249" s="271">
        <f t="shared" si="11"/>
        <v>0</v>
      </c>
      <c r="K249" s="271">
        <f t="shared" si="11"/>
        <v>0</v>
      </c>
      <c r="L249" s="271">
        <f t="shared" si="11"/>
        <v>0</v>
      </c>
      <c r="M249" s="271">
        <f t="shared" si="11"/>
        <v>0</v>
      </c>
      <c r="N249" s="271">
        <f t="shared" si="11"/>
        <v>0</v>
      </c>
      <c r="O249" s="271">
        <f t="shared" si="11"/>
        <v>0</v>
      </c>
      <c r="P249" s="271">
        <f t="shared" si="11"/>
        <v>0</v>
      </c>
      <c r="Q249" s="271">
        <f t="shared" si="11"/>
        <v>0</v>
      </c>
      <c r="R249" s="271">
        <f t="shared" si="11"/>
        <v>0</v>
      </c>
      <c r="S249" s="271">
        <f t="shared" si="11"/>
        <v>0</v>
      </c>
      <c r="T249" s="271"/>
      <c r="U249" s="271">
        <f t="shared" si="11"/>
        <v>0</v>
      </c>
      <c r="V249" s="271">
        <f t="shared" si="11"/>
        <v>0</v>
      </c>
      <c r="W249" s="494"/>
    </row>
    <row r="250" spans="1:24" ht="25.5" customHeight="1" thickTop="1">
      <c r="A250" s="20"/>
      <c r="B250" s="360" t="s">
        <v>341</v>
      </c>
      <c r="C250" s="361"/>
      <c r="D250" s="133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</row>
    <row r="251" spans="1:24" ht="25.5" customHeight="1">
      <c r="A251" s="20"/>
      <c r="B251" s="186" t="s">
        <v>342</v>
      </c>
      <c r="C251" s="295">
        <v>45300</v>
      </c>
      <c r="D251" s="131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/>
      <c r="O251" s="267"/>
      <c r="P251" s="267"/>
      <c r="Q251" s="267"/>
      <c r="R251" s="267"/>
      <c r="S251" s="267"/>
      <c r="T251" s="267"/>
      <c r="U251" s="267"/>
      <c r="V251" s="267"/>
    </row>
    <row r="252" spans="1:24" ht="25.5" customHeight="1">
      <c r="A252" s="20"/>
      <c r="B252" s="186" t="s">
        <v>343</v>
      </c>
      <c r="C252" s="295">
        <v>128000</v>
      </c>
      <c r="D252" s="131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>
        <v>124500</v>
      </c>
      <c r="O252" s="267"/>
      <c r="P252" s="267"/>
      <c r="Q252" s="267"/>
      <c r="R252" s="267"/>
      <c r="S252" s="267"/>
      <c r="T252" s="267"/>
      <c r="U252" s="267"/>
      <c r="V252" s="267"/>
    </row>
    <row r="253" spans="1:24" ht="25.5" customHeight="1">
      <c r="A253" s="20"/>
      <c r="B253" s="186" t="s">
        <v>264</v>
      </c>
      <c r="C253" s="295">
        <v>204000</v>
      </c>
      <c r="D253" s="131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</row>
    <row r="254" spans="1:24" ht="25.5" customHeight="1">
      <c r="A254" s="20"/>
      <c r="B254" s="186" t="s">
        <v>381</v>
      </c>
      <c r="C254" s="295">
        <v>204000</v>
      </c>
      <c r="D254" s="131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</row>
    <row r="255" spans="1:24" ht="25.5" customHeight="1">
      <c r="A255" s="20"/>
      <c r="B255" s="186" t="s">
        <v>344</v>
      </c>
      <c r="C255" s="295">
        <v>204000</v>
      </c>
      <c r="D255" s="131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</row>
    <row r="256" spans="1:24" ht="25.5" customHeight="1">
      <c r="A256" s="20"/>
      <c r="B256" s="186" t="s">
        <v>345</v>
      </c>
      <c r="C256" s="295">
        <v>217000</v>
      </c>
      <c r="D256" s="131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</row>
    <row r="257" spans="1:23" ht="25.5" customHeight="1">
      <c r="A257" s="20"/>
      <c r="B257" s="186" t="s">
        <v>346</v>
      </c>
      <c r="C257" s="295">
        <v>27000</v>
      </c>
      <c r="D257" s="131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/>
      <c r="O257" s="267"/>
      <c r="P257" s="267"/>
      <c r="Q257" s="267"/>
      <c r="R257" s="267"/>
      <c r="S257" s="267"/>
      <c r="T257" s="267"/>
      <c r="U257" s="267"/>
      <c r="V257" s="267"/>
    </row>
    <row r="258" spans="1:23" ht="25.5" customHeight="1">
      <c r="A258" s="20"/>
      <c r="B258" s="186" t="s">
        <v>347</v>
      </c>
      <c r="C258" s="295">
        <v>211000</v>
      </c>
      <c r="D258" s="131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67"/>
      <c r="Q258" s="267"/>
      <c r="R258" s="267"/>
      <c r="S258" s="267"/>
      <c r="T258" s="267"/>
      <c r="U258" s="267"/>
      <c r="V258" s="267"/>
    </row>
    <row r="259" spans="1:23" ht="25.5" customHeight="1">
      <c r="A259" s="20"/>
      <c r="B259" s="186" t="s">
        <v>348</v>
      </c>
      <c r="C259" s="295">
        <v>211000</v>
      </c>
      <c r="D259" s="131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</row>
    <row r="260" spans="1:23" ht="25.5" customHeight="1">
      <c r="A260" s="20"/>
      <c r="B260" s="186" t="s">
        <v>349</v>
      </c>
      <c r="C260" s="296">
        <v>688700</v>
      </c>
      <c r="D260" s="131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/>
      <c r="O260" s="267"/>
      <c r="P260" s="267"/>
      <c r="Q260" s="267"/>
      <c r="R260" s="267"/>
      <c r="S260" s="267"/>
      <c r="T260" s="267"/>
      <c r="U260" s="267"/>
      <c r="V260" s="267"/>
    </row>
    <row r="261" spans="1:23" ht="25.5" customHeight="1">
      <c r="A261" s="20"/>
      <c r="B261" s="186" t="s">
        <v>350</v>
      </c>
      <c r="C261" s="297">
        <v>62000</v>
      </c>
      <c r="D261" s="131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/>
      <c r="O261" s="267"/>
      <c r="P261" s="267"/>
      <c r="Q261" s="267"/>
      <c r="R261" s="267"/>
      <c r="S261" s="267"/>
      <c r="T261" s="267"/>
      <c r="U261" s="267"/>
      <c r="V261" s="267"/>
    </row>
    <row r="262" spans="1:23" ht="25.5" customHeight="1" thickBot="1">
      <c r="A262" s="24"/>
      <c r="B262" s="45" t="s">
        <v>5</v>
      </c>
      <c r="C262" s="170">
        <f>SUM(C227:C261)</f>
        <v>2383100</v>
      </c>
      <c r="D262" s="255">
        <f>SUM(D251:D261)</f>
        <v>0</v>
      </c>
      <c r="E262" s="254">
        <f t="shared" ref="E262:V262" si="12">SUM(E251:E261)</f>
        <v>0</v>
      </c>
      <c r="F262" s="254">
        <f t="shared" si="12"/>
        <v>0</v>
      </c>
      <c r="G262" s="255">
        <f t="shared" si="12"/>
        <v>0</v>
      </c>
      <c r="H262" s="254">
        <f t="shared" si="12"/>
        <v>0</v>
      </c>
      <c r="I262" s="255">
        <f t="shared" si="12"/>
        <v>0</v>
      </c>
      <c r="J262" s="255">
        <f t="shared" si="12"/>
        <v>0</v>
      </c>
      <c r="K262" s="255">
        <f t="shared" si="12"/>
        <v>0</v>
      </c>
      <c r="L262" s="255">
        <f t="shared" si="12"/>
        <v>0</v>
      </c>
      <c r="M262" s="254">
        <f t="shared" si="12"/>
        <v>0</v>
      </c>
      <c r="N262" s="255">
        <f>SUM(N251:N261)</f>
        <v>124500</v>
      </c>
      <c r="O262" s="255">
        <f t="shared" si="12"/>
        <v>0</v>
      </c>
      <c r="P262" s="255">
        <f t="shared" si="12"/>
        <v>0</v>
      </c>
      <c r="Q262" s="255">
        <f t="shared" si="12"/>
        <v>0</v>
      </c>
      <c r="R262" s="255">
        <f t="shared" si="12"/>
        <v>0</v>
      </c>
      <c r="S262" s="255">
        <f t="shared" si="12"/>
        <v>0</v>
      </c>
      <c r="T262" s="255"/>
      <c r="U262" s="255">
        <f t="shared" si="12"/>
        <v>0</v>
      </c>
      <c r="V262" s="255">
        <f t="shared" si="12"/>
        <v>0</v>
      </c>
      <c r="W262" s="314">
        <f>SUM(D262:V262)</f>
        <v>124500</v>
      </c>
    </row>
    <row r="263" spans="1:23" ht="25.5" customHeight="1" thickTop="1">
      <c r="A263" s="50" t="s">
        <v>149</v>
      </c>
      <c r="B263" s="4"/>
      <c r="C263" s="193"/>
      <c r="D263" s="133"/>
      <c r="E263" s="269"/>
      <c r="F263" s="136"/>
      <c r="G263" s="136"/>
      <c r="H263" s="136"/>
      <c r="I263" s="133"/>
      <c r="J263" s="133"/>
      <c r="K263" s="133"/>
      <c r="L263" s="133"/>
      <c r="M263" s="136"/>
      <c r="N263" s="133"/>
      <c r="O263" s="133"/>
      <c r="P263" s="133"/>
      <c r="Q263" s="133"/>
      <c r="R263" s="258"/>
      <c r="S263" s="259"/>
      <c r="T263" s="259"/>
      <c r="U263" s="258"/>
      <c r="V263" s="258"/>
    </row>
    <row r="264" spans="1:23" ht="25.5" customHeight="1">
      <c r="A264" s="9"/>
      <c r="B264" s="186"/>
      <c r="C264" s="296"/>
      <c r="D264" s="133"/>
      <c r="E264" s="269"/>
      <c r="F264" s="136"/>
      <c r="G264" s="136"/>
      <c r="H264" s="136"/>
      <c r="I264" s="133"/>
      <c r="J264" s="133"/>
      <c r="K264" s="133"/>
      <c r="L264" s="133"/>
      <c r="M264" s="136"/>
      <c r="N264" s="133"/>
      <c r="O264" s="133"/>
      <c r="P264" s="133"/>
      <c r="Q264" s="133"/>
      <c r="R264" s="258"/>
      <c r="S264" s="259"/>
      <c r="T264" s="259"/>
      <c r="U264" s="258"/>
      <c r="V264" s="258"/>
    </row>
    <row r="265" spans="1:23" ht="25.5" customHeight="1">
      <c r="A265" s="9"/>
      <c r="B265" s="186"/>
      <c r="C265" s="296"/>
      <c r="D265" s="133"/>
      <c r="E265" s="269"/>
      <c r="F265" s="136"/>
      <c r="G265" s="136"/>
      <c r="H265" s="136"/>
      <c r="I265" s="133"/>
      <c r="J265" s="133"/>
      <c r="K265" s="133"/>
      <c r="L265" s="133"/>
      <c r="M265" s="136"/>
      <c r="N265" s="133"/>
      <c r="O265" s="133"/>
      <c r="P265" s="133"/>
      <c r="Q265" s="133"/>
      <c r="R265" s="258"/>
      <c r="S265" s="259"/>
      <c r="T265" s="259"/>
      <c r="U265" s="258"/>
      <c r="V265" s="258"/>
    </row>
    <row r="266" spans="1:23" ht="25.5" customHeight="1">
      <c r="A266" s="9"/>
      <c r="B266" s="186"/>
      <c r="C266" s="296"/>
      <c r="D266" s="133"/>
      <c r="E266" s="269"/>
      <c r="F266" s="136"/>
      <c r="G266" s="136"/>
      <c r="H266" s="136"/>
      <c r="I266" s="133"/>
      <c r="J266" s="133"/>
      <c r="K266" s="133"/>
      <c r="L266" s="133"/>
      <c r="M266" s="136"/>
      <c r="N266" s="133"/>
      <c r="O266" s="133"/>
      <c r="P266" s="133"/>
      <c r="Q266" s="133"/>
      <c r="R266" s="258"/>
      <c r="S266" s="259"/>
      <c r="T266" s="259"/>
      <c r="U266" s="258"/>
      <c r="V266" s="258"/>
    </row>
    <row r="267" spans="1:23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1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</row>
    <row r="268" spans="1:23" ht="25.5" customHeight="1">
      <c r="A268" s="9"/>
      <c r="B268" s="186"/>
      <c r="C268" s="296"/>
      <c r="D268" s="131"/>
      <c r="E268" s="267"/>
      <c r="F268" s="135"/>
      <c r="G268" s="135"/>
      <c r="H268" s="135"/>
      <c r="I268" s="131"/>
      <c r="J268" s="131"/>
      <c r="K268" s="131"/>
      <c r="L268" s="131"/>
      <c r="M268" s="135"/>
      <c r="N268" s="131"/>
      <c r="O268" s="131"/>
      <c r="P268" s="131"/>
      <c r="Q268" s="131"/>
      <c r="R268" s="217"/>
      <c r="S268" s="219"/>
      <c r="T268" s="219"/>
      <c r="U268" s="217"/>
      <c r="V268" s="217"/>
    </row>
    <row r="269" spans="1:23" ht="25.5" customHeight="1">
      <c r="A269" s="9"/>
      <c r="B269" s="186"/>
      <c r="C269" s="296"/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9"/>
      <c r="B270" s="186"/>
      <c r="C270" s="296"/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>
      <c r="A271" s="9"/>
      <c r="B271" s="186"/>
      <c r="C271" s="296"/>
      <c r="D271" s="131"/>
      <c r="E271" s="267"/>
      <c r="F271" s="135"/>
      <c r="G271" s="135"/>
      <c r="H271" s="135"/>
      <c r="I271" s="131"/>
      <c r="J271" s="131"/>
      <c r="K271" s="131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</row>
    <row r="272" spans="1:23" ht="25.5" customHeight="1" thickBot="1">
      <c r="A272" s="15"/>
      <c r="B272" s="14" t="s">
        <v>5</v>
      </c>
      <c r="C272" s="170">
        <f>SUM(C264:C271)</f>
        <v>0</v>
      </c>
      <c r="D272" s="255">
        <f>SUM(D264:D271)</f>
        <v>0</v>
      </c>
      <c r="E272" s="254">
        <f t="shared" ref="E272:V272" si="13">SUM(E264:E271)</f>
        <v>0</v>
      </c>
      <c r="F272" s="254">
        <f t="shared" si="13"/>
        <v>0</v>
      </c>
      <c r="G272" s="255">
        <f t="shared" si="13"/>
        <v>0</v>
      </c>
      <c r="H272" s="254">
        <f t="shared" si="13"/>
        <v>0</v>
      </c>
      <c r="I272" s="255">
        <f t="shared" si="13"/>
        <v>0</v>
      </c>
      <c r="J272" s="255">
        <f t="shared" si="13"/>
        <v>0</v>
      </c>
      <c r="K272" s="255">
        <f t="shared" si="13"/>
        <v>0</v>
      </c>
      <c r="L272" s="255">
        <f t="shared" si="13"/>
        <v>0</v>
      </c>
      <c r="M272" s="254">
        <f t="shared" si="13"/>
        <v>0</v>
      </c>
      <c r="N272" s="255">
        <f t="shared" si="13"/>
        <v>0</v>
      </c>
      <c r="O272" s="255">
        <f t="shared" si="13"/>
        <v>0</v>
      </c>
      <c r="P272" s="255">
        <f t="shared" si="13"/>
        <v>0</v>
      </c>
      <c r="Q272" s="255">
        <f t="shared" si="13"/>
        <v>0</v>
      </c>
      <c r="R272" s="255">
        <f t="shared" si="13"/>
        <v>0</v>
      </c>
      <c r="S272" s="255">
        <f t="shared" si="13"/>
        <v>0</v>
      </c>
      <c r="T272" s="255"/>
      <c r="U272" s="255">
        <f t="shared" si="13"/>
        <v>0</v>
      </c>
      <c r="V272" s="255">
        <f t="shared" si="13"/>
        <v>0</v>
      </c>
      <c r="W272" s="314">
        <f>SUM(D272:V272)</f>
        <v>0</v>
      </c>
    </row>
    <row r="273" spans="1:23" ht="25.5" customHeight="1" thickTop="1">
      <c r="A273" s="20" t="s">
        <v>24</v>
      </c>
      <c r="B273" s="23"/>
      <c r="C273" s="190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30" t="s">
        <v>406</v>
      </c>
      <c r="C274" s="192">
        <v>121500</v>
      </c>
      <c r="D274" s="131"/>
      <c r="E274" s="135"/>
      <c r="F274" s="135"/>
      <c r="G274" s="131"/>
      <c r="H274" s="135"/>
      <c r="I274" s="131"/>
      <c r="J274" s="131"/>
      <c r="K274" s="131"/>
      <c r="L274" s="131"/>
      <c r="M274" s="135"/>
      <c r="N274" s="131"/>
      <c r="O274" s="131"/>
      <c r="P274" s="131"/>
      <c r="Q274" s="131"/>
      <c r="R274" s="131"/>
      <c r="S274" s="131"/>
      <c r="T274" s="131"/>
      <c r="U274" s="131"/>
      <c r="V274" s="131"/>
    </row>
    <row r="275" spans="1:23" ht="25.5" customHeight="1">
      <c r="A275" s="20"/>
      <c r="B275" s="130" t="s">
        <v>405</v>
      </c>
      <c r="C275" s="192">
        <v>105000</v>
      </c>
      <c r="D275" s="131"/>
      <c r="E275" s="135"/>
      <c r="F275" s="135"/>
      <c r="G275" s="131"/>
      <c r="H275" s="135"/>
      <c r="I275" s="131"/>
      <c r="J275" s="131"/>
      <c r="K275" s="131"/>
      <c r="L275" s="131"/>
      <c r="M275" s="135"/>
      <c r="N275" s="131"/>
      <c r="O275" s="131"/>
      <c r="P275" s="131"/>
      <c r="Q275" s="131"/>
      <c r="R275" s="131"/>
      <c r="S275" s="131"/>
      <c r="T275" s="131"/>
      <c r="U275" s="131"/>
      <c r="V275" s="131"/>
    </row>
    <row r="276" spans="1:23" ht="25.5" customHeight="1" thickBot="1">
      <c r="A276" s="15"/>
      <c r="B276" s="14" t="s">
        <v>5</v>
      </c>
      <c r="C276" s="298">
        <f>SUM(C274:C275)</f>
        <v>226500</v>
      </c>
      <c r="D276" s="255">
        <f>SUM(D274:D275)</f>
        <v>0</v>
      </c>
      <c r="E276" s="254">
        <f t="shared" ref="E276:V276" si="14">SUM(E274:E275)</f>
        <v>0</v>
      </c>
      <c r="F276" s="254">
        <f t="shared" si="14"/>
        <v>0</v>
      </c>
      <c r="G276" s="254">
        <f t="shared" si="14"/>
        <v>0</v>
      </c>
      <c r="H276" s="254">
        <f t="shared" si="14"/>
        <v>0</v>
      </c>
      <c r="I276" s="255">
        <f t="shared" si="14"/>
        <v>0</v>
      </c>
      <c r="J276" s="255">
        <f t="shared" si="14"/>
        <v>0</v>
      </c>
      <c r="K276" s="255">
        <f t="shared" si="14"/>
        <v>0</v>
      </c>
      <c r="L276" s="255">
        <f t="shared" si="14"/>
        <v>0</v>
      </c>
      <c r="M276" s="254">
        <f t="shared" si="14"/>
        <v>0</v>
      </c>
      <c r="N276" s="255">
        <f t="shared" si="14"/>
        <v>0</v>
      </c>
      <c r="O276" s="255">
        <f t="shared" si="14"/>
        <v>0</v>
      </c>
      <c r="P276" s="255">
        <f t="shared" si="14"/>
        <v>0</v>
      </c>
      <c r="Q276" s="255">
        <f t="shared" si="14"/>
        <v>0</v>
      </c>
      <c r="R276" s="255">
        <f t="shared" si="14"/>
        <v>0</v>
      </c>
      <c r="S276" s="255">
        <f t="shared" si="14"/>
        <v>0</v>
      </c>
      <c r="T276" s="255"/>
      <c r="U276" s="255">
        <f t="shared" si="14"/>
        <v>0</v>
      </c>
      <c r="V276" s="255">
        <f t="shared" si="14"/>
        <v>0</v>
      </c>
      <c r="W276" s="314">
        <f>SUM(D276:V276)</f>
        <v>0</v>
      </c>
    </row>
    <row r="277" spans="1:23" ht="25.5" customHeight="1" thickTop="1">
      <c r="A277" s="20" t="s">
        <v>44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</row>
    <row r="278" spans="1:23" ht="25.5" customHeight="1">
      <c r="A278" s="20"/>
      <c r="B278" s="185" t="s">
        <v>420</v>
      </c>
      <c r="C278" s="192">
        <v>20000</v>
      </c>
      <c r="D278" s="133"/>
      <c r="E278" s="136"/>
      <c r="F278" s="136"/>
      <c r="G278" s="133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133"/>
      <c r="S278" s="133"/>
      <c r="T278" s="133"/>
      <c r="U278" s="133"/>
      <c r="V278" s="133"/>
    </row>
    <row r="279" spans="1:23" ht="25.5" customHeight="1">
      <c r="A279" s="20"/>
      <c r="B279" s="185" t="s">
        <v>435</v>
      </c>
      <c r="C279" s="190">
        <v>10000</v>
      </c>
      <c r="D279" s="133"/>
      <c r="E279" s="269"/>
      <c r="F279" s="136"/>
      <c r="G279" s="136"/>
      <c r="H279" s="136"/>
      <c r="I279" s="133"/>
      <c r="J279" s="133"/>
      <c r="K279" s="133">
        <v>1800</v>
      </c>
      <c r="L279" s="133"/>
      <c r="M279" s="136"/>
      <c r="N279" s="133"/>
      <c r="O279" s="133"/>
      <c r="P279" s="133"/>
      <c r="Q279" s="133"/>
      <c r="R279" s="258"/>
      <c r="S279" s="259"/>
      <c r="T279" s="259"/>
      <c r="U279" s="258"/>
      <c r="V279" s="258"/>
    </row>
    <row r="280" spans="1:23" ht="25.5" customHeight="1">
      <c r="A280" s="20"/>
      <c r="B280" s="23"/>
      <c r="C280" s="290"/>
      <c r="D280" s="345"/>
      <c r="E280" s="533"/>
      <c r="F280" s="346"/>
      <c r="G280" s="346"/>
      <c r="H280" s="346"/>
      <c r="I280" s="345"/>
      <c r="J280" s="345"/>
      <c r="K280" s="345"/>
      <c r="L280" s="345"/>
      <c r="M280" s="346"/>
      <c r="N280" s="345"/>
      <c r="O280" s="345"/>
      <c r="P280" s="345"/>
      <c r="Q280" s="345"/>
      <c r="R280" s="600"/>
      <c r="S280" s="601"/>
      <c r="T280" s="601"/>
      <c r="U280" s="600"/>
      <c r="V280" s="600"/>
    </row>
    <row r="281" spans="1:23" ht="25.5" customHeight="1">
      <c r="A281" s="20"/>
      <c r="B281" s="23"/>
      <c r="C281" s="290"/>
      <c r="D281" s="345"/>
      <c r="E281" s="533"/>
      <c r="F281" s="346"/>
      <c r="G281" s="346"/>
      <c r="H281" s="346"/>
      <c r="I281" s="345"/>
      <c r="J281" s="345"/>
      <c r="K281" s="345"/>
      <c r="L281" s="345"/>
      <c r="M281" s="346"/>
      <c r="N281" s="345"/>
      <c r="O281" s="345"/>
      <c r="P281" s="345"/>
      <c r="Q281" s="345"/>
      <c r="R281" s="600"/>
      <c r="S281" s="601"/>
      <c r="T281" s="601"/>
      <c r="U281" s="600"/>
      <c r="V281" s="600"/>
    </row>
    <row r="282" spans="1:23" ht="25.5" customHeight="1">
      <c r="A282" s="20"/>
      <c r="B282" s="23"/>
      <c r="C282" s="290"/>
      <c r="D282" s="345"/>
      <c r="E282" s="533"/>
      <c r="F282" s="346"/>
      <c r="G282" s="346"/>
      <c r="H282" s="346"/>
      <c r="I282" s="345"/>
      <c r="J282" s="345"/>
      <c r="K282" s="345"/>
      <c r="L282" s="345"/>
      <c r="M282" s="346"/>
      <c r="N282" s="345"/>
      <c r="O282" s="345"/>
      <c r="P282" s="345"/>
      <c r="Q282" s="345"/>
      <c r="R282" s="600"/>
      <c r="S282" s="601"/>
      <c r="T282" s="601"/>
      <c r="U282" s="600"/>
      <c r="V282" s="600"/>
    </row>
    <row r="283" spans="1:23" ht="25.5" customHeight="1">
      <c r="A283" s="20"/>
      <c r="B283" s="23"/>
      <c r="C283" s="290"/>
      <c r="D283" s="345"/>
      <c r="E283" s="533"/>
      <c r="F283" s="346"/>
      <c r="G283" s="346"/>
      <c r="H283" s="346"/>
      <c r="I283" s="345"/>
      <c r="J283" s="345"/>
      <c r="K283" s="345"/>
      <c r="L283" s="345"/>
      <c r="M283" s="346"/>
      <c r="N283" s="345"/>
      <c r="O283" s="345"/>
      <c r="P283" s="345"/>
      <c r="Q283" s="345"/>
      <c r="R283" s="600"/>
      <c r="S283" s="601"/>
      <c r="T283" s="601"/>
      <c r="U283" s="600"/>
      <c r="V283" s="600"/>
    </row>
    <row r="284" spans="1:23" ht="25.5" customHeight="1">
      <c r="A284" s="20"/>
      <c r="B284" s="23"/>
      <c r="C284" s="290"/>
      <c r="D284" s="345"/>
      <c r="E284" s="533"/>
      <c r="F284" s="346"/>
      <c r="G284" s="346"/>
      <c r="H284" s="346"/>
      <c r="I284" s="345"/>
      <c r="J284" s="345"/>
      <c r="K284" s="345"/>
      <c r="L284" s="345"/>
      <c r="M284" s="346"/>
      <c r="N284" s="345"/>
      <c r="O284" s="345"/>
      <c r="P284" s="345"/>
      <c r="Q284" s="345"/>
      <c r="R284" s="600"/>
      <c r="S284" s="601"/>
      <c r="T284" s="601"/>
      <c r="U284" s="600"/>
      <c r="V284" s="600"/>
    </row>
    <row r="285" spans="1:23" ht="25.5" customHeight="1" thickBot="1">
      <c r="A285" s="15"/>
      <c r="B285" s="53" t="s">
        <v>5</v>
      </c>
      <c r="C285" s="105">
        <f>SUM(C278:C279)</f>
        <v>30000</v>
      </c>
      <c r="D285" s="255">
        <f>SUM(D278:D279)</f>
        <v>0</v>
      </c>
      <c r="E285" s="254">
        <f t="shared" ref="E285:V285" si="15">SUM(E278:E279)</f>
        <v>0</v>
      </c>
      <c r="F285" s="254">
        <f t="shared" si="15"/>
        <v>0</v>
      </c>
      <c r="G285" s="254">
        <f t="shared" si="15"/>
        <v>0</v>
      </c>
      <c r="H285" s="254">
        <f t="shared" si="15"/>
        <v>0</v>
      </c>
      <c r="I285" s="255">
        <f t="shared" si="15"/>
        <v>0</v>
      </c>
      <c r="J285" s="255">
        <f t="shared" si="15"/>
        <v>0</v>
      </c>
      <c r="K285" s="255">
        <f t="shared" si="15"/>
        <v>1800</v>
      </c>
      <c r="L285" s="255">
        <f t="shared" si="15"/>
        <v>0</v>
      </c>
      <c r="M285" s="254">
        <f t="shared" si="15"/>
        <v>0</v>
      </c>
      <c r="N285" s="255">
        <f t="shared" si="15"/>
        <v>0</v>
      </c>
      <c r="O285" s="255">
        <f t="shared" si="15"/>
        <v>0</v>
      </c>
      <c r="P285" s="255">
        <f t="shared" si="15"/>
        <v>0</v>
      </c>
      <c r="Q285" s="255">
        <f t="shared" si="15"/>
        <v>0</v>
      </c>
      <c r="R285" s="255">
        <f t="shared" si="15"/>
        <v>0</v>
      </c>
      <c r="S285" s="255">
        <f t="shared" si="15"/>
        <v>0</v>
      </c>
      <c r="T285" s="255"/>
      <c r="U285" s="255">
        <f t="shared" si="15"/>
        <v>0</v>
      </c>
      <c r="V285" s="255">
        <f t="shared" si="15"/>
        <v>0</v>
      </c>
      <c r="W285" s="314">
        <f>SUM(D285:V285)</f>
        <v>1800</v>
      </c>
    </row>
    <row r="286" spans="1:23" ht="25.5" customHeight="1" thickTop="1">
      <c r="A286" s="20" t="s">
        <v>276</v>
      </c>
      <c r="B286" s="23"/>
      <c r="C286" s="193"/>
      <c r="D286" s="133"/>
      <c r="E286" s="269"/>
      <c r="F286" s="136"/>
      <c r="G286" s="136"/>
      <c r="H286" s="136"/>
      <c r="I286" s="133"/>
      <c r="J286" s="133"/>
      <c r="K286" s="133"/>
      <c r="L286" s="133"/>
      <c r="M286" s="136"/>
      <c r="N286" s="133"/>
      <c r="O286" s="133"/>
      <c r="P286" s="133"/>
      <c r="Q286" s="133"/>
      <c r="R286" s="258"/>
      <c r="S286" s="259"/>
      <c r="T286" s="259"/>
      <c r="U286" s="258"/>
      <c r="V286" s="258"/>
    </row>
    <row r="287" spans="1:23" ht="25.5" customHeight="1">
      <c r="A287" s="20"/>
      <c r="B287" s="185" t="s">
        <v>226</v>
      </c>
      <c r="C287" s="192">
        <f>+'ต.ค. '!E284+'ต.ค. '!F284+'ต.ค. '!H284+'ต.ค. '!M284</f>
        <v>37500</v>
      </c>
      <c r="D287" s="133"/>
      <c r="E287" s="136"/>
      <c r="F287" s="136"/>
      <c r="G287" s="136"/>
      <c r="H287" s="136"/>
      <c r="I287" s="133"/>
      <c r="J287" s="133"/>
      <c r="K287" s="133"/>
      <c r="L287" s="133"/>
      <c r="M287" s="136"/>
      <c r="N287" s="133"/>
      <c r="O287" s="133"/>
      <c r="P287" s="133"/>
      <c r="Q287" s="133"/>
      <c r="R287" s="133"/>
      <c r="S287" s="133"/>
      <c r="T287" s="133"/>
      <c r="U287" s="133"/>
      <c r="V287" s="133"/>
    </row>
    <row r="288" spans="1:23" ht="25.5" customHeight="1">
      <c r="A288" s="20"/>
      <c r="B288" s="185" t="s">
        <v>233</v>
      </c>
      <c r="C288" s="299">
        <v>7500</v>
      </c>
      <c r="D288" s="133"/>
      <c r="E288" s="136"/>
      <c r="F288" s="136"/>
      <c r="G288" s="136"/>
      <c r="H288" s="136"/>
      <c r="I288" s="133"/>
      <c r="J288" s="133"/>
      <c r="K288" s="133"/>
      <c r="L288" s="133"/>
      <c r="M288" s="136"/>
      <c r="N288" s="133"/>
      <c r="O288" s="133"/>
      <c r="P288" s="133"/>
      <c r="Q288" s="133"/>
      <c r="R288" s="133"/>
      <c r="S288" s="133"/>
      <c r="T288" s="133"/>
      <c r="U288" s="133"/>
      <c r="V288" s="133"/>
    </row>
    <row r="289" spans="1:24" ht="25.5" customHeight="1">
      <c r="A289" s="20"/>
      <c r="B289" s="274" t="s">
        <v>378</v>
      </c>
      <c r="C289" s="299">
        <v>37500</v>
      </c>
      <c r="D289" s="133"/>
      <c r="E289" s="136"/>
      <c r="F289" s="136"/>
      <c r="G289" s="136"/>
      <c r="H289" s="136"/>
      <c r="I289" s="133"/>
      <c r="J289" s="133"/>
      <c r="K289" s="133"/>
      <c r="L289" s="133"/>
      <c r="M289" s="136"/>
      <c r="N289" s="133"/>
      <c r="O289" s="133"/>
      <c r="P289" s="133"/>
      <c r="Q289" s="133"/>
      <c r="R289" s="133"/>
      <c r="S289" s="133"/>
      <c r="T289" s="133"/>
      <c r="U289" s="133"/>
      <c r="V289" s="133"/>
    </row>
    <row r="290" spans="1:24" ht="25.5" customHeight="1">
      <c r="A290" s="20"/>
      <c r="B290" s="185" t="s">
        <v>379</v>
      </c>
      <c r="C290" s="299">
        <v>10000</v>
      </c>
      <c r="D290" s="133"/>
      <c r="E290" s="136"/>
      <c r="F290" s="136"/>
      <c r="G290" s="136"/>
      <c r="H290" s="136"/>
      <c r="I290" s="133"/>
      <c r="J290" s="133"/>
      <c r="K290" s="133"/>
      <c r="L290" s="133"/>
      <c r="M290" s="136"/>
      <c r="N290" s="133"/>
      <c r="O290" s="133"/>
      <c r="P290" s="133"/>
      <c r="Q290" s="133"/>
      <c r="R290" s="133"/>
      <c r="S290" s="133"/>
      <c r="T290" s="133"/>
      <c r="U290" s="133"/>
      <c r="V290" s="133"/>
    </row>
    <row r="291" spans="1:24" ht="25.5" customHeight="1">
      <c r="A291" s="20"/>
      <c r="B291" s="185" t="s">
        <v>382</v>
      </c>
      <c r="C291" s="299">
        <v>1950</v>
      </c>
      <c r="D291" s="133"/>
      <c r="E291" s="136"/>
      <c r="F291" s="136"/>
      <c r="G291" s="136"/>
      <c r="H291" s="136"/>
      <c r="I291" s="133"/>
      <c r="J291" s="133"/>
      <c r="K291" s="133"/>
      <c r="L291" s="133"/>
      <c r="M291" s="136"/>
      <c r="N291" s="133"/>
      <c r="O291" s="133"/>
      <c r="P291" s="133"/>
      <c r="Q291" s="133"/>
      <c r="R291" s="133"/>
      <c r="S291" s="133"/>
      <c r="T291" s="133"/>
      <c r="U291" s="133"/>
      <c r="V291" s="133"/>
    </row>
    <row r="292" spans="1:24" ht="25.5" customHeight="1">
      <c r="A292" s="20"/>
      <c r="B292" s="185" t="s">
        <v>380</v>
      </c>
      <c r="C292" s="299">
        <v>4550</v>
      </c>
      <c r="D292" s="133"/>
      <c r="E292" s="136"/>
      <c r="F292" s="136"/>
      <c r="G292" s="136"/>
      <c r="H292" s="136"/>
      <c r="I292" s="133"/>
      <c r="J292" s="133"/>
      <c r="K292" s="133"/>
      <c r="L292" s="133"/>
      <c r="M292" s="136"/>
      <c r="N292" s="133"/>
      <c r="O292" s="133"/>
      <c r="P292" s="133"/>
      <c r="Q292" s="133"/>
      <c r="R292" s="133"/>
      <c r="S292" s="133"/>
      <c r="T292" s="133"/>
      <c r="U292" s="133"/>
      <c r="V292" s="133"/>
    </row>
    <row r="293" spans="1:24" ht="25.5" customHeight="1">
      <c r="A293" s="20"/>
      <c r="B293" s="185" t="s">
        <v>386</v>
      </c>
      <c r="C293" s="192">
        <v>409940.96</v>
      </c>
      <c r="D293" s="133"/>
      <c r="E293" s="136"/>
      <c r="F293" s="136"/>
      <c r="G293" s="136"/>
      <c r="H293" s="136"/>
      <c r="I293" s="133"/>
      <c r="J293" s="133"/>
      <c r="K293" s="133"/>
      <c r="L293" s="133"/>
      <c r="M293" s="136"/>
      <c r="N293" s="133"/>
      <c r="O293" s="133"/>
      <c r="P293" s="133"/>
      <c r="Q293" s="133"/>
      <c r="R293" s="133"/>
      <c r="S293" s="133"/>
      <c r="T293" s="133"/>
      <c r="U293" s="133"/>
      <c r="V293" s="133"/>
    </row>
    <row r="294" spans="1:24" ht="25.5" customHeight="1">
      <c r="A294" s="20"/>
      <c r="B294" s="185" t="s">
        <v>387</v>
      </c>
      <c r="C294" s="192">
        <v>40000</v>
      </c>
      <c r="D294" s="133"/>
      <c r="E294" s="136"/>
      <c r="F294" s="136"/>
      <c r="G294" s="136"/>
      <c r="H294" s="136"/>
      <c r="I294" s="133"/>
      <c r="J294" s="133"/>
      <c r="K294" s="133"/>
      <c r="L294" s="133"/>
      <c r="M294" s="136"/>
      <c r="N294" s="133"/>
      <c r="O294" s="133"/>
      <c r="P294" s="133"/>
      <c r="Q294" s="133"/>
      <c r="R294" s="133"/>
      <c r="S294" s="133"/>
      <c r="T294" s="133"/>
      <c r="U294" s="133"/>
      <c r="V294" s="133"/>
    </row>
    <row r="295" spans="1:24" ht="25.5" customHeight="1">
      <c r="A295" s="20"/>
      <c r="B295" s="347" t="s">
        <v>409</v>
      </c>
      <c r="C295" s="192">
        <v>175000</v>
      </c>
      <c r="D295" s="131"/>
      <c r="E295" s="135"/>
      <c r="F295" s="135"/>
      <c r="G295" s="135"/>
      <c r="H295" s="135"/>
      <c r="I295" s="131"/>
      <c r="J295" s="131"/>
      <c r="K295" s="131"/>
      <c r="L295" s="131"/>
      <c r="M295" s="135"/>
      <c r="N295" s="131"/>
      <c r="O295" s="131"/>
      <c r="P295" s="131"/>
      <c r="Q295" s="131"/>
      <c r="R295" s="131"/>
      <c r="S295" s="131"/>
      <c r="T295" s="131"/>
      <c r="U295" s="131"/>
      <c r="V295" s="131"/>
    </row>
    <row r="296" spans="1:24" ht="25.5" customHeight="1">
      <c r="A296" s="20"/>
      <c r="B296" s="348"/>
      <c r="C296" s="350"/>
      <c r="D296" s="345"/>
      <c r="E296" s="346"/>
      <c r="F296" s="346"/>
      <c r="G296" s="346"/>
      <c r="H296" s="346"/>
      <c r="I296" s="345"/>
      <c r="J296" s="345"/>
      <c r="K296" s="345"/>
      <c r="L296" s="345"/>
      <c r="M296" s="346"/>
      <c r="N296" s="345"/>
      <c r="O296" s="345"/>
      <c r="P296" s="345"/>
      <c r="Q296" s="345"/>
      <c r="R296" s="345"/>
      <c r="S296" s="345"/>
      <c r="T296" s="345"/>
      <c r="U296" s="345"/>
      <c r="V296" s="345"/>
    </row>
    <row r="297" spans="1:24" ht="25.5" customHeight="1" thickBot="1">
      <c r="A297" s="15"/>
      <c r="B297" s="53" t="s">
        <v>5</v>
      </c>
      <c r="C297" s="105">
        <f>SUM(C287:C296)</f>
        <v>723940.96</v>
      </c>
      <c r="D297" s="132">
        <f>SUM(D287:D296)</f>
        <v>0</v>
      </c>
      <c r="E297" s="137">
        <f t="shared" ref="E297:V297" si="16">SUM(E287:E296)</f>
        <v>0</v>
      </c>
      <c r="F297" s="137">
        <f t="shared" si="16"/>
        <v>0</v>
      </c>
      <c r="G297" s="132">
        <f t="shared" si="16"/>
        <v>0</v>
      </c>
      <c r="H297" s="137">
        <f t="shared" si="16"/>
        <v>0</v>
      </c>
      <c r="I297" s="132">
        <f t="shared" si="16"/>
        <v>0</v>
      </c>
      <c r="J297" s="132">
        <f t="shared" si="16"/>
        <v>0</v>
      </c>
      <c r="K297" s="132">
        <f t="shared" si="16"/>
        <v>0</v>
      </c>
      <c r="L297" s="132">
        <f t="shared" si="16"/>
        <v>0</v>
      </c>
      <c r="M297" s="137">
        <f t="shared" si="16"/>
        <v>0</v>
      </c>
      <c r="N297" s="132">
        <f t="shared" si="16"/>
        <v>0</v>
      </c>
      <c r="O297" s="132">
        <f t="shared" si="16"/>
        <v>0</v>
      </c>
      <c r="P297" s="132">
        <f t="shared" si="16"/>
        <v>0</v>
      </c>
      <c r="Q297" s="132">
        <f t="shared" si="16"/>
        <v>0</v>
      </c>
      <c r="R297" s="132">
        <f t="shared" si="16"/>
        <v>0</v>
      </c>
      <c r="S297" s="132">
        <f t="shared" si="16"/>
        <v>0</v>
      </c>
      <c r="T297" s="132"/>
      <c r="U297" s="132">
        <f t="shared" si="16"/>
        <v>0</v>
      </c>
      <c r="V297" s="132">
        <f t="shared" si="16"/>
        <v>0</v>
      </c>
      <c r="W297" s="318">
        <f>SUM(D297:V297)</f>
        <v>0</v>
      </c>
    </row>
    <row r="298" spans="1:24" ht="25.5" customHeight="1" thickTop="1" thickBot="1">
      <c r="A298" s="16"/>
      <c r="B298" s="52" t="s">
        <v>49</v>
      </c>
      <c r="C298" s="229">
        <f>+C272+C262+C221+C210+C204++C49+C39+C21+C176+C28+C224</f>
        <v>39148280</v>
      </c>
      <c r="D298" s="229">
        <f t="shared" ref="D298:V298" si="17">+D272+D262+D221+D210+D204++D49+D39+D21+D176+D28+D224</f>
        <v>738454</v>
      </c>
      <c r="E298" s="229">
        <f>+E272+E262+E221+E210+E204++E49+E39+E21+E176+E28+E224+E242</f>
        <v>798972.4</v>
      </c>
      <c r="F298" s="229">
        <f t="shared" si="17"/>
        <v>144417.79999999999</v>
      </c>
      <c r="G298" s="229">
        <f t="shared" si="17"/>
        <v>21000</v>
      </c>
      <c r="H298" s="229">
        <f>+H272+H262+H221+H210+H204++H49+H39+H21+H176+H28+H224+H235</f>
        <v>430274.06</v>
      </c>
      <c r="I298" s="229">
        <f t="shared" si="17"/>
        <v>866800</v>
      </c>
      <c r="J298" s="229">
        <f t="shared" si="17"/>
        <v>0</v>
      </c>
      <c r="K298" s="229">
        <f>+K272+K262+K221+K210+K204++K49+K39+K21+K176+K28+K224</f>
        <v>0</v>
      </c>
      <c r="L298" s="229">
        <f t="shared" si="17"/>
        <v>0</v>
      </c>
      <c r="M298" s="229">
        <f t="shared" si="17"/>
        <v>188572.3</v>
      </c>
      <c r="N298" s="229">
        <f t="shared" si="17"/>
        <v>124500</v>
      </c>
      <c r="O298" s="229">
        <f t="shared" si="17"/>
        <v>0</v>
      </c>
      <c r="P298" s="229">
        <f t="shared" si="17"/>
        <v>0</v>
      </c>
      <c r="Q298" s="229">
        <f t="shared" si="17"/>
        <v>0</v>
      </c>
      <c r="R298" s="229">
        <f t="shared" si="17"/>
        <v>0</v>
      </c>
      <c r="S298" s="229">
        <f t="shared" si="17"/>
        <v>14984</v>
      </c>
      <c r="T298" s="229"/>
      <c r="U298" s="229">
        <f t="shared" si="17"/>
        <v>0</v>
      </c>
      <c r="V298" s="51">
        <f t="shared" si="17"/>
        <v>10000</v>
      </c>
      <c r="W298" s="353">
        <f>SUM(D298:V298)</f>
        <v>3337974.5599999996</v>
      </c>
      <c r="X298" s="522"/>
    </row>
    <row r="299" spans="1:24" ht="25.5" customHeight="1" thickTop="1" thickBot="1">
      <c r="A299" s="16"/>
      <c r="B299" s="41" t="s">
        <v>25</v>
      </c>
      <c r="C299" s="260">
        <f>+C297+C285+C276+C272+C262+C224+C221+C210+C176+C49+C28+C21+C39++C204</f>
        <v>40128720.960000001</v>
      </c>
      <c r="D299" s="260">
        <f>+D297+D285+D276+D272+D262+D224+D221+D210+D176+D49+D28+D21+D39++D204</f>
        <v>738454</v>
      </c>
      <c r="E299" s="260">
        <f>+E297+E285+E276+E272+E262+E224+E221+E210+E176+E49+E28+E21+E39++E204+E242</f>
        <v>798972.4</v>
      </c>
      <c r="F299" s="260">
        <f t="shared" ref="F299:V299" si="18">+F297+F285+F276+F272+F262+F224+F221+F210+F176+F49+F28+F21+F39++F204</f>
        <v>144417.79999999999</v>
      </c>
      <c r="G299" s="260">
        <f t="shared" si="18"/>
        <v>21000</v>
      </c>
      <c r="H299" s="260">
        <f>+H297+H285+H276+H272+H262+H224+H221+H210+H176+H49+H28+H21+H39++H204+H235</f>
        <v>430274.06</v>
      </c>
      <c r="I299" s="260">
        <f t="shared" si="18"/>
        <v>866800</v>
      </c>
      <c r="J299" s="260">
        <f t="shared" si="18"/>
        <v>0</v>
      </c>
      <c r="K299" s="260">
        <f>+K297+K285+K276+K272+K262+K224+K221+K210+K176+K49+K28+K21+K39++K204</f>
        <v>1800</v>
      </c>
      <c r="L299" s="260">
        <f t="shared" si="18"/>
        <v>0</v>
      </c>
      <c r="M299" s="260">
        <f t="shared" si="18"/>
        <v>188572.3</v>
      </c>
      <c r="N299" s="260">
        <f t="shared" si="18"/>
        <v>124500</v>
      </c>
      <c r="O299" s="260">
        <f t="shared" si="18"/>
        <v>0</v>
      </c>
      <c r="P299" s="260">
        <f t="shared" si="18"/>
        <v>0</v>
      </c>
      <c r="Q299" s="260">
        <f t="shared" si="18"/>
        <v>0</v>
      </c>
      <c r="R299" s="260">
        <f t="shared" si="18"/>
        <v>0</v>
      </c>
      <c r="S299" s="260">
        <f t="shared" si="18"/>
        <v>14984</v>
      </c>
      <c r="T299" s="260"/>
      <c r="U299" s="260">
        <f t="shared" si="18"/>
        <v>0</v>
      </c>
      <c r="V299" s="309">
        <f t="shared" si="18"/>
        <v>10000</v>
      </c>
      <c r="W299" s="495">
        <f>SUM(D299:V299)</f>
        <v>3339774.5599999996</v>
      </c>
      <c r="X299" s="522"/>
    </row>
    <row r="300" spans="1:24" ht="25.5" customHeight="1" thickTop="1">
      <c r="B300" s="246" t="s">
        <v>273</v>
      </c>
      <c r="C300" s="182"/>
      <c r="D300" s="300"/>
      <c r="E300" s="301"/>
      <c r="F300" s="302"/>
      <c r="G300" s="302"/>
      <c r="H300" s="302"/>
      <c r="I300" s="300"/>
      <c r="J300" s="300"/>
      <c r="K300" s="300"/>
      <c r="L300" s="300"/>
      <c r="M300" s="302"/>
      <c r="N300" s="300"/>
      <c r="O300" s="300"/>
      <c r="P300" s="300"/>
      <c r="Q300" s="300"/>
      <c r="R300" s="303"/>
      <c r="S300" s="304"/>
      <c r="T300" s="304"/>
      <c r="U300" s="303"/>
      <c r="V300" s="303"/>
      <c r="W300" s="529"/>
      <c r="X300" s="522"/>
    </row>
    <row r="301" spans="1:24" ht="25.5" customHeight="1">
      <c r="C301" s="182"/>
      <c r="D301" s="521"/>
      <c r="E301" s="527"/>
      <c r="F301" s="520"/>
      <c r="G301" s="520"/>
      <c r="H301" s="520"/>
      <c r="I301" s="521"/>
      <c r="J301" s="521"/>
      <c r="K301" s="521"/>
      <c r="L301" s="521"/>
      <c r="M301" s="520"/>
      <c r="N301" s="521"/>
      <c r="O301" s="521"/>
      <c r="P301" s="521"/>
      <c r="Q301" s="521"/>
      <c r="R301" s="522"/>
      <c r="S301" s="523"/>
      <c r="T301" s="523"/>
      <c r="U301" s="522"/>
      <c r="V301" s="522"/>
      <c r="W301" s="530"/>
      <c r="X301" s="522"/>
    </row>
    <row r="302" spans="1:24" ht="25.5" customHeight="1">
      <c r="C302" s="182"/>
      <c r="D302" s="521"/>
      <c r="E302" s="527"/>
      <c r="F302" s="520"/>
      <c r="G302" s="520"/>
      <c r="H302" s="520"/>
      <c r="I302" s="521"/>
      <c r="J302" s="521"/>
      <c r="K302" s="521"/>
      <c r="L302" s="521"/>
      <c r="M302" s="520"/>
      <c r="N302" s="521"/>
      <c r="O302" s="521"/>
      <c r="P302" s="521"/>
      <c r="Q302" s="521"/>
      <c r="R302" s="522"/>
      <c r="S302" s="523"/>
      <c r="T302" s="523"/>
      <c r="U302" s="522"/>
      <c r="V302" s="522"/>
      <c r="W302" s="531">
        <f>39148280-C298</f>
        <v>0</v>
      </c>
    </row>
    <row r="303" spans="1:24" ht="25.5" customHeight="1">
      <c r="B303" s="253">
        <f>39148280-C298</f>
        <v>0</v>
      </c>
      <c r="C303" s="182"/>
      <c r="W303" s="322"/>
    </row>
    <row r="304" spans="1:24" ht="25.5" customHeight="1">
      <c r="C304" s="182"/>
      <c r="W304" s="328"/>
    </row>
    <row r="305" spans="1:24" ht="25.5" customHeight="1">
      <c r="C305" s="182"/>
      <c r="W305" s="321"/>
    </row>
    <row r="306" spans="1:24" ht="25.5" customHeight="1">
      <c r="W306" s="321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 s="221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 s="221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 s="221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 s="2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 s="221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 s="221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 s="221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 s="221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 s="221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 s="221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 s="221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 s="221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 s="221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 s="22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 s="221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 s="221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 s="221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 s="221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 s="221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 s="221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 s="221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 s="221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 s="221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 s="22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 s="221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 s="221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 s="221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 s="221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 s="221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 s="221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 s="221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 s="221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 s="221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 s="22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 s="221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 s="221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 s="221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 s="221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 s="221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 s="221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 s="221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 s="221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 s="221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 s="22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 s="221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 s="221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 s="221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 s="221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 s="221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 s="221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 s="221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 s="221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 s="221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 s="22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 s="221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 s="221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 s="221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 s="221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 s="221"/>
    </row>
    <row r="377" spans="1:24" s="310" customFormat="1" ht="25.5" customHeight="1">
      <c r="A377"/>
      <c r="B377"/>
      <c r="C377" s="282"/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  <c r="X377" s="221"/>
    </row>
    <row r="378" spans="1:24" s="310" customFormat="1" ht="25.5" customHeight="1">
      <c r="A378"/>
      <c r="B378"/>
      <c r="C378" s="282"/>
      <c r="D378" s="181"/>
      <c r="E378" s="272"/>
      <c r="F378" s="265"/>
      <c r="G378" s="265"/>
      <c r="H378" s="265"/>
      <c r="I378" s="181"/>
      <c r="J378" s="181"/>
      <c r="K378" s="181"/>
      <c r="L378" s="181"/>
      <c r="M378" s="265"/>
      <c r="N378" s="181"/>
      <c r="O378" s="181"/>
      <c r="P378" s="181"/>
      <c r="Q378" s="181"/>
      <c r="R378" s="221"/>
      <c r="S378" s="234"/>
      <c r="T378" s="234"/>
      <c r="U378" s="221"/>
      <c r="V378" s="221"/>
      <c r="X378" s="221"/>
    </row>
    <row r="379" spans="1:24" s="310" customFormat="1" ht="25.5" customHeight="1">
      <c r="A379"/>
      <c r="B379"/>
      <c r="C379" s="282"/>
      <c r="D379" s="181"/>
      <c r="E379" s="272"/>
      <c r="F379" s="265"/>
      <c r="G379" s="265"/>
      <c r="H379" s="265"/>
      <c r="I379" s="181"/>
      <c r="J379" s="181"/>
      <c r="K379" s="181"/>
      <c r="L379" s="181"/>
      <c r="M379" s="265"/>
      <c r="N379" s="181"/>
      <c r="O379" s="181"/>
      <c r="P379" s="181"/>
      <c r="Q379" s="181"/>
      <c r="R379" s="221"/>
      <c r="S379" s="234"/>
      <c r="T379" s="234"/>
      <c r="U379" s="221"/>
      <c r="V379" s="221"/>
      <c r="X379" s="221"/>
    </row>
    <row r="380" spans="1:24" s="310" customFormat="1" ht="25.5" customHeight="1">
      <c r="A380"/>
      <c r="B380"/>
      <c r="C380" s="282"/>
      <c r="D380" s="181"/>
      <c r="E380" s="272"/>
      <c r="F380" s="265"/>
      <c r="G380" s="265"/>
      <c r="H380" s="265"/>
      <c r="I380" s="181"/>
      <c r="J380" s="181"/>
      <c r="K380" s="181"/>
      <c r="L380" s="181"/>
      <c r="M380" s="265"/>
      <c r="N380" s="181"/>
      <c r="O380" s="181"/>
      <c r="P380" s="181"/>
      <c r="Q380" s="181"/>
      <c r="R380" s="221"/>
      <c r="S380" s="234"/>
      <c r="T380" s="234"/>
      <c r="U380" s="221"/>
      <c r="V380" s="221"/>
      <c r="X380" s="221"/>
    </row>
    <row r="381" spans="1:24" s="310" customFormat="1" ht="25.5" customHeight="1">
      <c r="A381"/>
      <c r="B381"/>
      <c r="C381" s="282"/>
      <c r="D381" s="181"/>
      <c r="E381" s="272"/>
      <c r="F381" s="265"/>
      <c r="G381" s="265"/>
      <c r="H381" s="265"/>
      <c r="I381" s="181"/>
      <c r="J381" s="181"/>
      <c r="K381" s="181"/>
      <c r="L381" s="181"/>
      <c r="M381" s="265"/>
      <c r="N381" s="181"/>
      <c r="O381" s="181"/>
      <c r="P381" s="181"/>
      <c r="Q381" s="181"/>
      <c r="R381" s="221"/>
      <c r="S381" s="234"/>
      <c r="T381" s="234"/>
      <c r="U381" s="221"/>
      <c r="V381" s="221"/>
      <c r="X381" s="221"/>
    </row>
    <row r="382" spans="1:24" s="310" customFormat="1" ht="25.5" customHeight="1">
      <c r="A382"/>
      <c r="B382"/>
      <c r="C382" s="282"/>
      <c r="D382" s="181"/>
      <c r="E382" s="272"/>
      <c r="F382" s="265"/>
      <c r="G382" s="265"/>
      <c r="H382" s="265"/>
      <c r="I382" s="181"/>
      <c r="J382" s="181"/>
      <c r="K382" s="181"/>
      <c r="L382" s="181"/>
      <c r="M382" s="265"/>
      <c r="N382" s="181"/>
      <c r="O382" s="181"/>
      <c r="P382" s="181"/>
      <c r="Q382" s="181"/>
      <c r="R382" s="221"/>
      <c r="S382" s="234"/>
      <c r="T382" s="234"/>
      <c r="U382" s="221"/>
      <c r="V382" s="221"/>
      <c r="X382" s="221"/>
    </row>
    <row r="383" spans="1:24" s="310" customFormat="1" ht="25.5" customHeight="1">
      <c r="A383"/>
      <c r="B383"/>
      <c r="C383" s="282"/>
      <c r="D383" s="181"/>
      <c r="E383" s="272"/>
      <c r="F383" s="265"/>
      <c r="G383" s="265"/>
      <c r="H383" s="265"/>
      <c r="I383" s="181"/>
      <c r="J383" s="181"/>
      <c r="K383" s="181"/>
      <c r="L383" s="181"/>
      <c r="M383" s="265"/>
      <c r="N383" s="181"/>
      <c r="O383" s="181"/>
      <c r="P383" s="181"/>
      <c r="Q383" s="181"/>
      <c r="R383" s="221"/>
      <c r="S383" s="234"/>
      <c r="T383" s="234"/>
      <c r="U383" s="221"/>
      <c r="V383" s="221"/>
      <c r="X383" s="221"/>
    </row>
    <row r="384" spans="1:24" s="310" customFormat="1" ht="25.5" customHeight="1">
      <c r="A384"/>
      <c r="B384"/>
      <c r="C384" s="282"/>
      <c r="D384" s="181"/>
      <c r="E384" s="272"/>
      <c r="F384" s="265"/>
      <c r="G384" s="265"/>
      <c r="H384" s="265"/>
      <c r="I384" s="181"/>
      <c r="J384" s="181"/>
      <c r="K384" s="181"/>
      <c r="L384" s="181"/>
      <c r="M384" s="265"/>
      <c r="N384" s="181"/>
      <c r="O384" s="181"/>
      <c r="P384" s="181"/>
      <c r="Q384" s="181"/>
      <c r="R384" s="221"/>
      <c r="S384" s="234"/>
      <c r="T384" s="234"/>
      <c r="U384" s="221"/>
      <c r="V384" s="221"/>
      <c r="X384" s="221"/>
    </row>
    <row r="385" spans="1:24" s="310" customFormat="1" ht="25.5" customHeight="1">
      <c r="A385"/>
      <c r="B385"/>
      <c r="C385" s="282"/>
      <c r="D385" s="181"/>
      <c r="E385" s="272"/>
      <c r="F385" s="265"/>
      <c r="G385" s="265"/>
      <c r="H385" s="265"/>
      <c r="I385" s="181"/>
      <c r="J385" s="181"/>
      <c r="K385" s="181"/>
      <c r="L385" s="181"/>
      <c r="M385" s="265"/>
      <c r="N385" s="181"/>
      <c r="O385" s="181"/>
      <c r="P385" s="181"/>
      <c r="Q385" s="181"/>
      <c r="R385" s="221"/>
      <c r="S385" s="234"/>
      <c r="T385" s="234"/>
      <c r="U385" s="221"/>
      <c r="V385" s="221"/>
      <c r="X385" s="221"/>
    </row>
    <row r="386" spans="1:24" s="310" customFormat="1" ht="25.5" customHeight="1">
      <c r="A386"/>
      <c r="B386"/>
      <c r="C386" s="282"/>
      <c r="D386" s="181"/>
      <c r="E386" s="272"/>
      <c r="F386" s="265"/>
      <c r="G386" s="265"/>
      <c r="H386" s="265"/>
      <c r="I386" s="181"/>
      <c r="J386" s="181"/>
      <c r="K386" s="181"/>
      <c r="L386" s="181"/>
      <c r="M386" s="265"/>
      <c r="N386" s="181"/>
      <c r="O386" s="181"/>
      <c r="P386" s="181"/>
      <c r="Q386" s="181"/>
      <c r="R386" s="221"/>
      <c r="S386" s="234"/>
      <c r="T386" s="234"/>
      <c r="U386" s="221"/>
      <c r="V386" s="221"/>
      <c r="X386" s="221"/>
    </row>
  </sheetData>
  <mergeCells count="33">
    <mergeCell ref="V7:V8"/>
    <mergeCell ref="P7:P8"/>
    <mergeCell ref="Q7:Q8"/>
    <mergeCell ref="R7:R8"/>
    <mergeCell ref="S7:S8"/>
    <mergeCell ref="T7:T8"/>
    <mergeCell ref="U7:U8"/>
    <mergeCell ref="I7:I8"/>
    <mergeCell ref="J7:J8"/>
    <mergeCell ref="K7:K8"/>
    <mergeCell ref="M7:M8"/>
    <mergeCell ref="N7:N8"/>
    <mergeCell ref="O7:O8"/>
    <mergeCell ref="M5:P6"/>
    <mergeCell ref="Q5:Q6"/>
    <mergeCell ref="R5:T6"/>
    <mergeCell ref="U5:U6"/>
    <mergeCell ref="V5:V6"/>
    <mergeCell ref="D7:D8"/>
    <mergeCell ref="E7:E8"/>
    <mergeCell ref="F7:F8"/>
    <mergeCell ref="G7:G8"/>
    <mergeCell ref="H7:H8"/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</mergeCells>
  <pageMargins left="0.17" right="0.17" top="0.19685039370078741" bottom="0.17" header="0.19685039370078741" footer="0.15748031496062992"/>
  <pageSetup paperSize="9" scale="8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X386"/>
  <sheetViews>
    <sheetView workbookViewId="0">
      <pane ySplit="8" topLeftCell="A168" activePane="bottomLeft" state="frozen"/>
      <selection activeCell="J212" sqref="J212"/>
      <selection pane="bottomLeft" activeCell="B175" sqref="B175:C175"/>
    </sheetView>
  </sheetViews>
  <sheetFormatPr defaultRowHeight="25.5" customHeight="1"/>
  <cols>
    <col min="1" max="1" width="1.140625" customWidth="1"/>
    <col min="2" max="2" width="36.140625" customWidth="1"/>
    <col min="3" max="3" width="11.28515625" style="282" customWidth="1"/>
    <col min="4" max="4" width="9.85546875" style="181" customWidth="1"/>
    <col min="5" max="5" width="11" style="272" customWidth="1"/>
    <col min="6" max="6" width="10.85546875" style="265" customWidth="1"/>
    <col min="7" max="8" width="11" style="265" customWidth="1"/>
    <col min="9" max="9" width="9.140625" style="181" customWidth="1"/>
    <col min="10" max="10" width="9.42578125" style="181" customWidth="1"/>
    <col min="11" max="11" width="10" style="265" customWidth="1"/>
    <col min="12" max="12" width="1.7109375" style="181" customWidth="1"/>
    <col min="13" max="13" width="11" style="265" customWidth="1"/>
    <col min="14" max="14" width="8.85546875" style="181" customWidth="1"/>
    <col min="15" max="16" width="1.7109375" style="181" customWidth="1"/>
    <col min="17" max="17" width="9.7109375" style="181" customWidth="1"/>
    <col min="18" max="18" width="1.7109375" style="221" customWidth="1"/>
    <col min="19" max="19" width="1.7109375" style="234" customWidth="1"/>
    <col min="20" max="20" width="2" style="234" customWidth="1"/>
    <col min="21" max="21" width="1.85546875" style="221" customWidth="1"/>
    <col min="22" max="22" width="8.7109375" style="221" customWidth="1"/>
    <col min="23" max="23" width="26" style="310" customWidth="1"/>
    <col min="24" max="24" width="9.140625" style="22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439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521"/>
      <c r="E4" s="527"/>
      <c r="F4" s="520"/>
      <c r="G4" s="520"/>
      <c r="H4" s="520"/>
      <c r="I4" s="521"/>
      <c r="J4" s="521"/>
      <c r="K4" s="520"/>
      <c r="L4" s="521"/>
      <c r="M4" s="520"/>
      <c r="N4" s="521"/>
      <c r="O4" s="521"/>
      <c r="P4" s="521"/>
      <c r="Q4" s="521"/>
      <c r="R4" s="522"/>
      <c r="S4" s="523"/>
      <c r="T4" s="523"/>
      <c r="U4" s="522"/>
      <c r="V4" s="522"/>
      <c r="W4" s="311"/>
      <c r="X4" s="522"/>
    </row>
    <row r="5" spans="1:24" s="2" customFormat="1" ht="25.5" customHeight="1">
      <c r="A5" s="654" t="s">
        <v>1</v>
      </c>
      <c r="B5" s="655"/>
      <c r="C5" s="276"/>
      <c r="D5" s="667" t="s">
        <v>26</v>
      </c>
      <c r="E5" s="667" t="s">
        <v>27</v>
      </c>
      <c r="F5" s="667"/>
      <c r="G5" s="668" t="s">
        <v>425</v>
      </c>
      <c r="H5" s="669" t="s">
        <v>29</v>
      </c>
      <c r="I5" s="670"/>
      <c r="J5" s="671"/>
      <c r="K5" s="668" t="s">
        <v>30</v>
      </c>
      <c r="L5" s="675" t="s">
        <v>216</v>
      </c>
      <c r="M5" s="669" t="s">
        <v>31</v>
      </c>
      <c r="N5" s="670"/>
      <c r="O5" s="670"/>
      <c r="P5" s="671"/>
      <c r="Q5" s="675" t="s">
        <v>32</v>
      </c>
      <c r="R5" s="669" t="s">
        <v>62</v>
      </c>
      <c r="S5" s="670"/>
      <c r="T5" s="671"/>
      <c r="U5" s="675" t="s">
        <v>63</v>
      </c>
      <c r="V5" s="675" t="s">
        <v>64</v>
      </c>
      <c r="W5" s="312"/>
      <c r="X5" s="525"/>
    </row>
    <row r="6" spans="1:24" s="2" customFormat="1" ht="33.75" customHeight="1">
      <c r="A6" s="656"/>
      <c r="B6" s="657"/>
      <c r="C6" s="277"/>
      <c r="D6" s="667"/>
      <c r="E6" s="667"/>
      <c r="F6" s="667"/>
      <c r="G6" s="668"/>
      <c r="H6" s="672"/>
      <c r="I6" s="673"/>
      <c r="J6" s="674"/>
      <c r="K6" s="668"/>
      <c r="L6" s="676"/>
      <c r="M6" s="672"/>
      <c r="N6" s="673"/>
      <c r="O6" s="673"/>
      <c r="P6" s="674"/>
      <c r="Q6" s="676"/>
      <c r="R6" s="672"/>
      <c r="S6" s="673"/>
      <c r="T6" s="674"/>
      <c r="U6" s="676"/>
      <c r="V6" s="676"/>
      <c r="W6" s="312"/>
      <c r="X6" s="525"/>
    </row>
    <row r="7" spans="1:24" s="2" customFormat="1" ht="25.5" customHeight="1">
      <c r="A7" s="656"/>
      <c r="B7" s="657"/>
      <c r="C7" s="277"/>
      <c r="D7" s="667" t="s">
        <v>33</v>
      </c>
      <c r="E7" s="677" t="s">
        <v>34</v>
      </c>
      <c r="F7" s="668" t="s">
        <v>35</v>
      </c>
      <c r="G7" s="668" t="s">
        <v>36</v>
      </c>
      <c r="H7" s="668" t="s">
        <v>37</v>
      </c>
      <c r="I7" s="675" t="s">
        <v>38</v>
      </c>
      <c r="J7" s="675" t="s">
        <v>39</v>
      </c>
      <c r="K7" s="668" t="s">
        <v>40</v>
      </c>
      <c r="L7" s="524" t="s">
        <v>217</v>
      </c>
      <c r="M7" s="679" t="s">
        <v>37</v>
      </c>
      <c r="N7" s="667" t="s">
        <v>41</v>
      </c>
      <c r="O7" s="675" t="s">
        <v>219</v>
      </c>
      <c r="P7" s="675" t="s">
        <v>42</v>
      </c>
      <c r="Q7" s="675" t="s">
        <v>43</v>
      </c>
      <c r="R7" s="667" t="s">
        <v>410</v>
      </c>
      <c r="S7" s="668" t="s">
        <v>66</v>
      </c>
      <c r="T7" s="677" t="s">
        <v>433</v>
      </c>
      <c r="U7" s="667" t="s">
        <v>67</v>
      </c>
      <c r="V7" s="667" t="s">
        <v>68</v>
      </c>
      <c r="W7" s="312"/>
      <c r="X7" s="525"/>
    </row>
    <row r="8" spans="1:24" s="2" customFormat="1" ht="26.25" customHeight="1">
      <c r="A8" s="658"/>
      <c r="B8" s="659"/>
      <c r="C8" s="278"/>
      <c r="D8" s="667"/>
      <c r="E8" s="678"/>
      <c r="F8" s="668"/>
      <c r="G8" s="668"/>
      <c r="H8" s="668"/>
      <c r="I8" s="676"/>
      <c r="J8" s="676"/>
      <c r="K8" s="668"/>
      <c r="L8" s="526" t="s">
        <v>218</v>
      </c>
      <c r="M8" s="679"/>
      <c r="N8" s="667"/>
      <c r="O8" s="676"/>
      <c r="P8" s="676"/>
      <c r="Q8" s="676"/>
      <c r="R8" s="667"/>
      <c r="S8" s="668"/>
      <c r="T8" s="678"/>
      <c r="U8" s="667"/>
      <c r="V8" s="667"/>
      <c r="W8" s="313"/>
      <c r="X8" s="1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5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25164</v>
      </c>
      <c r="E10" s="267"/>
      <c r="F10" s="135"/>
      <c r="G10" s="135"/>
      <c r="H10" s="135"/>
      <c r="I10" s="131"/>
      <c r="J10" s="131"/>
      <c r="K10" s="135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2280</v>
      </c>
      <c r="E11" s="267"/>
      <c r="F11" s="135"/>
      <c r="G11" s="135"/>
      <c r="H11" s="135"/>
      <c r="I11" s="131"/>
      <c r="J11" s="131"/>
      <c r="K11" s="135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523700</v>
      </c>
      <c r="E12" s="267"/>
      <c r="F12" s="135"/>
      <c r="G12" s="135"/>
      <c r="H12" s="135"/>
      <c r="I12" s="131"/>
      <c r="J12" s="131"/>
      <c r="K12" s="135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5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201600</v>
      </c>
      <c r="E14" s="267"/>
      <c r="F14" s="135"/>
      <c r="G14" s="135"/>
      <c r="H14" s="135"/>
      <c r="I14" s="131"/>
      <c r="J14" s="131"/>
      <c r="K14" s="135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5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5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5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/>
      <c r="E18" s="267"/>
      <c r="F18" s="135"/>
      <c r="G18" s="135"/>
      <c r="H18" s="135"/>
      <c r="I18" s="131"/>
      <c r="J18" s="131"/>
      <c r="K18" s="135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228" t="s">
        <v>81</v>
      </c>
      <c r="C19" s="285">
        <f>344150-20000</f>
        <v>324150</v>
      </c>
      <c r="D19" s="131"/>
      <c r="E19" s="267"/>
      <c r="F19" s="135"/>
      <c r="G19" s="135"/>
      <c r="H19" s="135"/>
      <c r="I19" s="131"/>
      <c r="J19" s="131"/>
      <c r="K19" s="135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198" t="s">
        <v>424</v>
      </c>
      <c r="C20" s="290">
        <v>70650</v>
      </c>
      <c r="D20" s="131"/>
      <c r="E20" s="267"/>
      <c r="F20" s="196"/>
      <c r="G20" s="196"/>
      <c r="H20" s="196"/>
      <c r="I20" s="195"/>
      <c r="J20" s="195"/>
      <c r="K20" s="196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SUM(C10:C20)</f>
        <v>10137432</v>
      </c>
      <c r="D21" s="40">
        <f>SUM(D10:D20)</f>
        <v>754244</v>
      </c>
      <c r="E21" s="35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7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754244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6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5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5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5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5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1283280-10000-14000-48300</f>
        <v>1210980</v>
      </c>
      <c r="D27" s="131"/>
      <c r="E27" s="267">
        <v>95220</v>
      </c>
      <c r="F27" s="135"/>
      <c r="G27" s="135"/>
      <c r="H27" s="135"/>
      <c r="I27" s="131"/>
      <c r="J27" s="131"/>
      <c r="K27" s="135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2345220</v>
      </c>
      <c r="D28" s="132">
        <f>SUM(D23:D27)</f>
        <v>0</v>
      </c>
      <c r="E28" s="268">
        <f>SUM(E23:E27)</f>
        <v>189740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7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189740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6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3188820+1300000+884640+1648500-100000-22000-19000-60000-184500-25100-50000-100000-20000-50000-64500-70650-40000-53200-40000-15000</f>
        <v>6108010</v>
      </c>
      <c r="D30" s="133"/>
      <c r="E30" s="269">
        <v>218140</v>
      </c>
      <c r="F30" s="269">
        <v>78150</v>
      </c>
      <c r="G30" s="269"/>
      <c r="H30" s="269">
        <v>74660</v>
      </c>
      <c r="I30" s="269"/>
      <c r="J30" s="269"/>
      <c r="K30" s="269"/>
      <c r="L30" s="269"/>
      <c r="M30" s="269">
        <v>90890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269">
        <v>0</v>
      </c>
      <c r="G31" s="269"/>
      <c r="H31" s="269">
        <v>158820</v>
      </c>
      <c r="I31" s="269"/>
      <c r="J31" s="269"/>
      <c r="K31" s="269"/>
      <c r="L31" s="269"/>
      <c r="M31" s="269"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269">
        <v>0</v>
      </c>
      <c r="G32" s="269"/>
      <c r="H32" s="269">
        <v>0</v>
      </c>
      <c r="I32" s="269"/>
      <c r="J32" s="269"/>
      <c r="K32" s="269"/>
      <c r="L32" s="269"/>
      <c r="M32" s="269"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v>11000</v>
      </c>
      <c r="F33" s="269">
        <v>58130</v>
      </c>
      <c r="G33" s="269"/>
      <c r="H33" s="269">
        <v>3500</v>
      </c>
      <c r="I33" s="269"/>
      <c r="J33" s="269"/>
      <c r="K33" s="269"/>
      <c r="L33" s="269"/>
      <c r="M33" s="269">
        <v>3500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787000+589000+559480+350880+100000+184500+153000-9400</f>
        <v>2714460</v>
      </c>
      <c r="D34" s="131"/>
      <c r="E34" s="269">
        <v>85330</v>
      </c>
      <c r="F34" s="269">
        <v>6355</v>
      </c>
      <c r="G34" s="269"/>
      <c r="H34" s="269">
        <v>64910</v>
      </c>
      <c r="I34" s="269"/>
      <c r="J34" s="269"/>
      <c r="K34" s="269"/>
      <c r="L34" s="269"/>
      <c r="M34" s="269">
        <v>29240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v>0</v>
      </c>
      <c r="F35" s="269">
        <v>0</v>
      </c>
      <c r="G35" s="269"/>
      <c r="H35" s="269">
        <v>20970</v>
      </c>
      <c r="I35" s="269"/>
      <c r="J35" s="269"/>
      <c r="K35" s="269"/>
      <c r="L35" s="269"/>
      <c r="M35" s="269"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76000+72000+84000+22000+25100+11000-5700</f>
        <v>284400</v>
      </c>
      <c r="D36" s="131"/>
      <c r="E36" s="269">
        <v>9160</v>
      </c>
      <c r="F36" s="269">
        <v>0</v>
      </c>
      <c r="G36" s="269"/>
      <c r="H36" s="269">
        <v>8500</v>
      </c>
      <c r="I36" s="269"/>
      <c r="J36" s="269"/>
      <c r="K36" s="269"/>
      <c r="L36" s="269"/>
      <c r="M36" s="269">
        <v>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s="221" customFormat="1" ht="25.5" customHeight="1">
      <c r="A37" s="227"/>
      <c r="B37" s="228" t="s">
        <v>240</v>
      </c>
      <c r="C37" s="288">
        <v>48000</v>
      </c>
      <c r="D37" s="195"/>
      <c r="E37" s="269">
        <v>0</v>
      </c>
      <c r="F37" s="269">
        <v>0</v>
      </c>
      <c r="G37" s="269"/>
      <c r="H37" s="269">
        <v>1830</v>
      </c>
      <c r="I37" s="269"/>
      <c r="J37" s="269"/>
      <c r="K37" s="269"/>
      <c r="L37" s="269"/>
      <c r="M37" s="269"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s="221" customFormat="1" ht="25.5" customHeight="1">
      <c r="A38" s="9"/>
      <c r="B38" s="130" t="s">
        <v>440</v>
      </c>
      <c r="C38" s="288">
        <v>35000</v>
      </c>
      <c r="D38" s="195"/>
      <c r="E38" s="533"/>
      <c r="F38" s="533"/>
      <c r="G38" s="533"/>
      <c r="H38" s="533">
        <v>35000</v>
      </c>
      <c r="I38" s="533"/>
      <c r="J38" s="533"/>
      <c r="K38" s="533"/>
      <c r="L38" s="533"/>
      <c r="M38" s="533">
        <v>0</v>
      </c>
      <c r="N38" s="533"/>
      <c r="O38" s="533"/>
      <c r="P38" s="533"/>
      <c r="Q38" s="533"/>
      <c r="R38" s="533"/>
      <c r="S38" s="533"/>
      <c r="T38" s="533"/>
      <c r="U38" s="533"/>
      <c r="V38" s="533"/>
      <c r="W38" s="315"/>
    </row>
    <row r="39" spans="1:23" s="597" customFormat="1" ht="25.5" customHeight="1" thickBot="1">
      <c r="A39" s="46"/>
      <c r="B39" s="47" t="s">
        <v>5</v>
      </c>
      <c r="C39" s="289">
        <f>SUM(C30:C37)</f>
        <v>11534650</v>
      </c>
      <c r="D39" s="132">
        <f>SUM(D30:D37)</f>
        <v>0</v>
      </c>
      <c r="E39" s="137">
        <f>SUM(E30:E37)</f>
        <v>324070</v>
      </c>
      <c r="F39" s="137">
        <f>SUM(F30:F37)</f>
        <v>142635</v>
      </c>
      <c r="G39" s="137">
        <f t="shared" ref="G39:V39" si="2">SUM(G30:G37)</f>
        <v>0</v>
      </c>
      <c r="H39" s="137">
        <f>SUM(H30:H38)</f>
        <v>368190</v>
      </c>
      <c r="I39" s="132">
        <f t="shared" si="2"/>
        <v>0</v>
      </c>
      <c r="J39" s="132">
        <f t="shared" si="2"/>
        <v>0</v>
      </c>
      <c r="K39" s="137">
        <f>SUM(K30:K38)</f>
        <v>0</v>
      </c>
      <c r="L39" s="132">
        <f t="shared" si="2"/>
        <v>0</v>
      </c>
      <c r="M39" s="137">
        <f>SUM(M30:M38)</f>
        <v>123630</v>
      </c>
      <c r="N39" s="132">
        <f t="shared" si="2"/>
        <v>0</v>
      </c>
      <c r="O39" s="132">
        <f t="shared" si="2"/>
        <v>0</v>
      </c>
      <c r="P39" s="132">
        <f t="shared" si="2"/>
        <v>0</v>
      </c>
      <c r="Q39" s="132">
        <f t="shared" si="2"/>
        <v>0</v>
      </c>
      <c r="R39" s="132">
        <f t="shared" si="2"/>
        <v>0</v>
      </c>
      <c r="S39" s="132">
        <f t="shared" si="2"/>
        <v>0</v>
      </c>
      <c r="T39" s="132"/>
      <c r="U39" s="132">
        <f t="shared" si="2"/>
        <v>0</v>
      </c>
      <c r="V39" s="132">
        <f t="shared" si="2"/>
        <v>0</v>
      </c>
      <c r="W39" s="596">
        <f>SUM(D39:V39)</f>
        <v>958525</v>
      </c>
    </row>
    <row r="40" spans="1:23" s="221" customFormat="1" ht="25.5" customHeight="1" thickTop="1">
      <c r="A40" s="5" t="s">
        <v>98</v>
      </c>
      <c r="B40" s="6"/>
      <c r="C40" s="190"/>
      <c r="D40" s="133"/>
      <c r="E40" s="269"/>
      <c r="F40" s="136"/>
      <c r="G40" s="136"/>
      <c r="H40" s="136"/>
      <c r="I40" s="133"/>
      <c r="J40" s="133"/>
      <c r="K40" s="136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7"/>
    </row>
    <row r="41" spans="1:23" s="221" customFormat="1" ht="25.5" customHeight="1">
      <c r="A41" s="9"/>
      <c r="B41" s="130" t="s">
        <v>93</v>
      </c>
      <c r="C41" s="216">
        <v>5000</v>
      </c>
      <c r="D41" s="133"/>
      <c r="E41" s="269">
        <v>9000</v>
      </c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315"/>
    </row>
    <row r="42" spans="1:23" s="221" customFormat="1" ht="25.5" customHeight="1">
      <c r="A42" s="9"/>
      <c r="B42" s="130" t="s">
        <v>205</v>
      </c>
      <c r="C42" s="285">
        <v>10000</v>
      </c>
      <c r="D42" s="131"/>
      <c r="E42" s="269"/>
      <c r="F42" s="269">
        <v>15000</v>
      </c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315"/>
    </row>
    <row r="43" spans="1:23" s="221" customFormat="1" ht="25.5" customHeight="1">
      <c r="A43" s="9"/>
      <c r="B43" s="130" t="s">
        <v>94</v>
      </c>
      <c r="C43" s="285">
        <f>10000-10000</f>
        <v>0</v>
      </c>
      <c r="D43" s="131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311"/>
    </row>
    <row r="44" spans="1:23" s="221" customFormat="1" ht="25.5" customHeight="1">
      <c r="A44" s="9"/>
      <c r="B44" s="130" t="s">
        <v>95</v>
      </c>
      <c r="C44" s="192">
        <v>5000</v>
      </c>
      <c r="D44" s="131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  <c r="W44" s="310"/>
    </row>
    <row r="45" spans="1:23" s="221" customFormat="1" ht="25.5" customHeight="1">
      <c r="A45" s="9"/>
      <c r="B45" s="130" t="s">
        <v>96</v>
      </c>
      <c r="C45" s="192">
        <v>5000</v>
      </c>
      <c r="D45" s="131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310"/>
    </row>
    <row r="46" spans="1:23" s="221" customFormat="1" ht="25.5" customHeight="1">
      <c r="A46" s="9"/>
      <c r="B46" s="130" t="s">
        <v>10</v>
      </c>
      <c r="C46" s="216">
        <f>144000+36000+78000+78000-15500</f>
        <v>320500</v>
      </c>
      <c r="D46" s="133"/>
      <c r="E46" s="269">
        <v>10000</v>
      </c>
      <c r="F46" s="269">
        <v>3000</v>
      </c>
      <c r="G46" s="269"/>
      <c r="H46" s="269">
        <v>6500</v>
      </c>
      <c r="I46" s="269"/>
      <c r="J46" s="269"/>
      <c r="K46" s="269"/>
      <c r="L46" s="269"/>
      <c r="M46" s="269">
        <v>6500</v>
      </c>
      <c r="N46" s="269"/>
      <c r="O46" s="269"/>
      <c r="P46" s="269"/>
      <c r="Q46" s="269"/>
      <c r="R46" s="269"/>
      <c r="S46" s="269"/>
      <c r="T46" s="269"/>
      <c r="U46" s="269"/>
      <c r="V46" s="269"/>
      <c r="W46" s="310"/>
    </row>
    <row r="47" spans="1:23" s="221" customFormat="1" ht="25.5" customHeight="1">
      <c r="A47" s="9"/>
      <c r="B47" s="130" t="s">
        <v>9</v>
      </c>
      <c r="C47" s="216">
        <f>25000+10000+30000+20000</f>
        <v>85000</v>
      </c>
      <c r="D47" s="131"/>
      <c r="E47" s="269">
        <v>12500</v>
      </c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  <c r="W47" s="310"/>
    </row>
    <row r="48" spans="1:23" s="221" customFormat="1" ht="25.5" customHeight="1">
      <c r="A48" s="197"/>
      <c r="B48" s="198" t="s">
        <v>241</v>
      </c>
      <c r="C48" s="286">
        <v>44200</v>
      </c>
      <c r="D48" s="131"/>
      <c r="E48" s="269"/>
      <c r="F48" s="269"/>
      <c r="G48" s="269"/>
      <c r="H48" s="269">
        <v>17650</v>
      </c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269"/>
      <c r="U48" s="269"/>
      <c r="V48" s="269"/>
      <c r="W48" s="310"/>
    </row>
    <row r="49" spans="1:24" s="221" customFormat="1" ht="25.5" customHeight="1" thickBot="1">
      <c r="A49" s="46"/>
      <c r="B49" s="47" t="s">
        <v>5</v>
      </c>
      <c r="C49" s="289">
        <f>SUM(C41:C48)</f>
        <v>474700</v>
      </c>
      <c r="D49" s="255">
        <f>SUM(D41:D48)</f>
        <v>0</v>
      </c>
      <c r="E49" s="254">
        <f>SUM(E41:E48)</f>
        <v>31500</v>
      </c>
      <c r="F49" s="254">
        <f>SUM(F41:F48)</f>
        <v>18000</v>
      </c>
      <c r="G49" s="254">
        <f t="shared" ref="G49:V49" si="3">SUM(G41:G48)</f>
        <v>0</v>
      </c>
      <c r="H49" s="254">
        <f>SUM(H41:H48)</f>
        <v>24150</v>
      </c>
      <c r="I49" s="255">
        <f t="shared" si="3"/>
        <v>0</v>
      </c>
      <c r="J49" s="255">
        <f t="shared" si="3"/>
        <v>0</v>
      </c>
      <c r="K49" s="254">
        <f t="shared" si="3"/>
        <v>0</v>
      </c>
      <c r="L49" s="255">
        <f t="shared" si="3"/>
        <v>0</v>
      </c>
      <c r="M49" s="254">
        <f>SUM(M41:M48)</f>
        <v>6500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80150</v>
      </c>
    </row>
    <row r="50" spans="1:24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6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4" s="310" customFormat="1" ht="25.5" customHeight="1">
      <c r="A51" s="5"/>
      <c r="B51" s="130" t="s">
        <v>100</v>
      </c>
      <c r="C51" s="281">
        <f>15000+7000+20000+15000</f>
        <v>57000</v>
      </c>
      <c r="D51" s="133"/>
      <c r="E51" s="269">
        <v>4188</v>
      </c>
      <c r="F51" s="269"/>
      <c r="G51" s="269"/>
      <c r="H51" s="269"/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X51" s="221"/>
    </row>
    <row r="52" spans="1:24" s="310" customFormat="1" ht="25.5" customHeight="1">
      <c r="A52" s="5"/>
      <c r="B52" s="130" t="s">
        <v>226</v>
      </c>
      <c r="C52" s="281">
        <f>1044000+124000+384000+296000-47000+10000+156000+65000+50000+64500-15000+20000+48300+53200+5700+9400+10000+15500+10000+6400</f>
        <v>2310000</v>
      </c>
      <c r="D52" s="133"/>
      <c r="E52" s="269">
        <v>256000</v>
      </c>
      <c r="F52" s="269">
        <v>14000</v>
      </c>
      <c r="G52" s="269"/>
      <c r="H52" s="269">
        <v>110000</v>
      </c>
      <c r="I52" s="269"/>
      <c r="J52" s="269"/>
      <c r="K52" s="269"/>
      <c r="L52" s="269"/>
      <c r="M52" s="269">
        <v>75000</v>
      </c>
      <c r="N52" s="269"/>
      <c r="O52" s="269"/>
      <c r="P52" s="269"/>
      <c r="Q52" s="269"/>
      <c r="R52" s="269"/>
      <c r="S52" s="269"/>
      <c r="T52" s="269"/>
      <c r="U52" s="269"/>
      <c r="V52" s="269"/>
      <c r="X52" s="221"/>
    </row>
    <row r="53" spans="1:24" s="310" customFormat="1" ht="25.5" customHeight="1">
      <c r="A53" s="5"/>
      <c r="B53" s="130" t="s">
        <v>223</v>
      </c>
      <c r="C53" s="281">
        <v>200000</v>
      </c>
      <c r="D53" s="133"/>
      <c r="E53" s="269">
        <v>50000</v>
      </c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  <c r="X53" s="221"/>
    </row>
    <row r="54" spans="1:24" s="310" customFormat="1" ht="25.5" customHeight="1">
      <c r="A54" s="5"/>
      <c r="B54" s="130" t="s">
        <v>224</v>
      </c>
      <c r="C54" s="281">
        <v>20000</v>
      </c>
      <c r="D54" s="133"/>
      <c r="E54" s="269">
        <v>7500</v>
      </c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  <c r="X54" s="221"/>
    </row>
    <row r="55" spans="1:24" s="310" customFormat="1" ht="25.5" customHeight="1">
      <c r="A55" s="5"/>
      <c r="B55" s="130" t="s">
        <v>225</v>
      </c>
      <c r="C55" s="281">
        <f>10000+14000</f>
        <v>24000</v>
      </c>
      <c r="D55" s="133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  <c r="X55" s="221"/>
    </row>
    <row r="56" spans="1:24" s="310" customFormat="1" ht="25.5" customHeight="1">
      <c r="A56" s="5"/>
      <c r="B56" s="130" t="s">
        <v>227</v>
      </c>
      <c r="C56" s="281">
        <v>40000</v>
      </c>
      <c r="D56" s="133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  <c r="X56" s="221"/>
    </row>
    <row r="57" spans="1:24" s="310" customFormat="1" ht="25.5" customHeight="1">
      <c r="A57" s="5"/>
      <c r="B57" s="130" t="s">
        <v>228</v>
      </c>
      <c r="C57" s="281">
        <v>9000</v>
      </c>
      <c r="D57" s="133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  <c r="X57" s="221"/>
    </row>
    <row r="58" spans="1:24" s="310" customFormat="1" ht="25.5" customHeight="1">
      <c r="A58" s="5"/>
      <c r="B58" s="130" t="s">
        <v>11</v>
      </c>
      <c r="C58" s="281">
        <f>10000+60000+20000</f>
        <v>90000</v>
      </c>
      <c r="D58" s="133"/>
      <c r="E58" s="269">
        <v>12184</v>
      </c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  <c r="X58" s="221"/>
    </row>
    <row r="59" spans="1:24" s="310" customFormat="1" ht="25.5" customHeight="1">
      <c r="A59" s="5"/>
      <c r="B59" s="130" t="s">
        <v>229</v>
      </c>
      <c r="C59" s="281">
        <v>10000</v>
      </c>
      <c r="D59" s="133"/>
      <c r="E59" s="269">
        <v>7005</v>
      </c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  <c r="X59" s="221"/>
    </row>
    <row r="60" spans="1:24" s="310" customFormat="1" ht="25.5" customHeight="1">
      <c r="A60" s="5"/>
      <c r="B60" s="130" t="s">
        <v>230</v>
      </c>
      <c r="C60" s="281">
        <v>20000</v>
      </c>
      <c r="D60" s="133"/>
      <c r="E60" s="269">
        <v>7299</v>
      </c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  <c r="X60" s="221"/>
    </row>
    <row r="61" spans="1:24" s="310" customFormat="1" ht="25.5" customHeight="1">
      <c r="A61" s="9"/>
      <c r="B61" s="130" t="s">
        <v>50</v>
      </c>
      <c r="C61" s="280">
        <f>10000-10000</f>
        <v>0</v>
      </c>
      <c r="D61" s="133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  <c r="X61" s="221"/>
    </row>
    <row r="62" spans="1:24" s="310" customFormat="1" ht="25.5" customHeight="1">
      <c r="A62" s="9"/>
      <c r="B62" s="130" t="s">
        <v>103</v>
      </c>
      <c r="C62" s="280">
        <v>10000</v>
      </c>
      <c r="D62" s="131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  <c r="X62" s="221"/>
    </row>
    <row r="63" spans="1:24" s="310" customFormat="1" ht="25.5" customHeight="1">
      <c r="A63" s="9"/>
      <c r="B63" s="187" t="s">
        <v>106</v>
      </c>
      <c r="C63" s="283">
        <f>200000+30000+30000+80000+19000+1000+10000+2500+2500+2500+2500+20000+15000+5000</f>
        <v>420000</v>
      </c>
      <c r="D63" s="135"/>
      <c r="E63" s="269">
        <v>32832</v>
      </c>
      <c r="F63" s="269">
        <v>908</v>
      </c>
      <c r="G63" s="269"/>
      <c r="H63" s="269">
        <v>18306</v>
      </c>
      <c r="I63" s="269"/>
      <c r="J63" s="269"/>
      <c r="K63" s="269"/>
      <c r="L63" s="269"/>
      <c r="M63" s="269">
        <v>2540</v>
      </c>
      <c r="N63" s="269"/>
      <c r="O63" s="269"/>
      <c r="P63" s="269"/>
      <c r="Q63" s="269"/>
      <c r="R63" s="269"/>
      <c r="S63" s="269"/>
      <c r="T63" s="269"/>
      <c r="U63" s="269"/>
      <c r="V63" s="269"/>
      <c r="X63" s="221"/>
    </row>
    <row r="64" spans="1:24" s="310" customFormat="1" ht="25.5" customHeight="1">
      <c r="A64" s="9"/>
      <c r="B64" s="187" t="s">
        <v>231</v>
      </c>
      <c r="C64" s="283">
        <f>5000+8900</f>
        <v>13900</v>
      </c>
      <c r="D64" s="131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  <c r="X64" s="221"/>
    </row>
    <row r="65" spans="1:24" s="310" customFormat="1" ht="25.5" customHeight="1">
      <c r="A65" s="9"/>
      <c r="B65" s="187" t="s">
        <v>204</v>
      </c>
      <c r="C65" s="283">
        <v>5000</v>
      </c>
      <c r="D65" s="131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  <c r="X65" s="221"/>
    </row>
    <row r="66" spans="1:24" s="310" customFormat="1" ht="25.5" customHeight="1">
      <c r="A66" s="9"/>
      <c r="B66" s="187" t="s">
        <v>232</v>
      </c>
      <c r="C66" s="283">
        <f>120000+100000-6400</f>
        <v>213600</v>
      </c>
      <c r="D66" s="131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  <c r="X66" s="221"/>
    </row>
    <row r="67" spans="1:24" s="310" customFormat="1" ht="25.5" customHeight="1">
      <c r="A67" s="9"/>
      <c r="B67" s="187" t="s">
        <v>233</v>
      </c>
      <c r="C67" s="283">
        <f>125000-8900-16100</f>
        <v>100000</v>
      </c>
      <c r="D67" s="131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X67" s="221"/>
    </row>
    <row r="68" spans="1:24" s="310" customFormat="1" ht="25.5" customHeight="1">
      <c r="A68" s="9"/>
      <c r="B68" s="187" t="s">
        <v>234</v>
      </c>
      <c r="C68" s="283">
        <v>5000</v>
      </c>
      <c r="D68" s="131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  <c r="X68" s="221"/>
    </row>
    <row r="69" spans="1:24" s="310" customFormat="1" ht="25.5" customHeight="1">
      <c r="A69" s="9"/>
      <c r="B69" s="187" t="s">
        <v>235</v>
      </c>
      <c r="C69" s="283">
        <v>90000</v>
      </c>
      <c r="D69" s="131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  <c r="X69" s="221"/>
    </row>
    <row r="70" spans="1:24" s="310" customFormat="1" ht="25.5" customHeight="1">
      <c r="A70" s="9"/>
      <c r="B70" s="187" t="s">
        <v>236</v>
      </c>
      <c r="C70" s="283">
        <v>5000</v>
      </c>
      <c r="D70" s="131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  <c r="X70" s="221"/>
    </row>
    <row r="71" spans="1:24" s="310" customFormat="1" ht="25.5" customHeight="1">
      <c r="A71" s="9"/>
      <c r="B71" s="187" t="s">
        <v>237</v>
      </c>
      <c r="C71" s="283">
        <v>5000</v>
      </c>
      <c r="D71" s="131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  <c r="X71" s="221"/>
    </row>
    <row r="72" spans="1:24" s="310" customFormat="1" ht="25.5" customHeight="1">
      <c r="A72" s="165"/>
      <c r="B72" s="226" t="s">
        <v>277</v>
      </c>
      <c r="C72" s="279">
        <v>5000</v>
      </c>
      <c r="D72" s="131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  <c r="X72" s="221"/>
    </row>
    <row r="73" spans="1:24" s="310" customFormat="1" ht="25.5" customHeight="1">
      <c r="A73" s="165"/>
      <c r="B73" s="226" t="s">
        <v>107</v>
      </c>
      <c r="C73" s="279">
        <v>10000</v>
      </c>
      <c r="D73" s="131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  <c r="X73" s="221"/>
    </row>
    <row r="74" spans="1:24" s="310" customFormat="1" ht="25.5" customHeight="1">
      <c r="A74" s="9"/>
      <c r="B74" s="226" t="s">
        <v>278</v>
      </c>
      <c r="C74" s="279">
        <v>10000</v>
      </c>
      <c r="D74" s="195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  <c r="X74" s="221"/>
    </row>
    <row r="75" spans="1:24" s="310" customFormat="1" ht="25.5" customHeight="1">
      <c r="A75" s="165"/>
      <c r="B75" s="226" t="s">
        <v>279</v>
      </c>
      <c r="C75" s="279">
        <v>10000</v>
      </c>
      <c r="D75" s="195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  <c r="X75" s="221"/>
    </row>
    <row r="76" spans="1:24" s="310" customFormat="1" ht="25.5" customHeight="1">
      <c r="A76" s="9"/>
      <c r="B76" s="226" t="s">
        <v>280</v>
      </c>
      <c r="C76" s="279">
        <v>10000</v>
      </c>
      <c r="D76" s="195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  <c r="X76" s="221"/>
    </row>
    <row r="77" spans="1:24" s="310" customFormat="1" ht="25.5" customHeight="1">
      <c r="A77" s="9"/>
      <c r="B77" s="226" t="s">
        <v>281</v>
      </c>
      <c r="C77" s="279">
        <v>5000</v>
      </c>
      <c r="D77" s="195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X77" s="221"/>
    </row>
    <row r="78" spans="1:24" s="310" customFormat="1" ht="25.5" customHeight="1">
      <c r="A78" s="9"/>
      <c r="B78" s="226" t="s">
        <v>282</v>
      </c>
      <c r="C78" s="279">
        <v>5000</v>
      </c>
      <c r="D78" s="195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  <c r="X78" s="221"/>
    </row>
    <row r="79" spans="1:24" s="310" customFormat="1" ht="25.5" customHeight="1">
      <c r="A79" s="9"/>
      <c r="B79" s="226" t="s">
        <v>238</v>
      </c>
      <c r="C79" s="279">
        <f>70000+40000+10000+20000+30000+10000+10000</f>
        <v>190000</v>
      </c>
      <c r="D79" s="195"/>
      <c r="E79" s="269">
        <v>11124.31</v>
      </c>
      <c r="F79" s="269">
        <v>4650</v>
      </c>
      <c r="G79" s="269"/>
      <c r="H79" s="269">
        <v>4000</v>
      </c>
      <c r="I79" s="269"/>
      <c r="J79" s="269"/>
      <c r="K79" s="269"/>
      <c r="L79" s="269"/>
      <c r="M79" s="269">
        <v>4810</v>
      </c>
      <c r="N79" s="269"/>
      <c r="O79" s="269"/>
      <c r="P79" s="269"/>
      <c r="Q79" s="269"/>
      <c r="R79" s="269"/>
      <c r="S79" s="269"/>
      <c r="T79" s="269"/>
      <c r="U79" s="269"/>
      <c r="V79" s="269"/>
      <c r="X79" s="221"/>
    </row>
    <row r="80" spans="1:24" s="310" customFormat="1" ht="25.5" customHeight="1">
      <c r="A80" s="9"/>
      <c r="B80" s="226" t="s">
        <v>121</v>
      </c>
      <c r="C80" s="279">
        <f>100000+47000+3000-140000+40000</f>
        <v>50000</v>
      </c>
      <c r="D80" s="195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  <c r="X80" s="221"/>
    </row>
    <row r="81" spans="1:24" s="310" customFormat="1" ht="25.5" customHeight="1">
      <c r="A81" s="9"/>
      <c r="B81" s="226" t="s">
        <v>295</v>
      </c>
      <c r="C81" s="279">
        <f>40000+50000</f>
        <v>90000</v>
      </c>
      <c r="D81" s="195"/>
      <c r="E81" s="269"/>
      <c r="F81" s="269"/>
      <c r="G81" s="269">
        <v>295421</v>
      </c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X81" s="221"/>
    </row>
    <row r="82" spans="1:24" s="310" customFormat="1" ht="25.5" customHeight="1">
      <c r="A82" s="9"/>
      <c r="B82" s="226" t="s">
        <v>296</v>
      </c>
      <c r="C82" s="279">
        <v>30000</v>
      </c>
      <c r="D82" s="195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  <c r="X82" s="221"/>
    </row>
    <row r="83" spans="1:24" s="310" customFormat="1" ht="25.5" customHeight="1">
      <c r="A83" s="9"/>
      <c r="B83" s="226" t="s">
        <v>210</v>
      </c>
      <c r="C83" s="279">
        <v>10000</v>
      </c>
      <c r="D83" s="195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  <c r="X83" s="221"/>
    </row>
    <row r="84" spans="1:24" s="310" customFormat="1" ht="25.5" customHeight="1">
      <c r="A84" s="9"/>
      <c r="B84" s="187" t="s">
        <v>297</v>
      </c>
      <c r="C84" s="279">
        <v>20000</v>
      </c>
      <c r="D84" s="195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  <c r="X84" s="221"/>
    </row>
    <row r="85" spans="1:24" s="310" customFormat="1" ht="25.5" customHeight="1">
      <c r="A85" s="9"/>
      <c r="B85" s="187" t="s">
        <v>298</v>
      </c>
      <c r="C85" s="279">
        <v>20000</v>
      </c>
      <c r="D85" s="195"/>
      <c r="E85" s="269"/>
      <c r="F85" s="269"/>
      <c r="G85" s="269">
        <v>9825</v>
      </c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  <c r="X85" s="221"/>
    </row>
    <row r="86" spans="1:24" s="310" customFormat="1" ht="25.5" customHeight="1">
      <c r="A86" s="9"/>
      <c r="B86" s="187" t="s">
        <v>299</v>
      </c>
      <c r="C86" s="279">
        <v>15000</v>
      </c>
      <c r="D86" s="195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  <c r="X86" s="221"/>
    </row>
    <row r="87" spans="1:24" s="310" customFormat="1" ht="25.5" customHeight="1">
      <c r="A87" s="9"/>
      <c r="B87" s="187" t="s">
        <v>300</v>
      </c>
      <c r="C87" s="279">
        <v>10000</v>
      </c>
      <c r="D87" s="19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  <c r="X87" s="221"/>
    </row>
    <row r="88" spans="1:24" s="310" customFormat="1" ht="25.5" customHeight="1">
      <c r="A88" s="9"/>
      <c r="B88" s="187" t="s">
        <v>301</v>
      </c>
      <c r="C88" s="279">
        <v>345100</v>
      </c>
      <c r="D88" s="195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  <c r="X88" s="221"/>
    </row>
    <row r="89" spans="1:24" s="310" customFormat="1" ht="25.5" customHeight="1">
      <c r="A89" s="9"/>
      <c r="B89" s="187" t="s">
        <v>242</v>
      </c>
      <c r="C89" s="279">
        <v>40000</v>
      </c>
      <c r="D89" s="195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  <c r="X89" s="221"/>
    </row>
    <row r="90" spans="1:24" s="310" customFormat="1" ht="25.5" customHeight="1">
      <c r="A90" s="9"/>
      <c r="B90" s="187" t="s">
        <v>307</v>
      </c>
      <c r="C90" s="279">
        <f>10000-10000</f>
        <v>0</v>
      </c>
      <c r="D90" s="131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  <c r="X90" s="221"/>
    </row>
    <row r="91" spans="1:24" s="310" customFormat="1" ht="25.5" customHeight="1">
      <c r="A91" s="9"/>
      <c r="B91" s="187" t="s">
        <v>134</v>
      </c>
      <c r="C91" s="279">
        <f>15000-10000</f>
        <v>5000</v>
      </c>
      <c r="D91" s="195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  <c r="X91" s="221"/>
    </row>
    <row r="92" spans="1:24" s="310" customFormat="1" ht="25.5" customHeight="1">
      <c r="A92" s="9"/>
      <c r="B92" s="187" t="s">
        <v>308</v>
      </c>
      <c r="C92" s="279">
        <f>2500-2500</f>
        <v>0</v>
      </c>
      <c r="D92" s="195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  <c r="X92" s="221"/>
    </row>
    <row r="93" spans="1:24" s="310" customFormat="1" ht="25.5" customHeight="1">
      <c r="A93" s="9"/>
      <c r="B93" s="187" t="s">
        <v>309</v>
      </c>
      <c r="C93" s="279">
        <f>2500-2500</f>
        <v>0</v>
      </c>
      <c r="D93" s="195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  <c r="X93" s="221"/>
    </row>
    <row r="94" spans="1:24" s="310" customFormat="1" ht="25.5" customHeight="1">
      <c r="A94" s="9"/>
      <c r="B94" s="187" t="s">
        <v>310</v>
      </c>
      <c r="C94" s="279">
        <f>2500-2500</f>
        <v>0</v>
      </c>
      <c r="D94" s="195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  <c r="X94" s="221"/>
    </row>
    <row r="95" spans="1:24" s="310" customFormat="1" ht="25.5" customHeight="1">
      <c r="A95" s="9"/>
      <c r="B95" s="187" t="s">
        <v>311</v>
      </c>
      <c r="C95" s="279">
        <f>2500-2500</f>
        <v>0</v>
      </c>
      <c r="D95" s="195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  <c r="X95" s="221"/>
    </row>
    <row r="96" spans="1:24" s="310" customFormat="1" ht="25.5" customHeight="1">
      <c r="A96" s="9"/>
      <c r="B96" s="187" t="s">
        <v>243</v>
      </c>
      <c r="C96" s="279">
        <v>2000</v>
      </c>
      <c r="D96" s="195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  <c r="X96" s="221"/>
    </row>
    <row r="97" spans="1:24" s="310" customFormat="1" ht="25.5" customHeight="1">
      <c r="A97" s="9"/>
      <c r="B97" s="187" t="s">
        <v>248</v>
      </c>
      <c r="C97" s="279">
        <v>2000</v>
      </c>
      <c r="D97" s="195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  <c r="X97" s="221"/>
    </row>
    <row r="98" spans="1:24" s="310" customFormat="1" ht="25.5" customHeight="1">
      <c r="A98" s="9"/>
      <c r="B98" s="187" t="s">
        <v>244</v>
      </c>
      <c r="C98" s="279">
        <v>2000</v>
      </c>
      <c r="D98" s="195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  <c r="X98" s="221"/>
    </row>
    <row r="99" spans="1:24" s="310" customFormat="1" ht="25.5" customHeight="1">
      <c r="A99" s="9"/>
      <c r="B99" s="187" t="s">
        <v>245</v>
      </c>
      <c r="C99" s="279">
        <v>2000</v>
      </c>
      <c r="D99" s="195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  <c r="X99" s="221"/>
    </row>
    <row r="100" spans="1:24" s="310" customFormat="1" ht="25.5" customHeight="1">
      <c r="A100" s="9"/>
      <c r="B100" s="187" t="s">
        <v>246</v>
      </c>
      <c r="C100" s="279">
        <v>2000</v>
      </c>
      <c r="D100" s="195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  <c r="X100" s="221"/>
    </row>
    <row r="101" spans="1:24" s="310" customFormat="1" ht="25.5" customHeight="1">
      <c r="A101" s="9"/>
      <c r="B101" s="187" t="s">
        <v>247</v>
      </c>
      <c r="C101" s="279">
        <v>2000</v>
      </c>
      <c r="D101" s="195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  <c r="X101" s="221"/>
    </row>
    <row r="102" spans="1:24" s="310" customFormat="1" ht="25.5" customHeight="1">
      <c r="A102" s="9"/>
      <c r="B102" s="187" t="s">
        <v>249</v>
      </c>
      <c r="C102" s="279">
        <v>2000</v>
      </c>
      <c r="D102" s="195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  <c r="X102" s="221"/>
    </row>
    <row r="103" spans="1:24" s="310" customFormat="1" ht="25.5" customHeight="1">
      <c r="A103" s="9"/>
      <c r="B103" s="187" t="s">
        <v>250</v>
      </c>
      <c r="C103" s="279">
        <v>2000</v>
      </c>
      <c r="D103" s="195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  <c r="X103" s="221"/>
    </row>
    <row r="104" spans="1:24" s="310" customFormat="1" ht="25.5" customHeight="1">
      <c r="A104" s="9"/>
      <c r="B104" s="187" t="s">
        <v>251</v>
      </c>
      <c r="C104" s="279">
        <v>2000</v>
      </c>
      <c r="D104" s="195"/>
      <c r="E104" s="269"/>
      <c r="F104" s="269"/>
      <c r="G104" s="269"/>
      <c r="H104" s="269"/>
      <c r="I104" s="269">
        <v>2000</v>
      </c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X104" s="221"/>
    </row>
    <row r="105" spans="1:24" s="310" customFormat="1" ht="25.5" customHeight="1">
      <c r="A105" s="9"/>
      <c r="B105" s="187" t="s">
        <v>252</v>
      </c>
      <c r="C105" s="279">
        <v>2000</v>
      </c>
      <c r="D105" s="195"/>
      <c r="E105" s="269"/>
      <c r="F105" s="269"/>
      <c r="G105" s="269"/>
      <c r="H105" s="269"/>
      <c r="I105" s="269">
        <v>2000</v>
      </c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  <c r="X105" s="221"/>
    </row>
    <row r="106" spans="1:24" s="310" customFormat="1" ht="25.5" customHeight="1">
      <c r="A106" s="9"/>
      <c r="B106" s="187" t="s">
        <v>253</v>
      </c>
      <c r="C106" s="279">
        <v>2000</v>
      </c>
      <c r="D106" s="195"/>
      <c r="E106" s="269"/>
      <c r="F106" s="269"/>
      <c r="G106" s="269"/>
      <c r="H106" s="269"/>
      <c r="I106" s="269">
        <v>2000</v>
      </c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  <c r="X106" s="221"/>
    </row>
    <row r="107" spans="1:24" s="310" customFormat="1" ht="25.5" customHeight="1">
      <c r="A107" s="9"/>
      <c r="B107" s="187" t="s">
        <v>254</v>
      </c>
      <c r="C107" s="279">
        <v>2000</v>
      </c>
      <c r="D107" s="195"/>
      <c r="E107" s="269"/>
      <c r="F107" s="269"/>
      <c r="G107" s="269"/>
      <c r="H107" s="269"/>
      <c r="I107" s="269">
        <v>2000</v>
      </c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  <c r="X107" s="221"/>
    </row>
    <row r="108" spans="1:24" s="310" customFormat="1" ht="25.5" customHeight="1">
      <c r="A108" s="9"/>
      <c r="B108" s="187" t="s">
        <v>312</v>
      </c>
      <c r="C108" s="279">
        <v>2500</v>
      </c>
      <c r="D108" s="195"/>
      <c r="E108" s="269"/>
      <c r="F108" s="269"/>
      <c r="G108" s="269"/>
      <c r="H108" s="269"/>
      <c r="I108" s="269">
        <v>2493</v>
      </c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  <c r="X108" s="221"/>
    </row>
    <row r="109" spans="1:24" s="310" customFormat="1" ht="25.5" customHeight="1">
      <c r="A109" s="9"/>
      <c r="B109" s="187" t="s">
        <v>313</v>
      </c>
      <c r="C109" s="279">
        <v>2500</v>
      </c>
      <c r="D109" s="131"/>
      <c r="E109" s="269"/>
      <c r="F109" s="269"/>
      <c r="G109" s="269"/>
      <c r="H109" s="269"/>
      <c r="I109" s="269">
        <v>2495</v>
      </c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  <c r="X109" s="221"/>
    </row>
    <row r="110" spans="1:24" s="310" customFormat="1" ht="25.5" customHeight="1">
      <c r="A110" s="9"/>
      <c r="B110" s="187" t="s">
        <v>314</v>
      </c>
      <c r="C110" s="279">
        <v>2500</v>
      </c>
      <c r="D110" s="195"/>
      <c r="E110" s="269"/>
      <c r="F110" s="269"/>
      <c r="G110" s="269"/>
      <c r="H110" s="269"/>
      <c r="I110" s="269">
        <v>2492</v>
      </c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  <c r="X110" s="221"/>
    </row>
    <row r="111" spans="1:24" s="310" customFormat="1" ht="25.5" customHeight="1">
      <c r="A111" s="9"/>
      <c r="B111" s="187" t="s">
        <v>255</v>
      </c>
      <c r="C111" s="279">
        <v>4000</v>
      </c>
      <c r="D111" s="195"/>
      <c r="E111" s="269"/>
      <c r="F111" s="269"/>
      <c r="G111" s="269"/>
      <c r="H111" s="269"/>
      <c r="I111" s="269">
        <v>6500</v>
      </c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  <c r="X111" s="221"/>
    </row>
    <row r="112" spans="1:24" s="310" customFormat="1" ht="25.5" customHeight="1">
      <c r="A112" s="9"/>
      <c r="B112" s="187" t="s">
        <v>256</v>
      </c>
      <c r="C112" s="279">
        <v>2500</v>
      </c>
      <c r="D112" s="195"/>
      <c r="E112" s="269"/>
      <c r="F112" s="269"/>
      <c r="G112" s="269"/>
      <c r="H112" s="269"/>
      <c r="I112" s="269">
        <v>4500</v>
      </c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X112" s="221"/>
    </row>
    <row r="113" spans="1:24" s="310" customFormat="1" ht="25.5" customHeight="1">
      <c r="A113" s="9"/>
      <c r="B113" s="187" t="s">
        <v>257</v>
      </c>
      <c r="C113" s="279">
        <v>2500</v>
      </c>
      <c r="D113" s="195"/>
      <c r="E113" s="269"/>
      <c r="F113" s="269"/>
      <c r="G113" s="269"/>
      <c r="H113" s="269"/>
      <c r="I113" s="269">
        <v>4500</v>
      </c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  <c r="X113" s="221"/>
    </row>
    <row r="114" spans="1:24" s="310" customFormat="1" ht="25.5" customHeight="1">
      <c r="A114" s="9"/>
      <c r="B114" s="187" t="s">
        <v>258</v>
      </c>
      <c r="C114" s="279">
        <v>2500</v>
      </c>
      <c r="D114" s="195"/>
      <c r="E114" s="269"/>
      <c r="F114" s="269"/>
      <c r="G114" s="269"/>
      <c r="H114" s="269"/>
      <c r="I114" s="269">
        <v>4500</v>
      </c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  <c r="X114" s="221"/>
    </row>
    <row r="115" spans="1:24" s="310" customFormat="1" ht="25.5" customHeight="1">
      <c r="A115" s="9"/>
      <c r="B115" s="187" t="s">
        <v>259</v>
      </c>
      <c r="C115" s="279">
        <v>1000</v>
      </c>
      <c r="D115" s="195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X115" s="221"/>
    </row>
    <row r="116" spans="1:24" s="310" customFormat="1" ht="25.5" customHeight="1">
      <c r="A116" s="9"/>
      <c r="B116" s="187" t="s">
        <v>260</v>
      </c>
      <c r="C116" s="279">
        <v>1000</v>
      </c>
      <c r="D116" s="195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  <c r="X116" s="221"/>
    </row>
    <row r="117" spans="1:24" s="310" customFormat="1" ht="25.5" customHeight="1">
      <c r="A117" s="9"/>
      <c r="B117" s="187" t="s">
        <v>261</v>
      </c>
      <c r="C117" s="279">
        <v>1000</v>
      </c>
      <c r="D117" s="195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X117" s="221"/>
    </row>
    <row r="118" spans="1:24" s="310" customFormat="1" ht="25.5" customHeight="1">
      <c r="A118" s="9"/>
      <c r="B118" s="187" t="s">
        <v>262</v>
      </c>
      <c r="C118" s="279">
        <v>1000</v>
      </c>
      <c r="D118" s="195"/>
      <c r="E118" s="269"/>
      <c r="F118" s="269"/>
      <c r="G118" s="269"/>
      <c r="H118" s="269"/>
      <c r="I118" s="269">
        <v>1000</v>
      </c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  <c r="X118" s="221"/>
    </row>
    <row r="119" spans="1:24" s="310" customFormat="1" ht="25.5" customHeight="1">
      <c r="A119" s="9"/>
      <c r="B119" s="187" t="s">
        <v>211</v>
      </c>
      <c r="C119" s="279">
        <v>392000</v>
      </c>
      <c r="D119" s="195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X119" s="221"/>
    </row>
    <row r="120" spans="1:24" s="310" customFormat="1" ht="25.5" customHeight="1">
      <c r="A120" s="9"/>
      <c r="B120" s="187" t="s">
        <v>263</v>
      </c>
      <c r="C120" s="279">
        <v>200900</v>
      </c>
      <c r="D120" s="195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X120" s="221"/>
    </row>
    <row r="121" spans="1:24" s="310" customFormat="1" ht="25.5" customHeight="1">
      <c r="A121" s="9"/>
      <c r="B121" s="187" t="s">
        <v>315</v>
      </c>
      <c r="C121" s="279">
        <v>230300</v>
      </c>
      <c r="D121" s="195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X121" s="221"/>
    </row>
    <row r="122" spans="1:24" s="310" customFormat="1" ht="25.5" customHeight="1">
      <c r="A122" s="9"/>
      <c r="B122" s="187" t="s">
        <v>212</v>
      </c>
      <c r="C122" s="279">
        <v>171500</v>
      </c>
      <c r="D122" s="195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X122" s="221"/>
    </row>
    <row r="123" spans="1:24" s="310" customFormat="1" ht="25.5" customHeight="1">
      <c r="A123" s="9"/>
      <c r="B123" s="187" t="s">
        <v>140</v>
      </c>
      <c r="C123" s="279">
        <v>50000</v>
      </c>
      <c r="D123" s="195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X123" s="221"/>
    </row>
    <row r="124" spans="1:24" s="310" customFormat="1" ht="25.5" customHeight="1">
      <c r="A124" s="9"/>
      <c r="B124" s="187" t="s">
        <v>206</v>
      </c>
      <c r="C124" s="279">
        <v>20000</v>
      </c>
      <c r="D124" s="195"/>
      <c r="E124" s="269"/>
      <c r="F124" s="269"/>
      <c r="G124" s="269"/>
      <c r="H124" s="269"/>
      <c r="I124" s="269"/>
      <c r="J124" s="269">
        <v>39998</v>
      </c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X124" s="221"/>
    </row>
    <row r="125" spans="1:24" s="310" customFormat="1" ht="25.5" customHeight="1">
      <c r="A125" s="9"/>
      <c r="B125" s="187" t="s">
        <v>326</v>
      </c>
      <c r="C125" s="279">
        <v>5000</v>
      </c>
      <c r="D125" s="195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X125" s="221"/>
    </row>
    <row r="126" spans="1:24" s="310" customFormat="1" ht="25.5" customHeight="1">
      <c r="A126" s="9"/>
      <c r="B126" s="187" t="s">
        <v>327</v>
      </c>
      <c r="C126" s="279">
        <v>5000</v>
      </c>
      <c r="D126" s="195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X126" s="221"/>
    </row>
    <row r="127" spans="1:24" s="310" customFormat="1" ht="25.5" customHeight="1">
      <c r="A127" s="9"/>
      <c r="B127" s="187" t="s">
        <v>142</v>
      </c>
      <c r="C127" s="279">
        <v>20000</v>
      </c>
      <c r="D127" s="195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X127" s="221"/>
    </row>
    <row r="128" spans="1:24" s="310" customFormat="1" ht="25.5" customHeight="1">
      <c r="A128" s="9"/>
      <c r="B128" s="226" t="s">
        <v>328</v>
      </c>
      <c r="C128" s="279">
        <v>10000</v>
      </c>
      <c r="D128" s="195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X128" s="221"/>
    </row>
    <row r="129" spans="1:24" s="310" customFormat="1" ht="25.5" customHeight="1">
      <c r="A129" s="9"/>
      <c r="B129" s="226" t="s">
        <v>329</v>
      </c>
      <c r="C129" s="279">
        <v>10000</v>
      </c>
      <c r="D129" s="131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X129" s="221"/>
    </row>
    <row r="130" spans="1:24" s="310" customFormat="1" ht="25.5" customHeight="1">
      <c r="A130" s="9"/>
      <c r="B130" s="226" t="s">
        <v>330</v>
      </c>
      <c r="C130" s="279">
        <v>10000</v>
      </c>
      <c r="D130" s="195"/>
      <c r="E130" s="269"/>
      <c r="F130" s="269"/>
      <c r="G130" s="269"/>
      <c r="H130" s="269"/>
      <c r="I130" s="269"/>
      <c r="J130" s="269"/>
      <c r="K130" s="269">
        <v>1490.32</v>
      </c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X130" s="221"/>
    </row>
    <row r="131" spans="1:24" s="310" customFormat="1" ht="25.5" customHeight="1">
      <c r="A131" s="9"/>
      <c r="B131" s="226" t="s">
        <v>331</v>
      </c>
      <c r="C131" s="279">
        <f>10000-10000</f>
        <v>0</v>
      </c>
      <c r="D131" s="195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X131" s="221"/>
    </row>
    <row r="132" spans="1:24" s="310" customFormat="1" ht="25.5" customHeight="1">
      <c r="A132" s="9"/>
      <c r="B132" s="226" t="s">
        <v>333</v>
      </c>
      <c r="C132" s="279">
        <v>15000</v>
      </c>
      <c r="D132" s="195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X132" s="221"/>
    </row>
    <row r="133" spans="1:24" s="310" customFormat="1" ht="25.5" customHeight="1">
      <c r="A133" s="9"/>
      <c r="B133" s="226" t="s">
        <v>157</v>
      </c>
      <c r="C133" s="279">
        <f>10000+8000</f>
        <v>18000</v>
      </c>
      <c r="D133" s="195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X133" s="221"/>
    </row>
    <row r="134" spans="1:24" s="310" customFormat="1" ht="25.5" customHeight="1">
      <c r="A134" s="9"/>
      <c r="B134" s="226" t="s">
        <v>158</v>
      </c>
      <c r="C134" s="279">
        <f>10000-8000</f>
        <v>2000</v>
      </c>
      <c r="D134" s="195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X134" s="221"/>
    </row>
    <row r="135" spans="1:24" s="310" customFormat="1" ht="25.5" customHeight="1">
      <c r="A135" s="9"/>
      <c r="B135" s="226" t="s">
        <v>352</v>
      </c>
      <c r="C135" s="279">
        <f>10000+10000-20000</f>
        <v>0</v>
      </c>
      <c r="D135" s="195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X135" s="221"/>
    </row>
    <row r="136" spans="1:24" s="310" customFormat="1" ht="25.5" customHeight="1">
      <c r="A136" s="9"/>
      <c r="B136" s="226" t="s">
        <v>213</v>
      </c>
      <c r="C136" s="279">
        <v>15000</v>
      </c>
      <c r="D136" s="195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X136" s="221"/>
    </row>
    <row r="137" spans="1:24" s="310" customFormat="1" ht="25.5" customHeight="1">
      <c r="A137" s="9"/>
      <c r="B137" s="226" t="s">
        <v>265</v>
      </c>
      <c r="C137" s="279">
        <f>20000-20000</f>
        <v>0</v>
      </c>
      <c r="D137" s="195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X137" s="221"/>
    </row>
    <row r="138" spans="1:24" s="310" customFormat="1" ht="25.5" customHeight="1">
      <c r="A138" s="9"/>
      <c r="B138" s="226" t="s">
        <v>353</v>
      </c>
      <c r="C138" s="279">
        <v>5000</v>
      </c>
      <c r="D138" s="195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X138" s="221"/>
    </row>
    <row r="139" spans="1:24" s="310" customFormat="1" ht="25.5" customHeight="1">
      <c r="A139" s="9"/>
      <c r="B139" s="226" t="s">
        <v>354</v>
      </c>
      <c r="C139" s="279">
        <v>10000</v>
      </c>
      <c r="D139" s="195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X139" s="221"/>
    </row>
    <row r="140" spans="1:24" s="310" customFormat="1" ht="25.5" customHeight="1">
      <c r="A140" s="9"/>
      <c r="B140" s="187" t="s">
        <v>355</v>
      </c>
      <c r="C140" s="279">
        <v>20000</v>
      </c>
      <c r="D140" s="195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X140" s="221"/>
    </row>
    <row r="141" spans="1:24" s="310" customFormat="1" ht="25.5" customHeight="1">
      <c r="A141" s="9"/>
      <c r="B141" s="187" t="s">
        <v>356</v>
      </c>
      <c r="C141" s="279">
        <v>20000</v>
      </c>
      <c r="D141" s="195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X141" s="221"/>
    </row>
    <row r="142" spans="1:24" s="310" customFormat="1" ht="25.5" customHeight="1">
      <c r="A142" s="9"/>
      <c r="B142" s="187" t="s">
        <v>357</v>
      </c>
      <c r="C142" s="279">
        <v>10000</v>
      </c>
      <c r="D142" s="195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X142" s="221"/>
    </row>
    <row r="143" spans="1:24" s="310" customFormat="1" ht="25.5" customHeight="1">
      <c r="A143" s="9"/>
      <c r="B143" s="187" t="s">
        <v>358</v>
      </c>
      <c r="C143" s="279">
        <v>10000</v>
      </c>
      <c r="D143" s="195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X143" s="221"/>
    </row>
    <row r="144" spans="1:24" s="310" customFormat="1" ht="25.5" customHeight="1">
      <c r="A144" s="9"/>
      <c r="B144" s="187" t="s">
        <v>359</v>
      </c>
      <c r="C144" s="279">
        <v>5000</v>
      </c>
      <c r="D144" s="195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X144" s="221"/>
    </row>
    <row r="145" spans="1:24" s="310" customFormat="1" ht="25.5" customHeight="1">
      <c r="A145" s="9"/>
      <c r="B145" s="187" t="s">
        <v>360</v>
      </c>
      <c r="C145" s="279">
        <v>5000</v>
      </c>
      <c r="D145" s="195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X145" s="221"/>
    </row>
    <row r="146" spans="1:24" s="310" customFormat="1" ht="25.5" customHeight="1">
      <c r="A146" s="9"/>
      <c r="B146" s="187" t="s">
        <v>361</v>
      </c>
      <c r="C146" s="279">
        <v>5000</v>
      </c>
      <c r="D146" s="195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X146" s="221"/>
    </row>
    <row r="147" spans="1:24" s="310" customFormat="1" ht="25.5" customHeight="1">
      <c r="A147" s="9"/>
      <c r="B147" s="187" t="s">
        <v>362</v>
      </c>
      <c r="C147" s="279">
        <v>5000</v>
      </c>
      <c r="D147" s="195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X147" s="221"/>
    </row>
    <row r="148" spans="1:24" s="310" customFormat="1" ht="25.5" customHeight="1">
      <c r="A148" s="9"/>
      <c r="B148" s="187" t="s">
        <v>363</v>
      </c>
      <c r="C148" s="279">
        <v>5000</v>
      </c>
      <c r="D148" s="131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X148" s="221"/>
    </row>
    <row r="149" spans="1:24" s="310" customFormat="1" ht="25.5" customHeight="1">
      <c r="A149" s="9"/>
      <c r="B149" s="187" t="s">
        <v>364</v>
      </c>
      <c r="C149" s="279">
        <v>5000</v>
      </c>
      <c r="D149" s="131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X149" s="221"/>
    </row>
    <row r="150" spans="1:24" s="310" customFormat="1" ht="25.5" customHeight="1">
      <c r="A150" s="9"/>
      <c r="B150" s="187" t="s">
        <v>365</v>
      </c>
      <c r="C150" s="279">
        <v>5000</v>
      </c>
      <c r="D150" s="131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X150" s="221"/>
    </row>
    <row r="151" spans="1:24" s="310" customFormat="1" ht="25.5" customHeight="1">
      <c r="A151" s="9"/>
      <c r="B151" s="187" t="s">
        <v>366</v>
      </c>
      <c r="C151" s="279">
        <v>5000</v>
      </c>
      <c r="D151" s="131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X151" s="221"/>
    </row>
    <row r="152" spans="1:24" s="310" customFormat="1" ht="25.5" customHeight="1">
      <c r="A152" s="9"/>
      <c r="B152" s="187" t="s">
        <v>367</v>
      </c>
      <c r="C152" s="279">
        <v>5000</v>
      </c>
      <c r="D152" s="131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X152" s="221"/>
    </row>
    <row r="153" spans="1:24" s="310" customFormat="1" ht="25.5" customHeight="1">
      <c r="A153" s="9"/>
      <c r="B153" s="187" t="s">
        <v>368</v>
      </c>
      <c r="C153" s="279">
        <v>5000</v>
      </c>
      <c r="D153" s="131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X153" s="221"/>
    </row>
    <row r="154" spans="1:24" s="310" customFormat="1" ht="25.5" customHeight="1">
      <c r="A154" s="9"/>
      <c r="B154" s="187" t="s">
        <v>369</v>
      </c>
      <c r="C154" s="279">
        <f>10000-10000</f>
        <v>0</v>
      </c>
      <c r="D154" s="131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X154" s="221"/>
    </row>
    <row r="155" spans="1:24" s="310" customFormat="1" ht="25.5" customHeight="1">
      <c r="A155" s="9"/>
      <c r="B155" s="187" t="s">
        <v>370</v>
      </c>
      <c r="C155" s="279">
        <v>10000</v>
      </c>
      <c r="D155" s="131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X155" s="221"/>
    </row>
    <row r="156" spans="1:24" s="310" customFormat="1" ht="25.5" customHeight="1">
      <c r="A156" s="9"/>
      <c r="B156" s="187" t="s">
        <v>163</v>
      </c>
      <c r="C156" s="279">
        <f>350000-156000-153000-11000-10000-20000</f>
        <v>0</v>
      </c>
      <c r="D156" s="131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X156" s="221"/>
    </row>
    <row r="157" spans="1:24" s="310" customFormat="1" ht="25.5" customHeight="1">
      <c r="A157" s="9"/>
      <c r="B157" s="187" t="s">
        <v>214</v>
      </c>
      <c r="C157" s="279">
        <v>25000</v>
      </c>
      <c r="D157" s="131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X157" s="221"/>
    </row>
    <row r="158" spans="1:24" s="310" customFormat="1" ht="25.5" customHeight="1">
      <c r="A158" s="9"/>
      <c r="B158" s="187" t="s">
        <v>167</v>
      </c>
      <c r="C158" s="279">
        <f>30000-30000</f>
        <v>0</v>
      </c>
      <c r="D158" s="131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X158" s="221"/>
    </row>
    <row r="159" spans="1:24" s="310" customFormat="1" ht="25.5" customHeight="1">
      <c r="A159" s="9"/>
      <c r="B159" s="187" t="s">
        <v>371</v>
      </c>
      <c r="C159" s="279">
        <v>30000</v>
      </c>
      <c r="D159" s="131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X159" s="221"/>
    </row>
    <row r="160" spans="1:24" s="310" customFormat="1" ht="25.5" customHeight="1">
      <c r="A160" s="9"/>
      <c r="B160" s="187" t="s">
        <v>170</v>
      </c>
      <c r="C160" s="279">
        <v>40000</v>
      </c>
      <c r="D160" s="131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X160" s="221"/>
    </row>
    <row r="161" spans="1:24" s="310" customFormat="1" ht="25.5" customHeight="1">
      <c r="A161" s="9"/>
      <c r="B161" s="187" t="s">
        <v>266</v>
      </c>
      <c r="C161" s="279">
        <v>15000</v>
      </c>
      <c r="D161" s="131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X161" s="221"/>
    </row>
    <row r="162" spans="1:24" s="310" customFormat="1" ht="25.5" customHeight="1">
      <c r="A162" s="9"/>
      <c r="B162" s="187" t="s">
        <v>372</v>
      </c>
      <c r="C162" s="279">
        <v>65000</v>
      </c>
      <c r="D162" s="131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X162" s="221"/>
    </row>
    <row r="163" spans="1:24" ht="25.5" customHeight="1">
      <c r="A163" s="9"/>
      <c r="B163" s="187" t="s">
        <v>373</v>
      </c>
      <c r="C163" s="279">
        <f>65000-65000</f>
        <v>0</v>
      </c>
      <c r="D163" s="131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</row>
    <row r="164" spans="1:24" ht="25.5" customHeight="1">
      <c r="A164" s="9"/>
      <c r="B164" s="187" t="s">
        <v>374</v>
      </c>
      <c r="C164" s="279">
        <v>20000</v>
      </c>
      <c r="D164" s="131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</row>
    <row r="165" spans="1:24" ht="25.5" customHeight="1">
      <c r="A165" s="9"/>
      <c r="B165" s="187" t="s">
        <v>375</v>
      </c>
      <c r="C165" s="279">
        <v>20000</v>
      </c>
      <c r="D165" s="131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</row>
    <row r="166" spans="1:24" ht="25.5" customHeight="1">
      <c r="A166" s="9"/>
      <c r="B166" s="187" t="s">
        <v>376</v>
      </c>
      <c r="C166" s="279">
        <v>25000</v>
      </c>
      <c r="D166" s="131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</row>
    <row r="167" spans="1:24" ht="25.5" customHeight="1">
      <c r="A167" s="9"/>
      <c r="B167" s="187" t="s">
        <v>377</v>
      </c>
      <c r="C167" s="279">
        <v>20000</v>
      </c>
      <c r="D167" s="131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</row>
    <row r="168" spans="1:24" ht="25.5" customHeight="1">
      <c r="A168" s="9"/>
      <c r="B168" s="187" t="s">
        <v>267</v>
      </c>
      <c r="C168" s="279">
        <v>15000</v>
      </c>
      <c r="D168" s="131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</row>
    <row r="169" spans="1:24" ht="25.5" customHeight="1">
      <c r="A169" s="9"/>
      <c r="B169" s="187" t="s">
        <v>215</v>
      </c>
      <c r="C169" s="279">
        <v>10000</v>
      </c>
      <c r="D169" s="131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528"/>
    </row>
    <row r="170" spans="1:24" ht="25.5" customHeight="1">
      <c r="A170" s="9"/>
      <c r="B170" s="187" t="s">
        <v>268</v>
      </c>
      <c r="C170" s="279">
        <v>5000</v>
      </c>
      <c r="D170" s="131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</row>
    <row r="171" spans="1:24" ht="25.5" customHeight="1">
      <c r="A171" s="9"/>
      <c r="B171" s="187" t="s">
        <v>413</v>
      </c>
      <c r="C171" s="279">
        <v>140000</v>
      </c>
      <c r="D171" s="131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321"/>
    </row>
    <row r="172" spans="1:24" ht="25.5" customHeight="1">
      <c r="A172" s="9"/>
      <c r="B172" s="187" t="s">
        <v>414</v>
      </c>
      <c r="C172" s="279">
        <v>40000</v>
      </c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</row>
    <row r="173" spans="1:24" ht="25.5" customHeight="1">
      <c r="A173" s="9"/>
      <c r="B173" s="187" t="s">
        <v>415</v>
      </c>
      <c r="C173" s="279">
        <v>20000</v>
      </c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321"/>
    </row>
    <row r="174" spans="1:24" ht="25.5" customHeight="1">
      <c r="A174" s="9"/>
      <c r="B174" s="187"/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4" ht="25.5" customHeight="1">
      <c r="A175" s="9"/>
      <c r="B175" s="187" t="s">
        <v>441</v>
      </c>
      <c r="C175" s="279">
        <v>60000</v>
      </c>
      <c r="D175" s="131"/>
      <c r="E175" s="269"/>
      <c r="F175" s="269"/>
      <c r="G175" s="269"/>
      <c r="H175" s="269"/>
      <c r="I175" s="269"/>
      <c r="J175" s="269"/>
      <c r="K175" s="269">
        <v>59331</v>
      </c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</row>
    <row r="176" spans="1:24" ht="25.5" customHeight="1" thickBot="1">
      <c r="A176" s="15"/>
      <c r="B176" s="14" t="s">
        <v>5</v>
      </c>
      <c r="C176" s="170">
        <f>SUM(C51:C175)</f>
        <v>6434300</v>
      </c>
      <c r="D176" s="255">
        <f t="shared" ref="D176:V176" si="4">SUM(D51:D175)</f>
        <v>0</v>
      </c>
      <c r="E176" s="254">
        <f>SUM(E51:E175)</f>
        <v>388132.31</v>
      </c>
      <c r="F176" s="254">
        <f>SUM(F51:F175)</f>
        <v>19558</v>
      </c>
      <c r="G176" s="254">
        <f t="shared" si="4"/>
        <v>305246</v>
      </c>
      <c r="H176" s="254">
        <f>SUM(H51:H175)</f>
        <v>132306</v>
      </c>
      <c r="I176" s="255">
        <f>SUM(I51:I175)</f>
        <v>36480</v>
      </c>
      <c r="J176" s="255">
        <f t="shared" si="4"/>
        <v>39998</v>
      </c>
      <c r="K176" s="254">
        <f t="shared" si="4"/>
        <v>60821.32</v>
      </c>
      <c r="L176" s="255">
        <f t="shared" si="4"/>
        <v>0</v>
      </c>
      <c r="M176" s="254">
        <f>SUM(M51:M175)</f>
        <v>82350</v>
      </c>
      <c r="N176" s="255">
        <f t="shared" si="4"/>
        <v>0</v>
      </c>
      <c r="O176" s="255">
        <f t="shared" si="4"/>
        <v>0</v>
      </c>
      <c r="P176" s="255">
        <f>SUM(P51:P175)</f>
        <v>0</v>
      </c>
      <c r="Q176" s="255">
        <f t="shared" si="4"/>
        <v>0</v>
      </c>
      <c r="R176" s="255">
        <f t="shared" si="4"/>
        <v>0</v>
      </c>
      <c r="S176" s="255">
        <f t="shared" si="4"/>
        <v>0</v>
      </c>
      <c r="T176" s="255">
        <f>SUM(T164:T175)</f>
        <v>0</v>
      </c>
      <c r="U176" s="255">
        <f t="shared" si="4"/>
        <v>0</v>
      </c>
      <c r="V176" s="255">
        <f t="shared" si="4"/>
        <v>0</v>
      </c>
      <c r="W176" s="314">
        <f>SUM(D176:V176)</f>
        <v>1064891.6299999999</v>
      </c>
    </row>
    <row r="177" spans="1:24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6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4" ht="25.5" customHeight="1">
      <c r="A178" s="9"/>
      <c r="B178" s="130" t="s">
        <v>111</v>
      </c>
      <c r="C178" s="216">
        <f>50000+25000+5000+25000+10000+10000-8000</f>
        <v>117000</v>
      </c>
      <c r="D178" s="131"/>
      <c r="E178" s="267">
        <v>17701</v>
      </c>
      <c r="F178" s="267">
        <v>7430</v>
      </c>
      <c r="G178" s="267"/>
      <c r="H178" s="267">
        <v>8834</v>
      </c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</row>
    <row r="179" spans="1:24" s="67" customFormat="1" ht="25.5" customHeight="1">
      <c r="A179" s="9"/>
      <c r="B179" s="130" t="s">
        <v>302</v>
      </c>
      <c r="C179" s="216">
        <v>10000</v>
      </c>
      <c r="D179" s="131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312"/>
      <c r="X179" s="525"/>
    </row>
    <row r="180" spans="1:24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>
        <v>330</v>
      </c>
      <c r="F180" s="267"/>
      <c r="G180" s="267"/>
      <c r="H180" s="267">
        <v>2850</v>
      </c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312"/>
      <c r="X180" s="525"/>
    </row>
    <row r="181" spans="1:24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>
        <v>10089</v>
      </c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312"/>
      <c r="X181" s="525"/>
    </row>
    <row r="182" spans="1:24" ht="25.5" customHeight="1">
      <c r="A182" s="9"/>
      <c r="B182" s="130" t="s">
        <v>17</v>
      </c>
      <c r="C182" s="216">
        <f>15000+25000+20000-10000+8000-3000</f>
        <v>55000</v>
      </c>
      <c r="D182" s="133"/>
      <c r="E182" s="267"/>
      <c r="F182" s="267"/>
      <c r="G182" s="267"/>
      <c r="H182" s="267">
        <v>22330</v>
      </c>
      <c r="I182" s="267"/>
      <c r="J182" s="267"/>
      <c r="K182" s="267"/>
      <c r="L182" s="267"/>
      <c r="M182" s="267">
        <v>1345</v>
      </c>
      <c r="N182" s="267"/>
      <c r="O182" s="267"/>
      <c r="P182" s="267"/>
      <c r="Q182" s="267"/>
      <c r="R182" s="267"/>
      <c r="S182" s="267"/>
      <c r="T182" s="267"/>
      <c r="U182" s="267"/>
      <c r="V182" s="267"/>
    </row>
    <row r="183" spans="1:24" ht="25.5" customHeight="1">
      <c r="A183" s="9"/>
      <c r="B183" s="130" t="s">
        <v>13</v>
      </c>
      <c r="C183" s="216">
        <v>15000</v>
      </c>
      <c r="D183" s="131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</row>
    <row r="184" spans="1:24" ht="25.5" customHeight="1">
      <c r="A184" s="9"/>
      <c r="B184" s="130" t="s">
        <v>14</v>
      </c>
      <c r="C184" s="216">
        <f>240000+5000+20000</f>
        <v>265000</v>
      </c>
      <c r="D184" s="133"/>
      <c r="E184" s="267">
        <v>73215.899999999994</v>
      </c>
      <c r="F184" s="267">
        <v>129.6</v>
      </c>
      <c r="G184" s="267"/>
      <c r="H184" s="267"/>
      <c r="I184" s="267"/>
      <c r="J184" s="267"/>
      <c r="K184" s="267"/>
      <c r="L184" s="267"/>
      <c r="M184" s="267">
        <v>2090.5</v>
      </c>
      <c r="N184" s="267"/>
      <c r="O184" s="267"/>
      <c r="P184" s="267"/>
      <c r="Q184" s="267"/>
      <c r="R184" s="267"/>
      <c r="S184" s="267"/>
      <c r="T184" s="267"/>
      <c r="U184" s="267"/>
      <c r="V184" s="267"/>
    </row>
    <row r="185" spans="1:24" ht="25.5" customHeight="1">
      <c r="A185" s="9"/>
      <c r="B185" s="130" t="s">
        <v>112</v>
      </c>
      <c r="C185" s="216">
        <f>5000+5000+5000-5000</f>
        <v>10000</v>
      </c>
      <c r="D185" s="133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</row>
    <row r="186" spans="1:24" ht="25.5" customHeight="1">
      <c r="A186" s="9"/>
      <c r="B186" s="130" t="s">
        <v>208</v>
      </c>
      <c r="C186" s="216">
        <v>5000</v>
      </c>
      <c r="D186" s="133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</row>
    <row r="187" spans="1:24" ht="25.5" customHeight="1">
      <c r="A187" s="9"/>
      <c r="B187" s="130" t="s">
        <v>15</v>
      </c>
      <c r="C187" s="216">
        <f>40000+15000+15000+40000+40000+15000</f>
        <v>165000</v>
      </c>
      <c r="D187" s="196"/>
      <c r="E187" s="267">
        <v>28950</v>
      </c>
      <c r="F187" s="267">
        <v>16525</v>
      </c>
      <c r="G187" s="267"/>
      <c r="H187" s="267">
        <v>2200</v>
      </c>
      <c r="I187" s="267"/>
      <c r="J187" s="267"/>
      <c r="K187" s="267"/>
      <c r="L187" s="267"/>
      <c r="M187" s="267">
        <v>14630</v>
      </c>
      <c r="N187" s="267"/>
      <c r="O187" s="267"/>
      <c r="P187" s="267"/>
      <c r="Q187" s="267"/>
      <c r="R187" s="267"/>
      <c r="S187" s="267"/>
      <c r="T187" s="267"/>
      <c r="U187" s="267"/>
      <c r="V187" s="267"/>
    </row>
    <row r="188" spans="1:24" ht="25.5" customHeight="1">
      <c r="A188" s="9"/>
      <c r="B188" s="130" t="s">
        <v>303</v>
      </c>
      <c r="C188" s="216">
        <v>10000</v>
      </c>
      <c r="D188" s="195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</row>
    <row r="189" spans="1:24" ht="25.5" customHeight="1">
      <c r="A189" s="9"/>
      <c r="B189" s="130" t="s">
        <v>304</v>
      </c>
      <c r="C189" s="216">
        <f>5000+20000</f>
        <v>25000</v>
      </c>
      <c r="D189" s="195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>
        <f>9740+1620</f>
        <v>11360</v>
      </c>
    </row>
    <row r="190" spans="1:24" ht="25.5" customHeight="1">
      <c r="A190" s="9"/>
      <c r="B190" s="130" t="s">
        <v>332</v>
      </c>
      <c r="C190" s="216">
        <v>10000</v>
      </c>
      <c r="D190" s="195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</row>
    <row r="191" spans="1:24" ht="25.5" customHeight="1">
      <c r="A191" s="9"/>
      <c r="B191" s="130" t="s">
        <v>46</v>
      </c>
      <c r="C191" s="216">
        <v>80000</v>
      </c>
      <c r="D191" s="195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</row>
    <row r="192" spans="1:24" ht="25.5" customHeight="1">
      <c r="A192" s="9"/>
      <c r="B192" s="130" t="s">
        <v>316</v>
      </c>
      <c r="C192" s="216">
        <v>1216788</v>
      </c>
      <c r="D192" s="131"/>
      <c r="E192" s="267"/>
      <c r="F192" s="267"/>
      <c r="G192" s="267"/>
      <c r="H192" s="267"/>
      <c r="I192" s="267">
        <v>554766.07999999996</v>
      </c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</row>
    <row r="193" spans="1:23" ht="25.5" customHeight="1">
      <c r="A193" s="9"/>
      <c r="B193" s="130" t="s">
        <v>317</v>
      </c>
      <c r="C193" s="290">
        <v>0</v>
      </c>
      <c r="D193" s="133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</row>
    <row r="194" spans="1:23" s="221" customFormat="1" ht="25.5" customHeight="1">
      <c r="A194" s="9"/>
      <c r="B194" s="130" t="s">
        <v>318</v>
      </c>
      <c r="C194" s="216">
        <v>0</v>
      </c>
      <c r="D194" s="133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  <c r="W194" s="310"/>
    </row>
    <row r="195" spans="1:23" s="221" customFormat="1" ht="25.5" customHeight="1">
      <c r="A195" s="9"/>
      <c r="B195" s="185" t="s">
        <v>319</v>
      </c>
      <c r="C195" s="216">
        <v>388990</v>
      </c>
      <c r="D195" s="133"/>
      <c r="E195" s="267"/>
      <c r="F195" s="267"/>
      <c r="G195" s="267"/>
      <c r="H195" s="267"/>
      <c r="I195" s="267">
        <v>157866.23999999999</v>
      </c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  <c r="W195" s="310"/>
    </row>
    <row r="196" spans="1:23" s="221" customFormat="1" ht="25.5" customHeight="1">
      <c r="A196" s="9"/>
      <c r="B196" s="185" t="s">
        <v>320</v>
      </c>
      <c r="C196" s="216">
        <v>0</v>
      </c>
      <c r="D196" s="133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  <c r="W196" s="310"/>
    </row>
    <row r="197" spans="1:23" s="221" customFormat="1" ht="25.5" customHeight="1">
      <c r="A197" s="9"/>
      <c r="B197" s="185" t="s">
        <v>321</v>
      </c>
      <c r="C197" s="216">
        <v>0</v>
      </c>
      <c r="D197" s="133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  <c r="W197" s="310"/>
    </row>
    <row r="198" spans="1:23" s="221" customFormat="1" ht="25.5" customHeight="1">
      <c r="A198" s="165"/>
      <c r="B198" s="185" t="s">
        <v>322</v>
      </c>
      <c r="C198" s="216">
        <v>0</v>
      </c>
      <c r="D198" s="133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  <c r="W198" s="310"/>
    </row>
    <row r="199" spans="1:23" s="221" customFormat="1" ht="25.5" customHeight="1">
      <c r="A199" s="9"/>
      <c r="B199" s="185"/>
      <c r="C199" s="216"/>
      <c r="D199" s="133"/>
      <c r="E199" s="267"/>
      <c r="F199" s="267"/>
      <c r="G199" s="267"/>
      <c r="H199" s="267"/>
      <c r="I199" s="267"/>
      <c r="J199" s="267"/>
      <c r="K199" s="267"/>
      <c r="L199" s="267"/>
      <c r="M199" s="267"/>
      <c r="N199" s="267"/>
      <c r="O199" s="267"/>
      <c r="P199" s="267"/>
      <c r="Q199" s="267"/>
      <c r="R199" s="267"/>
      <c r="S199" s="267"/>
      <c r="T199" s="267"/>
      <c r="U199" s="267"/>
      <c r="V199" s="267"/>
      <c r="W199" s="310"/>
    </row>
    <row r="200" spans="1:23" s="221" customFormat="1" ht="25.5" customHeight="1">
      <c r="A200" s="9"/>
      <c r="B200" s="185"/>
      <c r="C200" s="216"/>
      <c r="D200" s="133"/>
      <c r="E200" s="267"/>
      <c r="F200" s="267"/>
      <c r="G200" s="267"/>
      <c r="H200" s="267"/>
      <c r="I200" s="267"/>
      <c r="J200" s="267"/>
      <c r="K200" s="267"/>
      <c r="L200" s="267"/>
      <c r="M200" s="267"/>
      <c r="N200" s="267"/>
      <c r="O200" s="267"/>
      <c r="P200" s="267"/>
      <c r="Q200" s="267"/>
      <c r="R200" s="267"/>
      <c r="S200" s="267"/>
      <c r="T200" s="267"/>
      <c r="U200" s="267"/>
      <c r="V200" s="267"/>
      <c r="W200" s="310"/>
    </row>
    <row r="201" spans="1:23" s="221" customFormat="1" ht="25.5" customHeight="1">
      <c r="A201" s="9"/>
      <c r="B201" s="185"/>
      <c r="C201" s="216"/>
      <c r="D201" s="133"/>
      <c r="E201" s="267"/>
      <c r="F201" s="267"/>
      <c r="G201" s="267"/>
      <c r="H201" s="267"/>
      <c r="I201" s="267"/>
      <c r="J201" s="267"/>
      <c r="K201" s="267"/>
      <c r="L201" s="267"/>
      <c r="M201" s="267"/>
      <c r="N201" s="267"/>
      <c r="O201" s="267"/>
      <c r="P201" s="267"/>
      <c r="Q201" s="267"/>
      <c r="R201" s="267"/>
      <c r="S201" s="267"/>
      <c r="T201" s="267"/>
      <c r="U201" s="267"/>
      <c r="V201" s="267"/>
      <c r="W201" s="310"/>
    </row>
    <row r="202" spans="1:23" s="221" customFormat="1" ht="25.5" customHeight="1">
      <c r="A202" s="9"/>
      <c r="B202" s="130"/>
      <c r="C202" s="216"/>
      <c r="D202" s="133"/>
      <c r="E202" s="267"/>
      <c r="F202" s="267"/>
      <c r="G202" s="267"/>
      <c r="H202" s="267"/>
      <c r="I202" s="267"/>
      <c r="J202" s="267"/>
      <c r="K202" s="267"/>
      <c r="L202" s="267"/>
      <c r="M202" s="267"/>
      <c r="N202" s="267"/>
      <c r="O202" s="267"/>
      <c r="P202" s="267"/>
      <c r="Q202" s="267"/>
      <c r="R202" s="267"/>
      <c r="S202" s="267"/>
      <c r="T202" s="267"/>
      <c r="U202" s="267"/>
      <c r="V202" s="267"/>
      <c r="W202" s="310"/>
    </row>
    <row r="203" spans="1:23" s="221" customFormat="1" ht="25.5" customHeight="1">
      <c r="A203" s="197"/>
      <c r="B203" s="198"/>
      <c r="C203" s="216"/>
      <c r="D203" s="133"/>
      <c r="E203" s="267"/>
      <c r="F203" s="267"/>
      <c r="G203" s="267"/>
      <c r="H203" s="267"/>
      <c r="I203" s="267"/>
      <c r="J203" s="267"/>
      <c r="K203" s="267"/>
      <c r="L203" s="267"/>
      <c r="M203" s="267"/>
      <c r="N203" s="267"/>
      <c r="O203" s="267"/>
      <c r="P203" s="267"/>
      <c r="Q203" s="267"/>
      <c r="R203" s="267"/>
      <c r="S203" s="267"/>
      <c r="T203" s="267"/>
      <c r="U203" s="267"/>
      <c r="V203" s="267"/>
      <c r="W203" s="310"/>
    </row>
    <row r="204" spans="1:23" s="221" customFormat="1" ht="25.5" customHeight="1" thickBot="1">
      <c r="A204" s="46"/>
      <c r="B204" s="47" t="s">
        <v>5</v>
      </c>
      <c r="C204" s="170">
        <f>SUM(C178:C203)</f>
        <v>2610778</v>
      </c>
      <c r="D204" s="255">
        <f>SUM(D178:D203)</f>
        <v>0</v>
      </c>
      <c r="E204" s="254">
        <f>SUM(E178:E203)</f>
        <v>130285.9</v>
      </c>
      <c r="F204" s="254">
        <f t="shared" ref="F204:V204" si="5">SUM(F178:F203)</f>
        <v>24084.6</v>
      </c>
      <c r="G204" s="255">
        <f t="shared" si="5"/>
        <v>0</v>
      </c>
      <c r="H204" s="254">
        <f t="shared" si="5"/>
        <v>36214</v>
      </c>
      <c r="I204" s="255">
        <f t="shared" si="5"/>
        <v>712632.31999999995</v>
      </c>
      <c r="J204" s="255">
        <f t="shared" si="5"/>
        <v>0</v>
      </c>
      <c r="K204" s="254">
        <f t="shared" si="5"/>
        <v>0</v>
      </c>
      <c r="L204" s="255">
        <f t="shared" si="5"/>
        <v>0</v>
      </c>
      <c r="M204" s="254">
        <f t="shared" si="5"/>
        <v>18065.5</v>
      </c>
      <c r="N204" s="255">
        <f t="shared" si="5"/>
        <v>0</v>
      </c>
      <c r="O204" s="255">
        <f t="shared" si="5"/>
        <v>0</v>
      </c>
      <c r="P204" s="255">
        <f t="shared" si="5"/>
        <v>0</v>
      </c>
      <c r="Q204" s="255">
        <f t="shared" si="5"/>
        <v>0</v>
      </c>
      <c r="R204" s="255">
        <f t="shared" si="5"/>
        <v>0</v>
      </c>
      <c r="S204" s="255">
        <f t="shared" si="5"/>
        <v>0</v>
      </c>
      <c r="T204" s="255"/>
      <c r="U204" s="255">
        <f t="shared" si="5"/>
        <v>0</v>
      </c>
      <c r="V204" s="255">
        <f t="shared" si="5"/>
        <v>11360</v>
      </c>
      <c r="W204" s="314">
        <f>SUM(D204:V204)</f>
        <v>932642.32</v>
      </c>
    </row>
    <row r="205" spans="1:23" s="221" customFormat="1" ht="25.5" customHeight="1" thickTop="1">
      <c r="A205" s="5" t="s">
        <v>114</v>
      </c>
      <c r="B205" s="6"/>
      <c r="C205" s="190"/>
      <c r="D205" s="133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>
        <f>+เม.ย.!U204+พ.ค.!U204+มิ.ย.!U204</f>
        <v>0</v>
      </c>
      <c r="V205" s="267">
        <f>+เม.ย.!V204+พ.ค.!V204+มิ.ย.!V204</f>
        <v>0</v>
      </c>
      <c r="W205" s="310"/>
    </row>
    <row r="206" spans="1:23" s="221" customFormat="1" ht="25.5" customHeight="1">
      <c r="A206" s="9"/>
      <c r="B206" s="130" t="s">
        <v>20</v>
      </c>
      <c r="C206" s="216">
        <f>240000+35000</f>
        <v>275000</v>
      </c>
      <c r="D206" s="261"/>
      <c r="E206" s="267">
        <v>41409.269999999997</v>
      </c>
      <c r="F206" s="267"/>
      <c r="G206" s="267"/>
      <c r="H206" s="267">
        <v>4653.51</v>
      </c>
      <c r="I206" s="267"/>
      <c r="J206" s="267"/>
      <c r="K206" s="267"/>
      <c r="L206" s="267"/>
      <c r="M206" s="267"/>
      <c r="N206" s="267"/>
      <c r="O206" s="267"/>
      <c r="P206" s="267"/>
      <c r="Q206" s="267"/>
      <c r="R206" s="267"/>
      <c r="S206" s="267"/>
      <c r="T206" s="267"/>
      <c r="U206" s="267">
        <f>+เม.ย.!U205+พ.ค.!U205+มิ.ย.!U205</f>
        <v>0</v>
      </c>
      <c r="V206" s="267">
        <f>+เม.ย.!V205+พ.ค.!V205+มิ.ย.!V205</f>
        <v>0</v>
      </c>
      <c r="W206" s="321"/>
    </row>
    <row r="207" spans="1:23" s="221" customFormat="1" ht="25.5" customHeight="1">
      <c r="A207" s="9"/>
      <c r="B207" s="130" t="s">
        <v>283</v>
      </c>
      <c r="C207" s="216">
        <f>100000+12000</f>
        <v>112000</v>
      </c>
      <c r="D207" s="261"/>
      <c r="E207" s="267">
        <v>8351.34</v>
      </c>
      <c r="F207" s="267"/>
      <c r="G207" s="267"/>
      <c r="H207" s="267">
        <v>2632.2</v>
      </c>
      <c r="I207" s="267"/>
      <c r="J207" s="267"/>
      <c r="K207" s="267"/>
      <c r="L207" s="267"/>
      <c r="M207" s="267"/>
      <c r="N207" s="267"/>
      <c r="O207" s="267"/>
      <c r="P207" s="267"/>
      <c r="Q207" s="267"/>
      <c r="R207" s="267"/>
      <c r="S207" s="267"/>
      <c r="T207" s="267"/>
      <c r="U207" s="267">
        <f>+เม.ย.!U206+พ.ค.!U206+มิ.ย.!U206</f>
        <v>0</v>
      </c>
      <c r="V207" s="267">
        <f>+เม.ย.!V206+พ.ค.!V206+มิ.ย.!V206</f>
        <v>0</v>
      </c>
      <c r="W207" s="310"/>
    </row>
    <row r="208" spans="1:23" s="221" customFormat="1" ht="25.5" customHeight="1">
      <c r="A208" s="9"/>
      <c r="B208" s="130" t="s">
        <v>284</v>
      </c>
      <c r="C208" s="216">
        <f>15000+3000</f>
        <v>18000</v>
      </c>
      <c r="D208" s="131"/>
      <c r="E208" s="267">
        <v>88</v>
      </c>
      <c r="F208" s="267"/>
      <c r="G208" s="267"/>
      <c r="H208" s="267">
        <v>1000</v>
      </c>
      <c r="I208" s="267"/>
      <c r="J208" s="267"/>
      <c r="K208" s="267"/>
      <c r="L208" s="267"/>
      <c r="M208" s="267"/>
      <c r="N208" s="267"/>
      <c r="O208" s="267"/>
      <c r="P208" s="267"/>
      <c r="Q208" s="267"/>
      <c r="R208" s="267"/>
      <c r="S208" s="267"/>
      <c r="T208" s="267"/>
      <c r="U208" s="267">
        <f>+เม.ย.!U207+พ.ค.!U207+มิ.ย.!U207</f>
        <v>0</v>
      </c>
      <c r="V208" s="267">
        <f>+เม.ย.!V207+พ.ค.!V207+มิ.ย.!V207</f>
        <v>0</v>
      </c>
      <c r="W208" s="310"/>
    </row>
    <row r="209" spans="1:23" s="221" customFormat="1" ht="25.5" customHeight="1">
      <c r="A209" s="9"/>
      <c r="B209" s="130" t="s">
        <v>285</v>
      </c>
      <c r="C209" s="216">
        <f>72000+32000+16100</f>
        <v>120100</v>
      </c>
      <c r="D209" s="131"/>
      <c r="E209" s="267">
        <v>5911.75</v>
      </c>
      <c r="F209" s="267"/>
      <c r="G209" s="267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>
        <f>+เม.ย.!U208+พ.ค.!U208+มิ.ย.!U208</f>
        <v>0</v>
      </c>
      <c r="V209" s="267">
        <f>+เม.ย.!V208+พ.ค.!V208+มิ.ย.!V208</f>
        <v>0</v>
      </c>
      <c r="W209" s="310"/>
    </row>
    <row r="210" spans="1:23" s="221" customFormat="1" ht="25.5" customHeight="1" thickBot="1">
      <c r="A210" s="15"/>
      <c r="B210" s="14" t="s">
        <v>5</v>
      </c>
      <c r="C210" s="170">
        <f>SUM(C206:C209)</f>
        <v>525100</v>
      </c>
      <c r="D210" s="132">
        <f>SUM(D206:D209)</f>
        <v>0</v>
      </c>
      <c r="E210" s="137">
        <f>SUM(E206:E209)</f>
        <v>55760.36</v>
      </c>
      <c r="F210" s="137">
        <f t="shared" ref="F210:V210" si="6">SUM(F206:F209)</f>
        <v>0</v>
      </c>
      <c r="G210" s="132">
        <f t="shared" si="6"/>
        <v>0</v>
      </c>
      <c r="H210" s="137">
        <f>SUM(H206:H209)</f>
        <v>8285.7099999999991</v>
      </c>
      <c r="I210" s="132">
        <f t="shared" si="6"/>
        <v>0</v>
      </c>
      <c r="J210" s="132">
        <f t="shared" si="6"/>
        <v>0</v>
      </c>
      <c r="K210" s="137">
        <f t="shared" si="6"/>
        <v>0</v>
      </c>
      <c r="L210" s="132">
        <f t="shared" si="6"/>
        <v>0</v>
      </c>
      <c r="M210" s="137">
        <f t="shared" si="6"/>
        <v>0</v>
      </c>
      <c r="N210" s="132">
        <f t="shared" si="6"/>
        <v>0</v>
      </c>
      <c r="O210" s="132">
        <f t="shared" si="6"/>
        <v>0</v>
      </c>
      <c r="P210" s="132">
        <f t="shared" si="6"/>
        <v>0</v>
      </c>
      <c r="Q210" s="132">
        <f t="shared" si="6"/>
        <v>0</v>
      </c>
      <c r="R210" s="132">
        <f t="shared" si="6"/>
        <v>0</v>
      </c>
      <c r="S210" s="132">
        <f t="shared" si="6"/>
        <v>0</v>
      </c>
      <c r="T210" s="132"/>
      <c r="U210" s="132">
        <f t="shared" si="6"/>
        <v>0</v>
      </c>
      <c r="V210" s="132">
        <f t="shared" si="6"/>
        <v>0</v>
      </c>
      <c r="W210" s="318">
        <f>SUM(D210:V210)</f>
        <v>64046.07</v>
      </c>
    </row>
    <row r="211" spans="1:23" s="221" customFormat="1" ht="25.5" customHeight="1" thickTop="1">
      <c r="A211" s="3" t="s">
        <v>122</v>
      </c>
      <c r="B211" s="4"/>
      <c r="C211" s="287"/>
      <c r="D211" s="133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310"/>
    </row>
    <row r="212" spans="1:23" s="221" customFormat="1" ht="25.5" customHeight="1">
      <c r="A212" s="169"/>
      <c r="B212" s="185" t="s">
        <v>323</v>
      </c>
      <c r="C212" s="190">
        <v>864000</v>
      </c>
      <c r="D212" s="131"/>
      <c r="E212" s="267"/>
      <c r="F212" s="267"/>
      <c r="G212" s="267"/>
      <c r="H212" s="267"/>
      <c r="I212" s="267">
        <v>4620</v>
      </c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  <c r="W212" s="310"/>
    </row>
    <row r="213" spans="1:23" s="221" customFormat="1" ht="25.5" customHeight="1">
      <c r="A213" s="169"/>
      <c r="B213" s="185" t="s">
        <v>324</v>
      </c>
      <c r="C213" s="190">
        <v>1096000</v>
      </c>
      <c r="D213" s="131"/>
      <c r="E213" s="267"/>
      <c r="F213" s="267"/>
      <c r="G213" s="267"/>
      <c r="H213" s="267"/>
      <c r="I213" s="267">
        <v>5860</v>
      </c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  <c r="W213" s="310"/>
    </row>
    <row r="214" spans="1:23" s="221" customFormat="1" ht="25.5" customHeight="1">
      <c r="A214" s="169"/>
      <c r="B214" s="185" t="s">
        <v>325</v>
      </c>
      <c r="C214" s="190">
        <v>580000</v>
      </c>
      <c r="D214" s="133"/>
      <c r="E214" s="267"/>
      <c r="F214" s="267"/>
      <c r="G214" s="267"/>
      <c r="H214" s="267"/>
      <c r="I214" s="267">
        <v>2680</v>
      </c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  <c r="W214" s="310"/>
    </row>
    <row r="215" spans="1:23" s="221" customFormat="1" ht="25.5" customHeight="1">
      <c r="A215" s="169"/>
      <c r="B215" s="185" t="s">
        <v>351</v>
      </c>
      <c r="C215" s="190">
        <v>223000</v>
      </c>
      <c r="D215" s="133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  <c r="W215" s="310"/>
    </row>
    <row r="216" spans="1:23" s="221" customFormat="1" ht="25.5" customHeight="1">
      <c r="A216" s="169"/>
      <c r="B216" s="185" t="s">
        <v>442</v>
      </c>
      <c r="C216" s="190">
        <v>100000</v>
      </c>
      <c r="D216" s="133"/>
      <c r="E216" s="269"/>
      <c r="F216" s="136"/>
      <c r="G216" s="136"/>
      <c r="H216" s="136"/>
      <c r="I216" s="133"/>
      <c r="J216" s="133"/>
      <c r="K216" s="136">
        <v>100000</v>
      </c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  <c r="W216" s="310"/>
    </row>
    <row r="217" spans="1:23" s="221" customFormat="1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6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  <c r="W217" s="310"/>
    </row>
    <row r="218" spans="1:23" s="221" customFormat="1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6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  <c r="W218" s="310"/>
    </row>
    <row r="219" spans="1:23" s="221" customFormat="1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6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  <c r="W219" s="310"/>
    </row>
    <row r="220" spans="1:23" s="221" customFormat="1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5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  <c r="W220" s="310"/>
    </row>
    <row r="221" spans="1:23" s="221" customFormat="1" ht="25.5" customHeight="1" thickBot="1">
      <c r="A221" s="15"/>
      <c r="B221" s="14" t="s">
        <v>5</v>
      </c>
      <c r="C221" s="170">
        <f>SUM(C212:C220)</f>
        <v>2863000</v>
      </c>
      <c r="D221" s="255">
        <f>SUM(D212:D220)</f>
        <v>0</v>
      </c>
      <c r="E221" s="254">
        <f t="shared" ref="E221:V221" si="7">SUM(E212:E220)</f>
        <v>0</v>
      </c>
      <c r="F221" s="254">
        <f t="shared" si="7"/>
        <v>0</v>
      </c>
      <c r="G221" s="254">
        <f t="shared" si="7"/>
        <v>0</v>
      </c>
      <c r="H221" s="254">
        <f t="shared" si="7"/>
        <v>0</v>
      </c>
      <c r="I221" s="255">
        <f>SUM(I212:I220)</f>
        <v>13160</v>
      </c>
      <c r="J221" s="255">
        <f t="shared" si="7"/>
        <v>0</v>
      </c>
      <c r="K221" s="254">
        <f t="shared" si="7"/>
        <v>100000</v>
      </c>
      <c r="L221" s="255">
        <f t="shared" si="7"/>
        <v>0</v>
      </c>
      <c r="M221" s="254">
        <f t="shared" si="7"/>
        <v>0</v>
      </c>
      <c r="N221" s="255">
        <f t="shared" si="7"/>
        <v>0</v>
      </c>
      <c r="O221" s="255">
        <f t="shared" si="7"/>
        <v>0</v>
      </c>
      <c r="P221" s="255">
        <f t="shared" si="7"/>
        <v>0</v>
      </c>
      <c r="Q221" s="255">
        <f t="shared" si="7"/>
        <v>0</v>
      </c>
      <c r="R221" s="255">
        <f t="shared" si="7"/>
        <v>0</v>
      </c>
      <c r="S221" s="255">
        <f t="shared" si="7"/>
        <v>0</v>
      </c>
      <c r="T221" s="255"/>
      <c r="U221" s="255">
        <f t="shared" si="7"/>
        <v>0</v>
      </c>
      <c r="V221" s="255">
        <f t="shared" si="7"/>
        <v>0</v>
      </c>
      <c r="W221" s="314">
        <f>SUM(D221:V221)</f>
        <v>113160</v>
      </c>
    </row>
    <row r="222" spans="1:23" s="221" customFormat="1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6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  <c r="W222" s="310"/>
    </row>
    <row r="223" spans="1:23" s="221" customFormat="1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5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  <c r="W223" s="310"/>
    </row>
    <row r="224" spans="1:23" s="221" customFormat="1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4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  <c r="W224" s="310"/>
    </row>
    <row r="225" spans="1:24" s="221" customFormat="1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6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  <c r="W225" s="310"/>
    </row>
    <row r="226" spans="1:24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5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4" s="310" customFormat="1" ht="25.5" customHeight="1">
      <c r="A227" s="20"/>
      <c r="B227" s="186" t="s">
        <v>286</v>
      </c>
      <c r="C227" s="294">
        <v>10000</v>
      </c>
      <c r="D227" s="131"/>
      <c r="E227" s="267">
        <v>10000</v>
      </c>
      <c r="F227" s="267"/>
      <c r="G227" s="267"/>
      <c r="H227" s="267"/>
      <c r="I227" s="267"/>
      <c r="J227" s="267"/>
      <c r="K227" s="267"/>
      <c r="L227" s="267"/>
      <c r="M227" s="267"/>
      <c r="N227" s="267"/>
      <c r="O227" s="267"/>
      <c r="P227" s="267"/>
      <c r="Q227" s="267"/>
      <c r="R227" s="267"/>
      <c r="S227" s="267"/>
      <c r="T227" s="267"/>
      <c r="U227" s="267"/>
      <c r="V227" s="267"/>
      <c r="X227" s="221"/>
    </row>
    <row r="228" spans="1:24" s="310" customFormat="1" ht="25.5" customHeight="1">
      <c r="A228" s="20"/>
      <c r="B228" s="186" t="s">
        <v>287</v>
      </c>
      <c r="C228" s="294">
        <v>4500</v>
      </c>
      <c r="D228" s="131"/>
      <c r="E228" s="267">
        <v>2700</v>
      </c>
      <c r="F228" s="267"/>
      <c r="G228" s="267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X228" s="221"/>
    </row>
    <row r="229" spans="1:24" s="310" customFormat="1" ht="25.5" customHeight="1">
      <c r="A229" s="20"/>
      <c r="B229" s="186" t="s">
        <v>288</v>
      </c>
      <c r="C229" s="294">
        <v>3000</v>
      </c>
      <c r="D229" s="131"/>
      <c r="E229" s="267"/>
      <c r="F229" s="267"/>
      <c r="G229" s="267"/>
      <c r="H229" s="267"/>
      <c r="I229" s="267"/>
      <c r="J229" s="267"/>
      <c r="K229" s="267"/>
      <c r="L229" s="267"/>
      <c r="M229" s="267"/>
      <c r="N229" s="267"/>
      <c r="O229" s="267"/>
      <c r="P229" s="267"/>
      <c r="Q229" s="267"/>
      <c r="R229" s="267"/>
      <c r="S229" s="267"/>
      <c r="T229" s="267"/>
      <c r="U229" s="267"/>
      <c r="V229" s="267"/>
      <c r="X229" s="221"/>
    </row>
    <row r="230" spans="1:24" s="310" customFormat="1" ht="25.5" customHeight="1">
      <c r="A230" s="20"/>
      <c r="B230" s="186" t="s">
        <v>289</v>
      </c>
      <c r="C230" s="294">
        <v>20000</v>
      </c>
      <c r="D230" s="131"/>
      <c r="E230" s="267"/>
      <c r="F230" s="267"/>
      <c r="G230" s="267"/>
      <c r="H230" s="267"/>
      <c r="I230" s="267"/>
      <c r="J230" s="267"/>
      <c r="K230" s="267"/>
      <c r="L230" s="267"/>
      <c r="M230" s="267"/>
      <c r="N230" s="267"/>
      <c r="O230" s="267"/>
      <c r="P230" s="267"/>
      <c r="Q230" s="267"/>
      <c r="R230" s="267"/>
      <c r="S230" s="267"/>
      <c r="T230" s="267"/>
      <c r="U230" s="267"/>
      <c r="V230" s="267"/>
      <c r="X230" s="221"/>
    </row>
    <row r="231" spans="1:24" s="310" customFormat="1" ht="25.5" customHeight="1">
      <c r="A231" s="20"/>
      <c r="B231" s="186" t="s">
        <v>290</v>
      </c>
      <c r="C231" s="295">
        <f>5500+5500</f>
        <v>11000</v>
      </c>
      <c r="D231" s="131"/>
      <c r="E231" s="267"/>
      <c r="F231" s="267"/>
      <c r="G231" s="267"/>
      <c r="H231" s="267"/>
      <c r="I231" s="267"/>
      <c r="J231" s="267"/>
      <c r="K231" s="267"/>
      <c r="L231" s="267"/>
      <c r="M231" s="267"/>
      <c r="N231" s="267"/>
      <c r="O231" s="267"/>
      <c r="P231" s="267"/>
      <c r="Q231" s="267"/>
      <c r="R231" s="267"/>
      <c r="S231" s="267"/>
      <c r="T231" s="267"/>
      <c r="U231" s="267"/>
      <c r="V231" s="267"/>
      <c r="X231" s="221"/>
    </row>
    <row r="232" spans="1:24" s="310" customFormat="1" ht="25.5" customHeight="1">
      <c r="A232" s="20"/>
      <c r="B232" s="186" t="s">
        <v>305</v>
      </c>
      <c r="C232" s="295">
        <v>16000</v>
      </c>
      <c r="D232" s="131"/>
      <c r="E232" s="267"/>
      <c r="F232" s="267"/>
      <c r="G232" s="267"/>
      <c r="H232" s="267"/>
      <c r="I232" s="267"/>
      <c r="J232" s="267"/>
      <c r="K232" s="267"/>
      <c r="L232" s="267"/>
      <c r="M232" s="267"/>
      <c r="N232" s="267"/>
      <c r="O232" s="267"/>
      <c r="P232" s="267"/>
      <c r="Q232" s="267"/>
      <c r="R232" s="267"/>
      <c r="S232" s="267"/>
      <c r="T232" s="267"/>
      <c r="U232" s="267"/>
      <c r="V232" s="267"/>
      <c r="X232" s="221"/>
    </row>
    <row r="233" spans="1:24" s="310" customFormat="1" ht="25.5" customHeight="1">
      <c r="A233" s="20"/>
      <c r="B233" s="186" t="s">
        <v>334</v>
      </c>
      <c r="C233" s="295">
        <v>4500</v>
      </c>
      <c r="D233" s="131"/>
      <c r="E233" s="267"/>
      <c r="F233" s="267"/>
      <c r="G233" s="267"/>
      <c r="H233" s="267"/>
      <c r="I233" s="267"/>
      <c r="J233" s="267"/>
      <c r="K233" s="267"/>
      <c r="L233" s="267"/>
      <c r="M233" s="267"/>
      <c r="N233" s="267"/>
      <c r="O233" s="267"/>
      <c r="P233" s="267"/>
      <c r="Q233" s="267"/>
      <c r="R233" s="267"/>
      <c r="S233" s="267"/>
      <c r="T233" s="267"/>
      <c r="U233" s="267"/>
      <c r="V233" s="267"/>
      <c r="X233" s="221"/>
    </row>
    <row r="234" spans="1:24" s="310" customFormat="1" ht="25.5" customHeight="1">
      <c r="A234" s="20"/>
      <c r="B234" s="186" t="s">
        <v>335</v>
      </c>
      <c r="C234" s="295">
        <v>4500</v>
      </c>
      <c r="D234" s="131"/>
      <c r="E234" s="267"/>
      <c r="F234" s="267"/>
      <c r="G234" s="267"/>
      <c r="H234" s="267"/>
      <c r="I234" s="267"/>
      <c r="J234" s="267"/>
      <c r="K234" s="267"/>
      <c r="L234" s="267"/>
      <c r="M234" s="267"/>
      <c r="N234" s="267"/>
      <c r="O234" s="267"/>
      <c r="P234" s="267"/>
      <c r="Q234" s="267"/>
      <c r="R234" s="267"/>
      <c r="S234" s="267"/>
      <c r="T234" s="267"/>
      <c r="U234" s="267"/>
      <c r="V234" s="267"/>
      <c r="X234" s="221"/>
    </row>
    <row r="235" spans="1:24" s="310" customFormat="1" ht="25.5" customHeight="1" thickBot="1">
      <c r="A235" s="46"/>
      <c r="B235" s="492"/>
      <c r="C235" s="493"/>
      <c r="D235" s="255"/>
      <c r="E235" s="271">
        <f>SUM(E227:E234)</f>
        <v>12700</v>
      </c>
      <c r="F235" s="271">
        <f t="shared" ref="F235:V235" si="8">SUM(F227:F234)</f>
        <v>0</v>
      </c>
      <c r="G235" s="271">
        <f t="shared" si="8"/>
        <v>0</v>
      </c>
      <c r="H235" s="271">
        <f t="shared" si="8"/>
        <v>0</v>
      </c>
      <c r="I235" s="271">
        <f t="shared" si="8"/>
        <v>0</v>
      </c>
      <c r="J235" s="271">
        <f t="shared" si="8"/>
        <v>0</v>
      </c>
      <c r="K235" s="271">
        <f t="shared" si="8"/>
        <v>0</v>
      </c>
      <c r="L235" s="271">
        <f t="shared" si="8"/>
        <v>0</v>
      </c>
      <c r="M235" s="271">
        <f>SUM(M227:M234)</f>
        <v>0</v>
      </c>
      <c r="N235" s="271">
        <f t="shared" si="8"/>
        <v>0</v>
      </c>
      <c r="O235" s="271">
        <f t="shared" si="8"/>
        <v>0</v>
      </c>
      <c r="P235" s="271">
        <f t="shared" si="8"/>
        <v>0</v>
      </c>
      <c r="Q235" s="271">
        <f t="shared" si="8"/>
        <v>0</v>
      </c>
      <c r="R235" s="271">
        <f t="shared" si="8"/>
        <v>0</v>
      </c>
      <c r="S235" s="271">
        <f t="shared" si="8"/>
        <v>0</v>
      </c>
      <c r="T235" s="271"/>
      <c r="U235" s="271">
        <f t="shared" si="8"/>
        <v>0</v>
      </c>
      <c r="V235" s="271">
        <f t="shared" si="8"/>
        <v>0</v>
      </c>
      <c r="W235" s="321">
        <f>SUM(D235:V235)</f>
        <v>12700</v>
      </c>
      <c r="X235" s="221"/>
    </row>
    <row r="236" spans="1:24" s="310" customFormat="1" ht="25.5" customHeight="1" thickTop="1">
      <c r="A236" s="20"/>
      <c r="B236" s="360" t="s">
        <v>292</v>
      </c>
      <c r="C236" s="361"/>
      <c r="D236" s="133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X236" s="221"/>
    </row>
    <row r="237" spans="1:24" s="310" customFormat="1" ht="25.5" customHeight="1">
      <c r="A237" s="20"/>
      <c r="B237" s="186" t="s">
        <v>293</v>
      </c>
      <c r="C237" s="295">
        <v>32000</v>
      </c>
      <c r="D237" s="131"/>
      <c r="E237" s="267"/>
      <c r="F237" s="267"/>
      <c r="G237" s="267"/>
      <c r="H237" s="267"/>
      <c r="I237" s="267"/>
      <c r="J237" s="267"/>
      <c r="K237" s="267"/>
      <c r="L237" s="267"/>
      <c r="M237" s="267"/>
      <c r="N237" s="267"/>
      <c r="O237" s="267"/>
      <c r="P237" s="267"/>
      <c r="Q237" s="267"/>
      <c r="R237" s="267"/>
      <c r="S237" s="267"/>
      <c r="T237" s="267"/>
      <c r="U237" s="267"/>
      <c r="V237" s="267"/>
      <c r="X237" s="221"/>
    </row>
    <row r="238" spans="1:24" s="310" customFormat="1" ht="25.5" customHeight="1">
      <c r="A238" s="20"/>
      <c r="B238" s="186" t="s">
        <v>125</v>
      </c>
      <c r="C238" s="295">
        <f>2800+2800+2300</f>
        <v>7900</v>
      </c>
      <c r="D238" s="131"/>
      <c r="E238" s="267"/>
      <c r="F238" s="267"/>
      <c r="G238" s="267"/>
      <c r="H238" s="267"/>
      <c r="I238" s="267"/>
      <c r="J238" s="267"/>
      <c r="K238" s="267"/>
      <c r="L238" s="267"/>
      <c r="M238" s="267"/>
      <c r="N238" s="267"/>
      <c r="O238" s="267"/>
      <c r="P238" s="267"/>
      <c r="Q238" s="267"/>
      <c r="R238" s="267"/>
      <c r="S238" s="267"/>
      <c r="T238" s="267"/>
      <c r="U238" s="267"/>
      <c r="V238" s="267"/>
      <c r="X238" s="221"/>
    </row>
    <row r="239" spans="1:24" s="310" customFormat="1" ht="25.5" customHeight="1">
      <c r="A239" s="20"/>
      <c r="B239" s="186" t="s">
        <v>294</v>
      </c>
      <c r="C239" s="295">
        <v>21000</v>
      </c>
      <c r="D239" s="131"/>
      <c r="E239" s="267"/>
      <c r="F239" s="267"/>
      <c r="G239" s="267"/>
      <c r="H239" s="267"/>
      <c r="I239" s="267"/>
      <c r="J239" s="267"/>
      <c r="K239" s="267"/>
      <c r="L239" s="267"/>
      <c r="M239" s="267"/>
      <c r="N239" s="267"/>
      <c r="O239" s="267"/>
      <c r="P239" s="267"/>
      <c r="Q239" s="267"/>
      <c r="R239" s="267"/>
      <c r="S239" s="267"/>
      <c r="T239" s="267"/>
      <c r="U239" s="267"/>
      <c r="V239" s="267"/>
      <c r="X239" s="221"/>
    </row>
    <row r="240" spans="1:24" s="310" customFormat="1" ht="25.5" customHeight="1">
      <c r="A240" s="20"/>
      <c r="B240" s="186" t="s">
        <v>293</v>
      </c>
      <c r="C240" s="295">
        <v>16000</v>
      </c>
      <c r="D240" s="131"/>
      <c r="E240" s="267"/>
      <c r="F240" s="267"/>
      <c r="G240" s="267"/>
      <c r="H240" s="267"/>
      <c r="I240" s="267"/>
      <c r="J240" s="267"/>
      <c r="K240" s="267"/>
      <c r="L240" s="267"/>
      <c r="M240" s="267"/>
      <c r="N240" s="267"/>
      <c r="O240" s="267"/>
      <c r="P240" s="267"/>
      <c r="Q240" s="267"/>
      <c r="R240" s="267"/>
      <c r="S240" s="267"/>
      <c r="T240" s="267"/>
      <c r="U240" s="267"/>
      <c r="V240" s="267"/>
      <c r="X240" s="221"/>
    </row>
    <row r="241" spans="1:24" s="310" customFormat="1" ht="25.5" customHeight="1">
      <c r="A241" s="20"/>
      <c r="B241" s="186" t="s">
        <v>306</v>
      </c>
      <c r="C241" s="295">
        <v>7700</v>
      </c>
      <c r="D241" s="131"/>
      <c r="E241" s="267"/>
      <c r="F241" s="267"/>
      <c r="G241" s="267"/>
      <c r="H241" s="267"/>
      <c r="I241" s="267"/>
      <c r="J241" s="267"/>
      <c r="K241" s="267"/>
      <c r="L241" s="267"/>
      <c r="M241" s="267"/>
      <c r="N241" s="267"/>
      <c r="O241" s="267"/>
      <c r="P241" s="267"/>
      <c r="Q241" s="267"/>
      <c r="R241" s="267"/>
      <c r="S241" s="267"/>
      <c r="T241" s="267"/>
      <c r="U241" s="267"/>
      <c r="V241" s="267"/>
      <c r="X241" s="221"/>
    </row>
    <row r="242" spans="1:24" s="310" customFormat="1" ht="25.5" customHeight="1" thickBot="1">
      <c r="A242" s="46"/>
      <c r="B242" s="492"/>
      <c r="C242" s="493"/>
      <c r="D242" s="255"/>
      <c r="E242" s="271">
        <f>SUM(E237:E241)</f>
        <v>0</v>
      </c>
      <c r="F242" s="271">
        <f t="shared" ref="F242:V242" si="9">SUM(F237:F241)</f>
        <v>0</v>
      </c>
      <c r="G242" s="271">
        <f t="shared" si="9"/>
        <v>0</v>
      </c>
      <c r="H242" s="271">
        <f t="shared" si="9"/>
        <v>0</v>
      </c>
      <c r="I242" s="271">
        <f t="shared" si="9"/>
        <v>0</v>
      </c>
      <c r="J242" s="271">
        <f t="shared" si="9"/>
        <v>0</v>
      </c>
      <c r="K242" s="271">
        <f t="shared" si="9"/>
        <v>0</v>
      </c>
      <c r="L242" s="271">
        <f t="shared" si="9"/>
        <v>0</v>
      </c>
      <c r="M242" s="271">
        <f>SUM(M237:M241)</f>
        <v>0</v>
      </c>
      <c r="N242" s="271">
        <f t="shared" si="9"/>
        <v>0</v>
      </c>
      <c r="O242" s="271">
        <f t="shared" si="9"/>
        <v>0</v>
      </c>
      <c r="P242" s="271">
        <f t="shared" si="9"/>
        <v>0</v>
      </c>
      <c r="Q242" s="271">
        <f t="shared" si="9"/>
        <v>0</v>
      </c>
      <c r="R242" s="271">
        <f t="shared" si="9"/>
        <v>0</v>
      </c>
      <c r="S242" s="271">
        <f t="shared" si="9"/>
        <v>0</v>
      </c>
      <c r="T242" s="271"/>
      <c r="U242" s="271">
        <f t="shared" si="9"/>
        <v>0</v>
      </c>
      <c r="V242" s="271">
        <f t="shared" si="9"/>
        <v>0</v>
      </c>
      <c r="W242" s="321">
        <f>SUM(D242:V242)</f>
        <v>0</v>
      </c>
      <c r="X242" s="221"/>
    </row>
    <row r="243" spans="1:24" s="310" customFormat="1" ht="25.5" customHeight="1" thickTop="1">
      <c r="A243" s="20"/>
      <c r="B243" s="360" t="s">
        <v>336</v>
      </c>
      <c r="C243" s="361"/>
      <c r="D243" s="133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X243" s="221"/>
    </row>
    <row r="244" spans="1:24" s="310" customFormat="1" ht="25.5" customHeight="1">
      <c r="A244" s="20"/>
      <c r="B244" s="186" t="s">
        <v>337</v>
      </c>
      <c r="C244" s="295">
        <v>9000</v>
      </c>
      <c r="D244" s="131"/>
      <c r="E244" s="267"/>
      <c r="F244" s="267"/>
      <c r="G244" s="267"/>
      <c r="H244" s="267"/>
      <c r="I244" s="267"/>
      <c r="J244" s="267"/>
      <c r="K244" s="267"/>
      <c r="L244" s="267"/>
      <c r="M244" s="267"/>
      <c r="N244" s="267"/>
      <c r="O244" s="267"/>
      <c r="P244" s="267"/>
      <c r="Q244" s="267"/>
      <c r="R244" s="267"/>
      <c r="S244" s="267"/>
      <c r="T244" s="267"/>
      <c r="U244" s="267"/>
      <c r="V244" s="267"/>
      <c r="X244" s="221"/>
    </row>
    <row r="245" spans="1:24" s="310" customFormat="1" ht="25.5" customHeight="1" thickBot="1">
      <c r="A245" s="46"/>
      <c r="B245" s="492"/>
      <c r="C245" s="493"/>
      <c r="D245" s="255"/>
      <c r="E245" s="271">
        <f>SUM(E244)</f>
        <v>0</v>
      </c>
      <c r="F245" s="271">
        <f t="shared" ref="F245:V245" si="10">SUM(F244)</f>
        <v>0</v>
      </c>
      <c r="G245" s="271">
        <f t="shared" si="10"/>
        <v>0</v>
      </c>
      <c r="H245" s="271">
        <f t="shared" si="10"/>
        <v>0</v>
      </c>
      <c r="I245" s="271">
        <f t="shared" si="10"/>
        <v>0</v>
      </c>
      <c r="J245" s="271">
        <f t="shared" si="10"/>
        <v>0</v>
      </c>
      <c r="K245" s="271">
        <f t="shared" si="10"/>
        <v>0</v>
      </c>
      <c r="L245" s="271">
        <f t="shared" si="10"/>
        <v>0</v>
      </c>
      <c r="M245" s="271">
        <f t="shared" si="10"/>
        <v>0</v>
      </c>
      <c r="N245" s="271">
        <f t="shared" si="10"/>
        <v>0</v>
      </c>
      <c r="O245" s="271">
        <f t="shared" si="10"/>
        <v>0</v>
      </c>
      <c r="P245" s="271">
        <f t="shared" si="10"/>
        <v>0</v>
      </c>
      <c r="Q245" s="271">
        <f t="shared" si="10"/>
        <v>0</v>
      </c>
      <c r="R245" s="271">
        <f t="shared" si="10"/>
        <v>0</v>
      </c>
      <c r="S245" s="271">
        <f t="shared" si="10"/>
        <v>0</v>
      </c>
      <c r="T245" s="271"/>
      <c r="U245" s="271">
        <f t="shared" si="10"/>
        <v>0</v>
      </c>
      <c r="V245" s="271">
        <f t="shared" si="10"/>
        <v>0</v>
      </c>
      <c r="X245" s="221"/>
    </row>
    <row r="246" spans="1:24" ht="25.5" customHeight="1" thickTop="1">
      <c r="A246" s="20"/>
      <c r="B246" s="360" t="s">
        <v>338</v>
      </c>
      <c r="C246" s="361"/>
      <c r="D246" s="133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7"/>
    </row>
    <row r="247" spans="1:24" ht="25.5" customHeight="1">
      <c r="A247" s="20"/>
      <c r="B247" s="186" t="s">
        <v>339</v>
      </c>
      <c r="C247" s="295">
        <v>8000</v>
      </c>
      <c r="D247" s="131"/>
      <c r="E247" s="267"/>
      <c r="F247" s="267"/>
      <c r="G247" s="267"/>
      <c r="H247" s="267"/>
      <c r="I247" s="267"/>
      <c r="J247" s="267"/>
      <c r="K247" s="267"/>
      <c r="L247" s="267"/>
      <c r="M247" s="267"/>
      <c r="N247" s="267"/>
      <c r="O247" s="267"/>
      <c r="P247" s="267"/>
      <c r="Q247" s="267"/>
      <c r="R247" s="267"/>
      <c r="S247" s="267"/>
      <c r="T247" s="267"/>
      <c r="U247" s="267"/>
      <c r="V247" s="267"/>
    </row>
    <row r="248" spans="1:24" ht="25.5" customHeight="1">
      <c r="A248" s="20"/>
      <c r="B248" s="186" t="s">
        <v>340</v>
      </c>
      <c r="C248" s="295">
        <v>6000</v>
      </c>
      <c r="D248" s="131"/>
      <c r="E248" s="267"/>
      <c r="F248" s="267"/>
      <c r="G248" s="267"/>
      <c r="H248" s="267"/>
      <c r="I248" s="267"/>
      <c r="J248" s="267"/>
      <c r="K248" s="267"/>
      <c r="L248" s="267"/>
      <c r="M248" s="267"/>
      <c r="N248" s="267"/>
      <c r="O248" s="267"/>
      <c r="P248" s="267"/>
      <c r="Q248" s="267"/>
      <c r="R248" s="267"/>
      <c r="S248" s="267"/>
      <c r="T248" s="267"/>
      <c r="U248" s="267"/>
      <c r="V248" s="267"/>
    </row>
    <row r="249" spans="1:24" ht="25.5" customHeight="1" thickBot="1">
      <c r="A249" s="46"/>
      <c r="B249" s="492"/>
      <c r="C249" s="493"/>
      <c r="D249" s="255"/>
      <c r="E249" s="271">
        <f>SUM(E247:E248)</f>
        <v>0</v>
      </c>
      <c r="F249" s="271">
        <f t="shared" ref="F249:V249" si="11">SUM(F247:F248)</f>
        <v>0</v>
      </c>
      <c r="G249" s="271">
        <f t="shared" si="11"/>
        <v>0</v>
      </c>
      <c r="H249" s="271">
        <f t="shared" si="11"/>
        <v>0</v>
      </c>
      <c r="I249" s="271">
        <f>SUM(I247:I248)</f>
        <v>0</v>
      </c>
      <c r="J249" s="271">
        <f t="shared" si="11"/>
        <v>0</v>
      </c>
      <c r="K249" s="271">
        <f t="shared" si="11"/>
        <v>0</v>
      </c>
      <c r="L249" s="271">
        <f t="shared" si="11"/>
        <v>0</v>
      </c>
      <c r="M249" s="271">
        <f t="shared" si="11"/>
        <v>0</v>
      </c>
      <c r="N249" s="271">
        <f t="shared" si="11"/>
        <v>0</v>
      </c>
      <c r="O249" s="271">
        <f t="shared" si="11"/>
        <v>0</v>
      </c>
      <c r="P249" s="271">
        <f t="shared" si="11"/>
        <v>0</v>
      </c>
      <c r="Q249" s="271">
        <f t="shared" si="11"/>
        <v>0</v>
      </c>
      <c r="R249" s="271">
        <f t="shared" si="11"/>
        <v>0</v>
      </c>
      <c r="S249" s="271">
        <f t="shared" si="11"/>
        <v>0</v>
      </c>
      <c r="T249" s="271"/>
      <c r="U249" s="271">
        <f t="shared" si="11"/>
        <v>0</v>
      </c>
      <c r="V249" s="271">
        <f t="shared" si="11"/>
        <v>0</v>
      </c>
      <c r="W249" s="494"/>
    </row>
    <row r="250" spans="1:24" ht="25.5" customHeight="1" thickTop="1">
      <c r="A250" s="20"/>
      <c r="B250" s="360" t="s">
        <v>341</v>
      </c>
      <c r="C250" s="361"/>
      <c r="D250" s="133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</row>
    <row r="251" spans="1:24" ht="25.5" customHeight="1">
      <c r="A251" s="20"/>
      <c r="B251" s="186" t="s">
        <v>342</v>
      </c>
      <c r="C251" s="295">
        <v>45300</v>
      </c>
      <c r="D251" s="131"/>
      <c r="E251" s="267"/>
      <c r="F251" s="267"/>
      <c r="G251" s="267"/>
      <c r="H251" s="267"/>
      <c r="I251" s="267"/>
      <c r="J251" s="267"/>
      <c r="K251" s="267"/>
      <c r="L251" s="267"/>
      <c r="M251" s="267"/>
      <c r="N251" s="267">
        <v>45300</v>
      </c>
      <c r="O251" s="267"/>
      <c r="P251" s="267"/>
      <c r="Q251" s="267"/>
      <c r="R251" s="267"/>
      <c r="S251" s="267"/>
      <c r="T251" s="267"/>
      <c r="U251" s="267"/>
      <c r="V251" s="267"/>
    </row>
    <row r="252" spans="1:24" ht="25.5" customHeight="1">
      <c r="A252" s="20"/>
      <c r="B252" s="186" t="s">
        <v>343</v>
      </c>
      <c r="C252" s="295">
        <v>128000</v>
      </c>
      <c r="D252" s="131"/>
      <c r="E252" s="267"/>
      <c r="F252" s="267"/>
      <c r="G252" s="267"/>
      <c r="H252" s="267"/>
      <c r="I252" s="267"/>
      <c r="J252" s="267"/>
      <c r="K252" s="267"/>
      <c r="L252" s="267"/>
      <c r="M252" s="267"/>
      <c r="N252" s="267"/>
      <c r="O252" s="267"/>
      <c r="P252" s="267"/>
      <c r="Q252" s="267"/>
      <c r="R252" s="267"/>
      <c r="S252" s="267"/>
      <c r="T252" s="267"/>
      <c r="U252" s="267"/>
      <c r="V252" s="267"/>
    </row>
    <row r="253" spans="1:24" ht="25.5" customHeight="1">
      <c r="A253" s="20"/>
      <c r="B253" s="186" t="s">
        <v>264</v>
      </c>
      <c r="C253" s="295">
        <v>204000</v>
      </c>
      <c r="D253" s="131"/>
      <c r="E253" s="267"/>
      <c r="F253" s="267"/>
      <c r="G253" s="267"/>
      <c r="H253" s="267"/>
      <c r="I253" s="267"/>
      <c r="J253" s="267"/>
      <c r="K253" s="267"/>
      <c r="L253" s="267"/>
      <c r="M253" s="267"/>
      <c r="N253" s="267"/>
      <c r="O253" s="267"/>
      <c r="P253" s="267"/>
      <c r="Q253" s="267"/>
      <c r="R253" s="267"/>
      <c r="S253" s="267"/>
      <c r="T253" s="267"/>
      <c r="U253" s="267"/>
      <c r="V253" s="267"/>
    </row>
    <row r="254" spans="1:24" ht="25.5" customHeight="1">
      <c r="A254" s="20"/>
      <c r="B254" s="186" t="s">
        <v>381</v>
      </c>
      <c r="C254" s="295">
        <v>204000</v>
      </c>
      <c r="D254" s="131"/>
      <c r="E254" s="267"/>
      <c r="F254" s="267"/>
      <c r="G254" s="267"/>
      <c r="H254" s="267"/>
      <c r="I254" s="267"/>
      <c r="J254" s="267"/>
      <c r="K254" s="267"/>
      <c r="L254" s="267"/>
      <c r="M254" s="267"/>
      <c r="N254" s="267"/>
      <c r="O254" s="267"/>
      <c r="P254" s="267"/>
      <c r="Q254" s="267"/>
      <c r="R254" s="267"/>
      <c r="S254" s="267"/>
      <c r="T254" s="267"/>
      <c r="U254" s="267"/>
      <c r="V254" s="267"/>
    </row>
    <row r="255" spans="1:24" ht="25.5" customHeight="1">
      <c r="A255" s="20"/>
      <c r="B255" s="186" t="s">
        <v>344</v>
      </c>
      <c r="C255" s="295">
        <v>204000</v>
      </c>
      <c r="D255" s="131"/>
      <c r="E255" s="267"/>
      <c r="F255" s="267"/>
      <c r="G255" s="267"/>
      <c r="H255" s="267"/>
      <c r="I255" s="267"/>
      <c r="J255" s="267"/>
      <c r="K255" s="267"/>
      <c r="L255" s="267"/>
      <c r="M255" s="267"/>
      <c r="N255" s="267"/>
      <c r="O255" s="267"/>
      <c r="P255" s="267"/>
      <c r="Q255" s="267"/>
      <c r="R255" s="267"/>
      <c r="S255" s="267"/>
      <c r="T255" s="267"/>
      <c r="U255" s="267"/>
      <c r="V255" s="267"/>
    </row>
    <row r="256" spans="1:24" ht="25.5" customHeight="1">
      <c r="A256" s="20"/>
      <c r="B256" s="186" t="s">
        <v>345</v>
      </c>
      <c r="C256" s="295">
        <v>217000</v>
      </c>
      <c r="D256" s="131"/>
      <c r="E256" s="267"/>
      <c r="F256" s="267"/>
      <c r="G256" s="267"/>
      <c r="H256" s="267"/>
      <c r="I256" s="267"/>
      <c r="J256" s="267"/>
      <c r="K256" s="267"/>
      <c r="L256" s="267"/>
      <c r="M256" s="267"/>
      <c r="N256" s="267"/>
      <c r="O256" s="267"/>
      <c r="P256" s="267"/>
      <c r="Q256" s="267"/>
      <c r="R256" s="267"/>
      <c r="S256" s="267"/>
      <c r="T256" s="267"/>
      <c r="U256" s="267"/>
      <c r="V256" s="267"/>
    </row>
    <row r="257" spans="1:23" ht="25.5" customHeight="1">
      <c r="A257" s="20"/>
      <c r="B257" s="186" t="s">
        <v>346</v>
      </c>
      <c r="C257" s="295">
        <v>27000</v>
      </c>
      <c r="D257" s="131"/>
      <c r="E257" s="267"/>
      <c r="F257" s="267"/>
      <c r="G257" s="267"/>
      <c r="H257" s="267"/>
      <c r="I257" s="267"/>
      <c r="J257" s="267"/>
      <c r="K257" s="267"/>
      <c r="L257" s="267"/>
      <c r="M257" s="267"/>
      <c r="N257" s="267">
        <v>25000</v>
      </c>
      <c r="O257" s="267"/>
      <c r="P257" s="267"/>
      <c r="Q257" s="267"/>
      <c r="R257" s="267"/>
      <c r="S257" s="267"/>
      <c r="T257" s="267"/>
      <c r="U257" s="267"/>
      <c r="V257" s="267"/>
    </row>
    <row r="258" spans="1:23" s="221" customFormat="1" ht="25.5" customHeight="1">
      <c r="A258" s="20"/>
      <c r="B258" s="186" t="s">
        <v>347</v>
      </c>
      <c r="C258" s="295">
        <v>211000</v>
      </c>
      <c r="D258" s="131"/>
      <c r="E258" s="267"/>
      <c r="F258" s="267"/>
      <c r="G258" s="267"/>
      <c r="H258" s="267"/>
      <c r="I258" s="267"/>
      <c r="J258" s="267"/>
      <c r="K258" s="267"/>
      <c r="L258" s="267"/>
      <c r="M258" s="267"/>
      <c r="N258" s="267"/>
      <c r="O258" s="267"/>
      <c r="P258" s="267"/>
      <c r="Q258" s="267"/>
      <c r="R258" s="267"/>
      <c r="S258" s="267"/>
      <c r="T258" s="267"/>
      <c r="U258" s="267"/>
      <c r="V258" s="267"/>
      <c r="W258" s="310"/>
    </row>
    <row r="259" spans="1:23" s="221" customFormat="1" ht="25.5" customHeight="1">
      <c r="A259" s="20"/>
      <c r="B259" s="186" t="s">
        <v>348</v>
      </c>
      <c r="C259" s="295">
        <v>211000</v>
      </c>
      <c r="D259" s="131"/>
      <c r="E259" s="267"/>
      <c r="F259" s="267"/>
      <c r="G259" s="267"/>
      <c r="H259" s="267"/>
      <c r="I259" s="267"/>
      <c r="J259" s="267"/>
      <c r="K259" s="267"/>
      <c r="L259" s="267"/>
      <c r="M259" s="267"/>
      <c r="N259" s="267"/>
      <c r="O259" s="267"/>
      <c r="P259" s="267"/>
      <c r="Q259" s="267"/>
      <c r="R259" s="267"/>
      <c r="S259" s="267"/>
      <c r="T259" s="267"/>
      <c r="U259" s="267"/>
      <c r="V259" s="267"/>
      <c r="W259" s="310"/>
    </row>
    <row r="260" spans="1:23" s="221" customFormat="1" ht="25.5" customHeight="1">
      <c r="A260" s="20"/>
      <c r="B260" s="186" t="s">
        <v>349</v>
      </c>
      <c r="C260" s="296">
        <v>688700</v>
      </c>
      <c r="D260" s="131"/>
      <c r="E260" s="267"/>
      <c r="F260" s="267"/>
      <c r="G260" s="267"/>
      <c r="H260" s="267"/>
      <c r="I260" s="267"/>
      <c r="J260" s="267"/>
      <c r="K260" s="267"/>
      <c r="L260" s="267"/>
      <c r="M260" s="267"/>
      <c r="N260" s="267">
        <v>688700</v>
      </c>
      <c r="O260" s="267"/>
      <c r="P260" s="267"/>
      <c r="Q260" s="267"/>
      <c r="R260" s="267"/>
      <c r="S260" s="267"/>
      <c r="T260" s="267"/>
      <c r="U260" s="267"/>
      <c r="V260" s="267"/>
      <c r="W260" s="310"/>
    </row>
    <row r="261" spans="1:23" s="221" customFormat="1" ht="25.5" customHeight="1">
      <c r="A261" s="20"/>
      <c r="B261" s="186" t="s">
        <v>350</v>
      </c>
      <c r="C261" s="297">
        <v>62000</v>
      </c>
      <c r="D261" s="131"/>
      <c r="E261" s="267"/>
      <c r="F261" s="267"/>
      <c r="G261" s="267"/>
      <c r="H261" s="267"/>
      <c r="I261" s="267"/>
      <c r="J261" s="267"/>
      <c r="K261" s="267"/>
      <c r="L261" s="267"/>
      <c r="M261" s="267"/>
      <c r="N261" s="267">
        <v>62000</v>
      </c>
      <c r="O261" s="267"/>
      <c r="P261" s="267"/>
      <c r="Q261" s="267"/>
      <c r="R261" s="267"/>
      <c r="S261" s="267"/>
      <c r="T261" s="267"/>
      <c r="U261" s="267"/>
      <c r="V261" s="267"/>
      <c r="W261" s="310"/>
    </row>
    <row r="262" spans="1:23" s="221" customFormat="1" ht="25.5" customHeight="1" thickBot="1">
      <c r="A262" s="24"/>
      <c r="B262" s="45" t="s">
        <v>5</v>
      </c>
      <c r="C262" s="170">
        <f>SUM(C227:C261)</f>
        <v>2383100</v>
      </c>
      <c r="D262" s="255">
        <f>SUM(D251:D261)</f>
        <v>0</v>
      </c>
      <c r="E262" s="254">
        <f t="shared" ref="E262:V262" si="12">SUM(E251:E261)</f>
        <v>0</v>
      </c>
      <c r="F262" s="254">
        <f t="shared" si="12"/>
        <v>0</v>
      </c>
      <c r="G262" s="255">
        <f t="shared" si="12"/>
        <v>0</v>
      </c>
      <c r="H262" s="254">
        <f t="shared" si="12"/>
        <v>0</v>
      </c>
      <c r="I262" s="255">
        <f t="shared" si="12"/>
        <v>0</v>
      </c>
      <c r="J262" s="255">
        <f t="shared" si="12"/>
        <v>0</v>
      </c>
      <c r="K262" s="254">
        <f t="shared" si="12"/>
        <v>0</v>
      </c>
      <c r="L262" s="255">
        <f t="shared" si="12"/>
        <v>0</v>
      </c>
      <c r="M262" s="254">
        <f t="shared" si="12"/>
        <v>0</v>
      </c>
      <c r="N262" s="132">
        <f>SUM(N251:N261)</f>
        <v>821000</v>
      </c>
      <c r="O262" s="255">
        <f t="shared" si="12"/>
        <v>0</v>
      </c>
      <c r="P262" s="255">
        <f t="shared" si="12"/>
        <v>0</v>
      </c>
      <c r="Q262" s="255">
        <f t="shared" si="12"/>
        <v>0</v>
      </c>
      <c r="R262" s="255">
        <f t="shared" si="12"/>
        <v>0</v>
      </c>
      <c r="S262" s="255">
        <f t="shared" si="12"/>
        <v>0</v>
      </c>
      <c r="T262" s="255"/>
      <c r="U262" s="255">
        <f t="shared" si="12"/>
        <v>0</v>
      </c>
      <c r="V262" s="255">
        <f t="shared" si="12"/>
        <v>0</v>
      </c>
      <c r="W262" s="314">
        <f>SUM(D262:V262)</f>
        <v>821000</v>
      </c>
    </row>
    <row r="263" spans="1:23" s="221" customFormat="1" ht="25.5" customHeight="1" thickTop="1">
      <c r="A263" s="50" t="s">
        <v>149</v>
      </c>
      <c r="B263" s="4"/>
      <c r="C263" s="193"/>
      <c r="D263" s="133"/>
      <c r="E263" s="269"/>
      <c r="F263" s="136"/>
      <c r="G263" s="136"/>
      <c r="H263" s="136"/>
      <c r="I263" s="133"/>
      <c r="J263" s="133"/>
      <c r="K263" s="136"/>
      <c r="L263" s="133"/>
      <c r="M263" s="136"/>
      <c r="N263" s="133"/>
      <c r="O263" s="133"/>
      <c r="P263" s="133"/>
      <c r="Q263" s="133"/>
      <c r="R263" s="258"/>
      <c r="S263" s="259"/>
      <c r="T263" s="259"/>
      <c r="U263" s="258"/>
      <c r="V263" s="258"/>
      <c r="W263" s="310"/>
    </row>
    <row r="264" spans="1:23" s="221" customFormat="1" ht="25.5" customHeight="1">
      <c r="A264" s="9"/>
      <c r="B264" s="186"/>
      <c r="C264" s="296"/>
      <c r="D264" s="133"/>
      <c r="E264" s="269"/>
      <c r="F264" s="136"/>
      <c r="G264" s="136"/>
      <c r="H264" s="136"/>
      <c r="I264" s="133"/>
      <c r="J264" s="133"/>
      <c r="K264" s="136"/>
      <c r="L264" s="133"/>
      <c r="M264" s="136"/>
      <c r="N264" s="133"/>
      <c r="O264" s="133"/>
      <c r="P264" s="133"/>
      <c r="Q264" s="133"/>
      <c r="R264" s="258"/>
      <c r="S264" s="259"/>
      <c r="T264" s="259"/>
      <c r="U264" s="258"/>
      <c r="V264" s="258"/>
      <c r="W264" s="310"/>
    </row>
    <row r="265" spans="1:23" s="221" customFormat="1" ht="25.5" customHeight="1">
      <c r="A265" s="9"/>
      <c r="B265" s="186"/>
      <c r="C265" s="296"/>
      <c r="D265" s="133"/>
      <c r="E265" s="269"/>
      <c r="F265" s="136"/>
      <c r="G265" s="136"/>
      <c r="H265" s="136"/>
      <c r="I265" s="133"/>
      <c r="J265" s="133"/>
      <c r="K265" s="136"/>
      <c r="L265" s="133"/>
      <c r="M265" s="136"/>
      <c r="N265" s="133"/>
      <c r="O265" s="133"/>
      <c r="P265" s="133"/>
      <c r="Q265" s="133"/>
      <c r="R265" s="258"/>
      <c r="S265" s="259"/>
      <c r="T265" s="259"/>
      <c r="U265" s="258"/>
      <c r="V265" s="258"/>
      <c r="W265" s="310"/>
    </row>
    <row r="266" spans="1:23" s="221" customFormat="1" ht="25.5" customHeight="1">
      <c r="A266" s="9"/>
      <c r="B266" s="186"/>
      <c r="C266" s="296"/>
      <c r="D266" s="133"/>
      <c r="E266" s="269"/>
      <c r="F266" s="136"/>
      <c r="G266" s="136"/>
      <c r="H266" s="136"/>
      <c r="I266" s="133"/>
      <c r="J266" s="133"/>
      <c r="K266" s="136"/>
      <c r="L266" s="133"/>
      <c r="M266" s="136"/>
      <c r="N266" s="133"/>
      <c r="O266" s="133"/>
      <c r="P266" s="133"/>
      <c r="Q266" s="133"/>
      <c r="R266" s="258"/>
      <c r="S266" s="259"/>
      <c r="T266" s="259"/>
      <c r="U266" s="258"/>
      <c r="V266" s="258"/>
      <c r="W266" s="310"/>
    </row>
    <row r="267" spans="1:23" s="221" customFormat="1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5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  <c r="W267" s="310"/>
    </row>
    <row r="268" spans="1:23" s="221" customFormat="1" ht="25.5" customHeight="1">
      <c r="A268" s="9"/>
      <c r="B268" s="186"/>
      <c r="C268" s="296"/>
      <c r="D268" s="131"/>
      <c r="E268" s="267"/>
      <c r="F268" s="135"/>
      <c r="G268" s="135"/>
      <c r="H268" s="135"/>
      <c r="I268" s="131"/>
      <c r="J268" s="131"/>
      <c r="K268" s="135"/>
      <c r="L268" s="131"/>
      <c r="M268" s="135"/>
      <c r="N268" s="131"/>
      <c r="O268" s="131"/>
      <c r="P268" s="131"/>
      <c r="Q268" s="131"/>
      <c r="R268" s="217"/>
      <c r="S268" s="219"/>
      <c r="T268" s="219"/>
      <c r="U268" s="217"/>
      <c r="V268" s="217"/>
      <c r="W268" s="310"/>
    </row>
    <row r="269" spans="1:23" s="221" customFormat="1" ht="25.5" customHeight="1">
      <c r="A269" s="9"/>
      <c r="B269" s="186"/>
      <c r="C269" s="296"/>
      <c r="D269" s="131"/>
      <c r="E269" s="267"/>
      <c r="F269" s="135"/>
      <c r="G269" s="135"/>
      <c r="H269" s="135"/>
      <c r="I269" s="131"/>
      <c r="J269" s="131"/>
      <c r="K269" s="135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  <c r="W269" s="310"/>
    </row>
    <row r="270" spans="1:23" s="221" customFormat="1" ht="25.5" customHeight="1">
      <c r="A270" s="9"/>
      <c r="B270" s="186"/>
      <c r="C270" s="296"/>
      <c r="D270" s="131"/>
      <c r="E270" s="267"/>
      <c r="F270" s="135"/>
      <c r="G270" s="135"/>
      <c r="H270" s="135"/>
      <c r="I270" s="131"/>
      <c r="J270" s="131"/>
      <c r="K270" s="135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  <c r="W270" s="310"/>
    </row>
    <row r="271" spans="1:23" s="221" customFormat="1" ht="25.5" customHeight="1">
      <c r="A271" s="9"/>
      <c r="B271" s="186"/>
      <c r="C271" s="296"/>
      <c r="D271" s="131"/>
      <c r="E271" s="267"/>
      <c r="F271" s="135"/>
      <c r="G271" s="135"/>
      <c r="H271" s="135"/>
      <c r="I271" s="131"/>
      <c r="J271" s="131"/>
      <c r="K271" s="135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  <c r="W271" s="310"/>
    </row>
    <row r="272" spans="1:23" s="221" customFormat="1" ht="25.5" customHeight="1" thickBot="1">
      <c r="A272" s="15"/>
      <c r="B272" s="14" t="s">
        <v>5</v>
      </c>
      <c r="C272" s="170">
        <f>SUM(C264:C271)</f>
        <v>0</v>
      </c>
      <c r="D272" s="255">
        <f>SUM(D264:D271)</f>
        <v>0</v>
      </c>
      <c r="E272" s="254">
        <f t="shared" ref="E272:V272" si="13">SUM(E264:E271)</f>
        <v>0</v>
      </c>
      <c r="F272" s="254">
        <f t="shared" si="13"/>
        <v>0</v>
      </c>
      <c r="G272" s="255">
        <f t="shared" si="13"/>
        <v>0</v>
      </c>
      <c r="H272" s="254">
        <f t="shared" si="13"/>
        <v>0</v>
      </c>
      <c r="I272" s="255">
        <f t="shared" si="13"/>
        <v>0</v>
      </c>
      <c r="J272" s="255">
        <f t="shared" si="13"/>
        <v>0</v>
      </c>
      <c r="K272" s="254">
        <f t="shared" si="13"/>
        <v>0</v>
      </c>
      <c r="L272" s="255">
        <f t="shared" si="13"/>
        <v>0</v>
      </c>
      <c r="M272" s="254">
        <f t="shared" si="13"/>
        <v>0</v>
      </c>
      <c r="N272" s="255">
        <f t="shared" si="13"/>
        <v>0</v>
      </c>
      <c r="O272" s="255">
        <f t="shared" si="13"/>
        <v>0</v>
      </c>
      <c r="P272" s="255">
        <f t="shared" si="13"/>
        <v>0</v>
      </c>
      <c r="Q272" s="255">
        <f t="shared" si="13"/>
        <v>0</v>
      </c>
      <c r="R272" s="255">
        <f t="shared" si="13"/>
        <v>0</v>
      </c>
      <c r="S272" s="255">
        <f t="shared" si="13"/>
        <v>0</v>
      </c>
      <c r="T272" s="255"/>
      <c r="U272" s="255">
        <f t="shared" si="13"/>
        <v>0</v>
      </c>
      <c r="V272" s="255">
        <f t="shared" si="13"/>
        <v>0</v>
      </c>
      <c r="W272" s="314">
        <f>SUM(D272:V272)</f>
        <v>0</v>
      </c>
    </row>
    <row r="273" spans="1:23" s="221" customFormat="1" ht="25.5" customHeight="1" thickTop="1">
      <c r="A273" s="20" t="s">
        <v>24</v>
      </c>
      <c r="B273" s="23"/>
      <c r="C273" s="190"/>
      <c r="D273" s="133"/>
      <c r="E273" s="269"/>
      <c r="F273" s="136"/>
      <c r="G273" s="136"/>
      <c r="H273" s="136"/>
      <c r="I273" s="133"/>
      <c r="J273" s="133"/>
      <c r="K273" s="136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  <c r="W273" s="310"/>
    </row>
    <row r="274" spans="1:23" s="221" customFormat="1" ht="25.5" customHeight="1">
      <c r="A274" s="20"/>
      <c r="B274" s="130" t="s">
        <v>406</v>
      </c>
      <c r="C274" s="192">
        <v>121500</v>
      </c>
      <c r="D274" s="131"/>
      <c r="E274" s="135"/>
      <c r="F274" s="135"/>
      <c r="G274" s="131"/>
      <c r="H274" s="135"/>
      <c r="I274" s="131"/>
      <c r="J274" s="131"/>
      <c r="K274" s="135"/>
      <c r="L274" s="131"/>
      <c r="M274" s="135"/>
      <c r="N274" s="131"/>
      <c r="O274" s="131"/>
      <c r="P274" s="131"/>
      <c r="Q274" s="131"/>
      <c r="R274" s="131"/>
      <c r="S274" s="131"/>
      <c r="T274" s="131"/>
      <c r="U274" s="131"/>
      <c r="V274" s="131"/>
      <c r="W274" s="310"/>
    </row>
    <row r="275" spans="1:23" s="221" customFormat="1" ht="25.5" customHeight="1">
      <c r="A275" s="20"/>
      <c r="B275" s="130" t="s">
        <v>405</v>
      </c>
      <c r="C275" s="192">
        <v>105000</v>
      </c>
      <c r="D275" s="131"/>
      <c r="E275" s="135"/>
      <c r="F275" s="135"/>
      <c r="G275" s="131"/>
      <c r="H275" s="135"/>
      <c r="I275" s="131"/>
      <c r="J275" s="131"/>
      <c r="K275" s="135"/>
      <c r="L275" s="131"/>
      <c r="M275" s="135"/>
      <c r="N275" s="131"/>
      <c r="O275" s="131"/>
      <c r="P275" s="131"/>
      <c r="Q275" s="131"/>
      <c r="R275" s="131"/>
      <c r="S275" s="131"/>
      <c r="T275" s="131"/>
      <c r="U275" s="131"/>
      <c r="V275" s="131"/>
      <c r="W275" s="310"/>
    </row>
    <row r="276" spans="1:23" s="221" customFormat="1" ht="25.5" customHeight="1" thickBot="1">
      <c r="A276" s="15"/>
      <c r="B276" s="14" t="s">
        <v>5</v>
      </c>
      <c r="C276" s="298">
        <f>SUM(C274:C275)</f>
        <v>226500</v>
      </c>
      <c r="D276" s="255">
        <f>SUM(D274:D275)</f>
        <v>0</v>
      </c>
      <c r="E276" s="254">
        <f t="shared" ref="E276:V276" si="14">SUM(E274:E275)</f>
        <v>0</v>
      </c>
      <c r="F276" s="254">
        <f t="shared" si="14"/>
        <v>0</v>
      </c>
      <c r="G276" s="254">
        <f t="shared" si="14"/>
        <v>0</v>
      </c>
      <c r="H276" s="254">
        <f t="shared" si="14"/>
        <v>0</v>
      </c>
      <c r="I276" s="255">
        <f t="shared" si="14"/>
        <v>0</v>
      </c>
      <c r="J276" s="255">
        <f t="shared" si="14"/>
        <v>0</v>
      </c>
      <c r="K276" s="254">
        <f t="shared" si="14"/>
        <v>0</v>
      </c>
      <c r="L276" s="255">
        <f t="shared" si="14"/>
        <v>0</v>
      </c>
      <c r="M276" s="254">
        <f t="shared" si="14"/>
        <v>0</v>
      </c>
      <c r="N276" s="255">
        <f t="shared" si="14"/>
        <v>0</v>
      </c>
      <c r="O276" s="255">
        <f t="shared" si="14"/>
        <v>0</v>
      </c>
      <c r="P276" s="255">
        <f t="shared" si="14"/>
        <v>0</v>
      </c>
      <c r="Q276" s="255">
        <f t="shared" si="14"/>
        <v>0</v>
      </c>
      <c r="R276" s="255">
        <f t="shared" si="14"/>
        <v>0</v>
      </c>
      <c r="S276" s="255">
        <f t="shared" si="14"/>
        <v>0</v>
      </c>
      <c r="T276" s="255"/>
      <c r="U276" s="255">
        <f t="shared" si="14"/>
        <v>0</v>
      </c>
      <c r="V276" s="255">
        <f t="shared" si="14"/>
        <v>0</v>
      </c>
      <c r="W276" s="314">
        <f>SUM(D276:V276)</f>
        <v>0</v>
      </c>
    </row>
    <row r="277" spans="1:23" s="221" customFormat="1" ht="25.5" customHeight="1" thickTop="1">
      <c r="A277" s="20" t="s">
        <v>44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6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  <c r="W277" s="310"/>
    </row>
    <row r="278" spans="1:23" s="221" customFormat="1" ht="25.5" customHeight="1">
      <c r="A278" s="20"/>
      <c r="B278" s="185" t="s">
        <v>420</v>
      </c>
      <c r="C278" s="192">
        <v>20000</v>
      </c>
      <c r="D278" s="133"/>
      <c r="E278" s="136"/>
      <c r="F278" s="136"/>
      <c r="G278" s="133"/>
      <c r="H278" s="136"/>
      <c r="I278" s="133"/>
      <c r="J278" s="133"/>
      <c r="K278" s="136"/>
      <c r="L278" s="133"/>
      <c r="M278" s="136"/>
      <c r="N278" s="133"/>
      <c r="O278" s="133"/>
      <c r="P278" s="133"/>
      <c r="Q278" s="133"/>
      <c r="R278" s="133"/>
      <c r="S278" s="133"/>
      <c r="T278" s="133"/>
      <c r="U278" s="133"/>
      <c r="V278" s="133"/>
      <c r="W278" s="310"/>
    </row>
    <row r="279" spans="1:23" s="221" customFormat="1" ht="25.5" customHeight="1">
      <c r="A279" s="20"/>
      <c r="B279" s="185" t="s">
        <v>435</v>
      </c>
      <c r="C279" s="190">
        <v>10000</v>
      </c>
      <c r="D279" s="133"/>
      <c r="E279" s="269"/>
      <c r="F279" s="136"/>
      <c r="G279" s="136"/>
      <c r="H279" s="136"/>
      <c r="I279" s="133"/>
      <c r="J279" s="133"/>
      <c r="K279" s="136">
        <v>8200</v>
      </c>
      <c r="L279" s="133"/>
      <c r="M279" s="136"/>
      <c r="N279" s="133"/>
      <c r="O279" s="133"/>
      <c r="P279" s="133"/>
      <c r="Q279" s="133"/>
      <c r="R279" s="258"/>
      <c r="S279" s="259"/>
      <c r="T279" s="259"/>
      <c r="U279" s="258"/>
      <c r="V279" s="258"/>
      <c r="W279" s="310"/>
    </row>
    <row r="280" spans="1:23" s="221" customFormat="1" ht="25.5" customHeight="1">
      <c r="A280" s="20"/>
      <c r="B280" s="602" t="s">
        <v>443</v>
      </c>
      <c r="C280" s="190">
        <v>40400</v>
      </c>
      <c r="D280" s="603"/>
      <c r="E280" s="604"/>
      <c r="F280" s="605"/>
      <c r="G280" s="605"/>
      <c r="H280" s="605"/>
      <c r="I280" s="603"/>
      <c r="J280" s="603"/>
      <c r="K280" s="605"/>
      <c r="L280" s="603"/>
      <c r="M280" s="605"/>
      <c r="N280" s="603"/>
      <c r="O280" s="603"/>
      <c r="P280" s="603"/>
      <c r="Q280" s="603">
        <v>40400</v>
      </c>
      <c r="R280" s="606"/>
      <c r="S280" s="607"/>
      <c r="T280" s="607"/>
      <c r="U280" s="606"/>
      <c r="V280" s="606"/>
      <c r="W280" s="310"/>
    </row>
    <row r="281" spans="1:23" s="221" customFormat="1" ht="25.5" customHeight="1">
      <c r="A281" s="20"/>
      <c r="B281" s="185" t="s">
        <v>444</v>
      </c>
      <c r="C281" s="216">
        <v>10000</v>
      </c>
      <c r="D281" s="357"/>
      <c r="E281" s="299"/>
      <c r="F281" s="608"/>
      <c r="G281" s="608"/>
      <c r="H281" s="608"/>
      <c r="I281" s="357"/>
      <c r="J281" s="357"/>
      <c r="K281" s="608">
        <v>10000</v>
      </c>
      <c r="L281" s="357"/>
      <c r="M281" s="608"/>
      <c r="N281" s="357"/>
      <c r="O281" s="357"/>
      <c r="P281" s="357"/>
      <c r="Q281" s="357"/>
      <c r="R281" s="609"/>
      <c r="S281" s="610"/>
      <c r="T281" s="610"/>
      <c r="U281" s="609"/>
      <c r="V281" s="609"/>
      <c r="W281" s="310"/>
    </row>
    <row r="282" spans="1:23" s="221" customFormat="1" ht="25.5" customHeight="1">
      <c r="A282" s="20"/>
      <c r="B282" s="185"/>
      <c r="C282" s="216"/>
      <c r="D282" s="357"/>
      <c r="E282" s="299"/>
      <c r="F282" s="608"/>
      <c r="G282" s="608"/>
      <c r="H282" s="608"/>
      <c r="I282" s="357"/>
      <c r="J282" s="357"/>
      <c r="K282" s="608"/>
      <c r="L282" s="357"/>
      <c r="M282" s="608"/>
      <c r="N282" s="357"/>
      <c r="O282" s="357"/>
      <c r="P282" s="357"/>
      <c r="Q282" s="357"/>
      <c r="R282" s="609"/>
      <c r="S282" s="610"/>
      <c r="T282" s="610"/>
      <c r="U282" s="609"/>
      <c r="V282" s="609"/>
      <c r="W282" s="310"/>
    </row>
    <row r="283" spans="1:23" s="221" customFormat="1" ht="25.5" customHeight="1">
      <c r="A283" s="20"/>
      <c r="B283" s="185" t="s">
        <v>445</v>
      </c>
      <c r="C283" s="216">
        <v>10000</v>
      </c>
      <c r="D283" s="357"/>
      <c r="E283" s="299"/>
      <c r="F283" s="608"/>
      <c r="G283" s="608"/>
      <c r="H283" s="608"/>
      <c r="I283" s="357"/>
      <c r="J283" s="357"/>
      <c r="K283" s="608">
        <v>10000</v>
      </c>
      <c r="L283" s="357"/>
      <c r="M283" s="608"/>
      <c r="N283" s="357"/>
      <c r="O283" s="357"/>
      <c r="P283" s="357"/>
      <c r="Q283" s="357"/>
      <c r="R283" s="609"/>
      <c r="S283" s="610"/>
      <c r="T283" s="610"/>
      <c r="U283" s="609"/>
      <c r="V283" s="609"/>
      <c r="W283" s="310"/>
    </row>
    <row r="284" spans="1:23" s="221" customFormat="1" ht="25.5" customHeight="1">
      <c r="A284" s="20"/>
      <c r="B284" s="23" t="s">
        <v>446</v>
      </c>
      <c r="C284" s="290">
        <v>40000</v>
      </c>
      <c r="D284" s="345"/>
      <c r="E284" s="533"/>
      <c r="F284" s="346"/>
      <c r="G284" s="346"/>
      <c r="H284" s="346"/>
      <c r="I284" s="345"/>
      <c r="J284" s="345"/>
      <c r="K284" s="346">
        <v>40000</v>
      </c>
      <c r="L284" s="345"/>
      <c r="M284" s="346"/>
      <c r="N284" s="345"/>
      <c r="O284" s="345"/>
      <c r="P284" s="345"/>
      <c r="Q284" s="345"/>
      <c r="R284" s="600"/>
      <c r="S284" s="601"/>
      <c r="T284" s="601"/>
      <c r="U284" s="600"/>
      <c r="V284" s="600"/>
      <c r="W284" s="310"/>
    </row>
    <row r="285" spans="1:23" s="221" customFormat="1" ht="25.5" customHeight="1" thickBot="1">
      <c r="A285" s="15"/>
      <c r="B285" s="53" t="s">
        <v>5</v>
      </c>
      <c r="C285" s="105">
        <f>SUM(C278:C284)</f>
        <v>130400</v>
      </c>
      <c r="D285" s="255">
        <f t="shared" ref="D285:J285" si="15">SUM(D278:D279)</f>
        <v>0</v>
      </c>
      <c r="E285" s="254">
        <f t="shared" si="15"/>
        <v>0</v>
      </c>
      <c r="F285" s="254">
        <f t="shared" si="15"/>
        <v>0</v>
      </c>
      <c r="G285" s="254">
        <f t="shared" si="15"/>
        <v>0</v>
      </c>
      <c r="H285" s="254">
        <f t="shared" si="15"/>
        <v>0</v>
      </c>
      <c r="I285" s="255">
        <f t="shared" si="15"/>
        <v>0</v>
      </c>
      <c r="J285" s="255">
        <f t="shared" si="15"/>
        <v>0</v>
      </c>
      <c r="K285" s="254">
        <f>SUM(K278:K284)</f>
        <v>68200</v>
      </c>
      <c r="L285" s="255">
        <f>SUM(L278:L279)</f>
        <v>0</v>
      </c>
      <c r="M285" s="254">
        <f>SUM(M278:M279)</f>
        <v>0</v>
      </c>
      <c r="N285" s="255">
        <f>SUM(N278:N279)</f>
        <v>0</v>
      </c>
      <c r="O285" s="255">
        <f>SUM(O278:O279)</f>
        <v>0</v>
      </c>
      <c r="P285" s="255">
        <f>SUM(P278:P279)</f>
        <v>0</v>
      </c>
      <c r="Q285" s="255">
        <f>SUM(Q278:Q282)</f>
        <v>40400</v>
      </c>
      <c r="R285" s="255">
        <f>SUM(R278:R279)</f>
        <v>0</v>
      </c>
      <c r="S285" s="255">
        <f>SUM(S278:S279)</f>
        <v>0</v>
      </c>
      <c r="T285" s="255"/>
      <c r="U285" s="255">
        <f>SUM(U278:U279)</f>
        <v>0</v>
      </c>
      <c r="V285" s="255">
        <f>SUM(V278:V279)</f>
        <v>0</v>
      </c>
      <c r="W285" s="314">
        <f>SUM(D285:V285)</f>
        <v>108600</v>
      </c>
    </row>
    <row r="286" spans="1:23" s="221" customFormat="1" ht="25.5" customHeight="1" thickTop="1">
      <c r="A286" s="20" t="s">
        <v>276</v>
      </c>
      <c r="B286" s="23"/>
      <c r="C286" s="193"/>
      <c r="D286" s="133"/>
      <c r="E286" s="269"/>
      <c r="F286" s="136"/>
      <c r="G286" s="136"/>
      <c r="H286" s="136"/>
      <c r="I286" s="133"/>
      <c r="J286" s="133"/>
      <c r="K286" s="136"/>
      <c r="L286" s="133"/>
      <c r="M286" s="136"/>
      <c r="N286" s="133"/>
      <c r="O286" s="133"/>
      <c r="P286" s="133"/>
      <c r="Q286" s="133"/>
      <c r="R286" s="258"/>
      <c r="S286" s="259"/>
      <c r="T286" s="259"/>
      <c r="U286" s="258"/>
      <c r="V286" s="258"/>
      <c r="W286" s="310"/>
    </row>
    <row r="287" spans="1:23" s="221" customFormat="1" ht="25.5" customHeight="1">
      <c r="A287" s="20"/>
      <c r="B287" s="185" t="s">
        <v>226</v>
      </c>
      <c r="C287" s="192">
        <f>+'ต.ค. '!E284+'ต.ค. '!F284+'ต.ค. '!H284+'ต.ค. '!M284</f>
        <v>37500</v>
      </c>
      <c r="D287" s="133"/>
      <c r="E287" s="136"/>
      <c r="F287" s="136"/>
      <c r="G287" s="136"/>
      <c r="H287" s="136"/>
      <c r="I287" s="133"/>
      <c r="J287" s="133"/>
      <c r="K287" s="136"/>
      <c r="L287" s="133"/>
      <c r="M287" s="136"/>
      <c r="N287" s="133"/>
      <c r="O287" s="133"/>
      <c r="P287" s="133"/>
      <c r="Q287" s="133"/>
      <c r="R287" s="133"/>
      <c r="S287" s="133"/>
      <c r="T287" s="133"/>
      <c r="U287" s="133"/>
      <c r="V287" s="133"/>
      <c r="W287" s="310"/>
    </row>
    <row r="288" spans="1:23" s="221" customFormat="1" ht="25.5" customHeight="1">
      <c r="A288" s="20"/>
      <c r="B288" s="185" t="s">
        <v>233</v>
      </c>
      <c r="C288" s="299">
        <v>7500</v>
      </c>
      <c r="D288" s="133"/>
      <c r="E288" s="136"/>
      <c r="F288" s="136"/>
      <c r="G288" s="136"/>
      <c r="H288" s="136"/>
      <c r="I288" s="133"/>
      <c r="J288" s="133"/>
      <c r="K288" s="136"/>
      <c r="L288" s="133"/>
      <c r="M288" s="136"/>
      <c r="N288" s="133"/>
      <c r="O288" s="133"/>
      <c r="P288" s="133"/>
      <c r="Q288" s="133"/>
      <c r="R288" s="133"/>
      <c r="S288" s="133"/>
      <c r="T288" s="133"/>
      <c r="U288" s="133"/>
      <c r="V288" s="133"/>
      <c r="W288" s="310"/>
    </row>
    <row r="289" spans="1:24" s="221" customFormat="1" ht="25.5" customHeight="1">
      <c r="A289" s="20"/>
      <c r="B289" s="274" t="s">
        <v>378</v>
      </c>
      <c r="C289" s="299">
        <v>37500</v>
      </c>
      <c r="D289" s="133"/>
      <c r="E289" s="136"/>
      <c r="F289" s="136"/>
      <c r="G289" s="136"/>
      <c r="H289" s="136"/>
      <c r="I289" s="133"/>
      <c r="J289" s="133"/>
      <c r="K289" s="136"/>
      <c r="L289" s="133"/>
      <c r="M289" s="136"/>
      <c r="N289" s="133"/>
      <c r="O289" s="133"/>
      <c r="P289" s="133"/>
      <c r="Q289" s="133"/>
      <c r="R289" s="133"/>
      <c r="S289" s="133"/>
      <c r="T289" s="133"/>
      <c r="U289" s="133"/>
      <c r="V289" s="133"/>
      <c r="W289" s="310"/>
    </row>
    <row r="290" spans="1:24" s="221" customFormat="1" ht="25.5" customHeight="1">
      <c r="A290" s="20"/>
      <c r="B290" s="185" t="s">
        <v>379</v>
      </c>
      <c r="C290" s="299">
        <v>10000</v>
      </c>
      <c r="D290" s="133"/>
      <c r="E290" s="136"/>
      <c r="F290" s="136"/>
      <c r="G290" s="136"/>
      <c r="H290" s="136"/>
      <c r="I290" s="133"/>
      <c r="J290" s="133"/>
      <c r="K290" s="136"/>
      <c r="L290" s="133"/>
      <c r="M290" s="136"/>
      <c r="N290" s="133"/>
      <c r="O290" s="133"/>
      <c r="P290" s="133"/>
      <c r="Q290" s="133"/>
      <c r="R290" s="133"/>
      <c r="S290" s="133"/>
      <c r="T290" s="133"/>
      <c r="U290" s="133"/>
      <c r="V290" s="133"/>
      <c r="W290" s="310"/>
    </row>
    <row r="291" spans="1:24" s="221" customFormat="1" ht="25.5" customHeight="1">
      <c r="A291" s="20"/>
      <c r="B291" s="185" t="s">
        <v>382</v>
      </c>
      <c r="C291" s="299">
        <v>1950</v>
      </c>
      <c r="D291" s="133"/>
      <c r="E291" s="136"/>
      <c r="F291" s="136"/>
      <c r="G291" s="136"/>
      <c r="H291" s="136"/>
      <c r="I291" s="133"/>
      <c r="J291" s="133"/>
      <c r="K291" s="136"/>
      <c r="L291" s="133"/>
      <c r="M291" s="136"/>
      <c r="N291" s="133"/>
      <c r="O291" s="133"/>
      <c r="P291" s="133"/>
      <c r="Q291" s="133"/>
      <c r="R291" s="133"/>
      <c r="S291" s="133"/>
      <c r="T291" s="133"/>
      <c r="U291" s="133"/>
      <c r="V291" s="133"/>
      <c r="W291" s="310"/>
    </row>
    <row r="292" spans="1:24" s="221" customFormat="1" ht="25.5" customHeight="1">
      <c r="A292" s="20"/>
      <c r="B292" s="185" t="s">
        <v>380</v>
      </c>
      <c r="C292" s="299">
        <v>4550</v>
      </c>
      <c r="D292" s="133"/>
      <c r="E292" s="136"/>
      <c r="F292" s="136"/>
      <c r="G292" s="136"/>
      <c r="H292" s="136"/>
      <c r="I292" s="133"/>
      <c r="J292" s="133"/>
      <c r="K292" s="136"/>
      <c r="L292" s="133"/>
      <c r="M292" s="136"/>
      <c r="N292" s="133"/>
      <c r="O292" s="133"/>
      <c r="P292" s="133"/>
      <c r="Q292" s="133"/>
      <c r="R292" s="133"/>
      <c r="S292" s="133"/>
      <c r="T292" s="133"/>
      <c r="U292" s="133"/>
      <c r="V292" s="133"/>
      <c r="W292" s="310"/>
    </row>
    <row r="293" spans="1:24" s="221" customFormat="1" ht="25.5" customHeight="1">
      <c r="A293" s="20"/>
      <c r="B293" s="185" t="s">
        <v>386</v>
      </c>
      <c r="C293" s="192">
        <v>409940.96</v>
      </c>
      <c r="D293" s="133"/>
      <c r="E293" s="136"/>
      <c r="F293" s="136"/>
      <c r="G293" s="136"/>
      <c r="H293" s="136"/>
      <c r="I293" s="133"/>
      <c r="J293" s="133"/>
      <c r="K293" s="136"/>
      <c r="L293" s="133"/>
      <c r="M293" s="136"/>
      <c r="N293" s="133"/>
      <c r="O293" s="133"/>
      <c r="P293" s="133"/>
      <c r="Q293" s="133"/>
      <c r="R293" s="133"/>
      <c r="S293" s="133"/>
      <c r="T293" s="133"/>
      <c r="U293" s="133"/>
      <c r="V293" s="133"/>
      <c r="W293" s="310"/>
    </row>
    <row r="294" spans="1:24" s="221" customFormat="1" ht="25.5" customHeight="1">
      <c r="A294" s="20"/>
      <c r="B294" s="185" t="s">
        <v>387</v>
      </c>
      <c r="C294" s="192">
        <v>40000</v>
      </c>
      <c r="D294" s="133"/>
      <c r="E294" s="136"/>
      <c r="F294" s="136"/>
      <c r="G294" s="136"/>
      <c r="H294" s="136"/>
      <c r="I294" s="133"/>
      <c r="J294" s="133"/>
      <c r="K294" s="136"/>
      <c r="L294" s="133"/>
      <c r="M294" s="136"/>
      <c r="N294" s="133"/>
      <c r="O294" s="133"/>
      <c r="P294" s="133"/>
      <c r="Q294" s="133"/>
      <c r="R294" s="133"/>
      <c r="S294" s="133"/>
      <c r="T294" s="133"/>
      <c r="U294" s="133"/>
      <c r="V294" s="133"/>
      <c r="W294" s="310"/>
    </row>
    <row r="295" spans="1:24" ht="25.5" customHeight="1">
      <c r="A295" s="20"/>
      <c r="B295" s="347" t="s">
        <v>409</v>
      </c>
      <c r="C295" s="192">
        <v>175000</v>
      </c>
      <c r="D295" s="131"/>
      <c r="E295" s="135"/>
      <c r="F295" s="135"/>
      <c r="G295" s="135"/>
      <c r="H295" s="135"/>
      <c r="I295" s="131"/>
      <c r="J295" s="131"/>
      <c r="K295" s="135"/>
      <c r="L295" s="131"/>
      <c r="M295" s="135"/>
      <c r="N295" s="131"/>
      <c r="O295" s="131"/>
      <c r="P295" s="131"/>
      <c r="Q295" s="131"/>
      <c r="R295" s="131"/>
      <c r="S295" s="131"/>
      <c r="T295" s="131"/>
      <c r="U295" s="131"/>
      <c r="V295" s="131"/>
    </row>
    <row r="296" spans="1:24" ht="25.5" customHeight="1">
      <c r="A296" s="20"/>
      <c r="B296" s="348"/>
      <c r="C296" s="350"/>
      <c r="D296" s="345"/>
      <c r="E296" s="346"/>
      <c r="F296" s="346"/>
      <c r="G296" s="346"/>
      <c r="H296" s="346"/>
      <c r="I296" s="345"/>
      <c r="J296" s="345"/>
      <c r="K296" s="346"/>
      <c r="L296" s="345"/>
      <c r="M296" s="346"/>
      <c r="N296" s="345"/>
      <c r="O296" s="345"/>
      <c r="P296" s="345"/>
      <c r="Q296" s="345"/>
      <c r="R296" s="345"/>
      <c r="S296" s="345"/>
      <c r="T296" s="345"/>
      <c r="U296" s="345"/>
      <c r="V296" s="345"/>
    </row>
    <row r="297" spans="1:24" ht="25.5" customHeight="1" thickBot="1">
      <c r="A297" s="15"/>
      <c r="B297" s="53" t="s">
        <v>5</v>
      </c>
      <c r="C297" s="105">
        <f>SUM(C287:C296)</f>
        <v>723940.96</v>
      </c>
      <c r="D297" s="132">
        <f>SUM(D287:D296)</f>
        <v>0</v>
      </c>
      <c r="E297" s="137">
        <f t="shared" ref="E297:V297" si="16">SUM(E287:E296)</f>
        <v>0</v>
      </c>
      <c r="F297" s="137">
        <f t="shared" si="16"/>
        <v>0</v>
      </c>
      <c r="G297" s="132">
        <f t="shared" si="16"/>
        <v>0</v>
      </c>
      <c r="H297" s="137">
        <f t="shared" si="16"/>
        <v>0</v>
      </c>
      <c r="I297" s="132">
        <f t="shared" si="16"/>
        <v>0</v>
      </c>
      <c r="J297" s="132">
        <f t="shared" si="16"/>
        <v>0</v>
      </c>
      <c r="K297" s="137">
        <f t="shared" si="16"/>
        <v>0</v>
      </c>
      <c r="L297" s="132">
        <f t="shared" si="16"/>
        <v>0</v>
      </c>
      <c r="M297" s="137">
        <f t="shared" si="16"/>
        <v>0</v>
      </c>
      <c r="N297" s="132">
        <f t="shared" si="16"/>
        <v>0</v>
      </c>
      <c r="O297" s="132">
        <f t="shared" si="16"/>
        <v>0</v>
      </c>
      <c r="P297" s="132">
        <f t="shared" si="16"/>
        <v>0</v>
      </c>
      <c r="Q297" s="132">
        <f t="shared" si="16"/>
        <v>0</v>
      </c>
      <c r="R297" s="132">
        <f t="shared" si="16"/>
        <v>0</v>
      </c>
      <c r="S297" s="132">
        <f t="shared" si="16"/>
        <v>0</v>
      </c>
      <c r="T297" s="132"/>
      <c r="U297" s="132">
        <f t="shared" si="16"/>
        <v>0</v>
      </c>
      <c r="V297" s="132">
        <f t="shared" si="16"/>
        <v>0</v>
      </c>
      <c r="W297" s="318">
        <f>SUM(D297:V297)</f>
        <v>0</v>
      </c>
    </row>
    <row r="298" spans="1:24" ht="25.5" customHeight="1" thickTop="1" thickBot="1">
      <c r="A298" s="16"/>
      <c r="B298" s="52" t="s">
        <v>49</v>
      </c>
      <c r="C298" s="229">
        <f>+C272+C262+C221+C210+C204++C49+C39+C21+C176+C28+C224</f>
        <v>39308280</v>
      </c>
      <c r="D298" s="229">
        <f t="shared" ref="D298:V298" si="17">+D272+D262+D221+D210+D204++D49+D39+D21+D176+D28+D224</f>
        <v>754244</v>
      </c>
      <c r="E298" s="229">
        <f>+E272+E262+E221+E210+E204++E49+E39+E21+E176+E28+E224+E242</f>
        <v>1119488.57</v>
      </c>
      <c r="F298" s="229">
        <f t="shared" si="17"/>
        <v>204277.6</v>
      </c>
      <c r="G298" s="229">
        <f t="shared" si="17"/>
        <v>305246</v>
      </c>
      <c r="H298" s="229">
        <f>+H272+H262+H221+H210+H204++H49+H39+H21+H176+H28+H224+H235</f>
        <v>569145.71</v>
      </c>
      <c r="I298" s="229">
        <f t="shared" si="17"/>
        <v>762272.32</v>
      </c>
      <c r="J298" s="229">
        <f t="shared" si="17"/>
        <v>39998</v>
      </c>
      <c r="K298" s="229">
        <f>+K272+K262+K221+K210+K204++K49+K39+K21+K176+K28+K224</f>
        <v>160821.32</v>
      </c>
      <c r="L298" s="229">
        <f t="shared" si="17"/>
        <v>0</v>
      </c>
      <c r="M298" s="229">
        <f t="shared" si="17"/>
        <v>230545.5</v>
      </c>
      <c r="N298" s="229">
        <f t="shared" si="17"/>
        <v>821000</v>
      </c>
      <c r="O298" s="229">
        <f t="shared" si="17"/>
        <v>0</v>
      </c>
      <c r="P298" s="229">
        <f t="shared" si="17"/>
        <v>0</v>
      </c>
      <c r="Q298" s="229">
        <f t="shared" si="17"/>
        <v>0</v>
      </c>
      <c r="R298" s="229">
        <f t="shared" si="17"/>
        <v>0</v>
      </c>
      <c r="S298" s="229">
        <f t="shared" si="17"/>
        <v>0</v>
      </c>
      <c r="T298" s="229"/>
      <c r="U298" s="229">
        <f t="shared" si="17"/>
        <v>0</v>
      </c>
      <c r="V298" s="51">
        <f t="shared" si="17"/>
        <v>11360</v>
      </c>
      <c r="W298" s="353">
        <f>SUM(D298:V298)</f>
        <v>4978399.0199999996</v>
      </c>
      <c r="X298" s="522"/>
    </row>
    <row r="299" spans="1:24" ht="25.5" customHeight="1" thickTop="1" thickBot="1">
      <c r="A299" s="16"/>
      <c r="B299" s="41" t="s">
        <v>25</v>
      </c>
      <c r="C299" s="260">
        <f>+C297+C285+C276+C272+C262+C224+C221+C210+C176+C49+C28+C21+C39++C204</f>
        <v>40389120.960000001</v>
      </c>
      <c r="D299" s="260">
        <f>+D297+D285+D276+D272+D262+D224+D221+D210+D176+D49+D28+D21+D39++D204</f>
        <v>754244</v>
      </c>
      <c r="E299" s="260">
        <f>+E297+E285+E276+E272+E262+E224+E221+E210+E176+E49+E28+E21+E39++E204+E242</f>
        <v>1119488.5699999998</v>
      </c>
      <c r="F299" s="260">
        <f t="shared" ref="F299:V299" si="18">+F297+F285+F276+F272+F262+F224+F221+F210+F176+F49+F28+F21+F39++F204</f>
        <v>204277.6</v>
      </c>
      <c r="G299" s="260">
        <f t="shared" si="18"/>
        <v>305246</v>
      </c>
      <c r="H299" s="260">
        <f>+H297+H285+H276+H272+H262+H224+H221+H210+H176+H49+H28+H21+H39++H204+H235</f>
        <v>569145.71</v>
      </c>
      <c r="I299" s="260">
        <f t="shared" si="18"/>
        <v>762272.32</v>
      </c>
      <c r="J299" s="260">
        <f t="shared" si="18"/>
        <v>39998</v>
      </c>
      <c r="K299" s="260">
        <f>+K297+K285+K276+K272+K262+K224+K221+K210+K176+K49+K28+K21+K39++K204</f>
        <v>229021.32</v>
      </c>
      <c r="L299" s="260">
        <f t="shared" si="18"/>
        <v>0</v>
      </c>
      <c r="M299" s="260">
        <f t="shared" si="18"/>
        <v>230545.5</v>
      </c>
      <c r="N299" s="260">
        <f t="shared" si="18"/>
        <v>821000</v>
      </c>
      <c r="O299" s="260">
        <f t="shared" si="18"/>
        <v>0</v>
      </c>
      <c r="P299" s="260">
        <f t="shared" si="18"/>
        <v>0</v>
      </c>
      <c r="Q299" s="260">
        <f t="shared" si="18"/>
        <v>40400</v>
      </c>
      <c r="R299" s="260">
        <f t="shared" si="18"/>
        <v>0</v>
      </c>
      <c r="S299" s="260">
        <f t="shared" si="18"/>
        <v>0</v>
      </c>
      <c r="T299" s="260"/>
      <c r="U299" s="260">
        <f t="shared" si="18"/>
        <v>0</v>
      </c>
      <c r="V299" s="309">
        <f t="shared" si="18"/>
        <v>11360</v>
      </c>
      <c r="W299" s="495">
        <f>SUM(D299:V299)</f>
        <v>5086999.0199999996</v>
      </c>
      <c r="X299" s="522"/>
    </row>
    <row r="300" spans="1:24" ht="25.5" customHeight="1" thickTop="1">
      <c r="B300" s="246" t="s">
        <v>273</v>
      </c>
      <c r="C300" s="182"/>
      <c r="D300" s="300"/>
      <c r="E300" s="301"/>
      <c r="F300" s="302"/>
      <c r="G300" s="302"/>
      <c r="H300" s="302"/>
      <c r="I300" s="300"/>
      <c r="J300" s="300"/>
      <c r="K300" s="302"/>
      <c r="L300" s="300"/>
      <c r="M300" s="302"/>
      <c r="N300" s="300"/>
      <c r="O300" s="300"/>
      <c r="P300" s="300"/>
      <c r="Q300" s="300"/>
      <c r="R300" s="303"/>
      <c r="S300" s="304"/>
      <c r="T300" s="304"/>
      <c r="U300" s="303"/>
      <c r="V300" s="303"/>
      <c r="W300" s="529"/>
      <c r="X300" s="522"/>
    </row>
    <row r="301" spans="1:24" ht="25.5" customHeight="1">
      <c r="C301" s="182"/>
      <c r="D301" s="521"/>
      <c r="E301" s="527"/>
      <c r="F301" s="520"/>
      <c r="G301" s="520"/>
      <c r="H301" s="520"/>
      <c r="I301" s="521"/>
      <c r="J301" s="521"/>
      <c r="K301" s="520"/>
      <c r="L301" s="521"/>
      <c r="M301" s="520"/>
      <c r="N301" s="521"/>
      <c r="O301" s="521"/>
      <c r="P301" s="521"/>
      <c r="Q301" s="521"/>
      <c r="R301" s="522"/>
      <c r="S301" s="523"/>
      <c r="T301" s="523"/>
      <c r="U301" s="522"/>
      <c r="V301" s="522"/>
      <c r="W301" s="530"/>
      <c r="X301" s="522"/>
    </row>
    <row r="302" spans="1:24" ht="25.5" customHeight="1">
      <c r="C302" s="182"/>
      <c r="D302" s="521"/>
      <c r="E302" s="527"/>
      <c r="F302" s="520"/>
      <c r="G302" s="520"/>
      <c r="H302" s="520"/>
      <c r="I302" s="521"/>
      <c r="J302" s="521"/>
      <c r="K302" s="520"/>
      <c r="L302" s="521"/>
      <c r="M302" s="520"/>
      <c r="N302" s="521"/>
      <c r="O302" s="521"/>
      <c r="P302" s="521"/>
      <c r="Q302" s="521"/>
      <c r="R302" s="522"/>
      <c r="S302" s="523"/>
      <c r="T302" s="523"/>
      <c r="U302" s="522"/>
      <c r="V302" s="522"/>
      <c r="W302" s="531"/>
    </row>
    <row r="303" spans="1:24" ht="25.5" customHeight="1">
      <c r="B303" s="253">
        <f>39148280-C298</f>
        <v>-160000</v>
      </c>
      <c r="C303" s="182"/>
      <c r="W303" s="322"/>
    </row>
    <row r="304" spans="1:24" ht="25.5" customHeight="1">
      <c r="C304" s="182"/>
      <c r="W304" s="328"/>
    </row>
    <row r="305" spans="1:24" ht="25.5" customHeight="1">
      <c r="C305" s="182"/>
      <c r="W305" s="321"/>
    </row>
    <row r="306" spans="1:24" ht="25.5" customHeight="1">
      <c r="W306" s="321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265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 s="221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265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 s="221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265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 s="221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265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 s="2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265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 s="221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265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 s="221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265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 s="221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265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 s="221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265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 s="221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265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 s="221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265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 s="221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265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 s="221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265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 s="221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265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 s="22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265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 s="221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265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 s="221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265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 s="221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265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 s="221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265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 s="221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265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 s="221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265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 s="221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265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 s="221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265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 s="221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265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 s="22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265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 s="221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265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 s="221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265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 s="221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265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 s="221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265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 s="221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265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 s="221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265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 s="221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265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 s="221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265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 s="221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265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 s="22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265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 s="221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265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 s="221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265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 s="221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265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 s="221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265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 s="221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265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 s="221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265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 s="221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265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 s="221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265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 s="221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265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 s="22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265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 s="221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265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 s="221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265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 s="221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265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 s="221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265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 s="221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265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 s="221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265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 s="221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265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 s="221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265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 s="221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265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 s="22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265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 s="221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265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 s="221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265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 s="221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265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 s="221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265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 s="221"/>
    </row>
    <row r="377" spans="1:24" s="310" customFormat="1" ht="25.5" customHeight="1">
      <c r="A377"/>
      <c r="B377"/>
      <c r="C377" s="282"/>
      <c r="D377" s="181"/>
      <c r="E377" s="272"/>
      <c r="F377" s="265"/>
      <c r="G377" s="265"/>
      <c r="H377" s="265"/>
      <c r="I377" s="181"/>
      <c r="J377" s="181"/>
      <c r="K377" s="265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  <c r="X377" s="221"/>
    </row>
    <row r="378" spans="1:24" s="310" customFormat="1" ht="25.5" customHeight="1">
      <c r="A378"/>
      <c r="B378"/>
      <c r="C378" s="282"/>
      <c r="D378" s="181"/>
      <c r="E378" s="272"/>
      <c r="F378" s="265"/>
      <c r="G378" s="265"/>
      <c r="H378" s="265"/>
      <c r="I378" s="181"/>
      <c r="J378" s="181"/>
      <c r="K378" s="265"/>
      <c r="L378" s="181"/>
      <c r="M378" s="265"/>
      <c r="N378" s="181"/>
      <c r="O378" s="181"/>
      <c r="P378" s="181"/>
      <c r="Q378" s="181"/>
      <c r="R378" s="221"/>
      <c r="S378" s="234"/>
      <c r="T378" s="234"/>
      <c r="U378" s="221"/>
      <c r="V378" s="221"/>
      <c r="X378" s="221"/>
    </row>
    <row r="379" spans="1:24" s="310" customFormat="1" ht="25.5" customHeight="1">
      <c r="A379"/>
      <c r="B379"/>
      <c r="C379" s="282"/>
      <c r="D379" s="181"/>
      <c r="E379" s="272"/>
      <c r="F379" s="265"/>
      <c r="G379" s="265"/>
      <c r="H379" s="265"/>
      <c r="I379" s="181"/>
      <c r="J379" s="181"/>
      <c r="K379" s="265"/>
      <c r="L379" s="181"/>
      <c r="M379" s="265"/>
      <c r="N379" s="181"/>
      <c r="O379" s="181"/>
      <c r="P379" s="181"/>
      <c r="Q379" s="181"/>
      <c r="R379" s="221"/>
      <c r="S379" s="234"/>
      <c r="T379" s="234"/>
      <c r="U379" s="221"/>
      <c r="V379" s="221"/>
      <c r="X379" s="221"/>
    </row>
    <row r="380" spans="1:24" s="310" customFormat="1" ht="25.5" customHeight="1">
      <c r="A380"/>
      <c r="B380"/>
      <c r="C380" s="282"/>
      <c r="D380" s="181"/>
      <c r="E380" s="272"/>
      <c r="F380" s="265"/>
      <c r="G380" s="265"/>
      <c r="H380" s="265"/>
      <c r="I380" s="181"/>
      <c r="J380" s="181"/>
      <c r="K380" s="265"/>
      <c r="L380" s="181"/>
      <c r="M380" s="265"/>
      <c r="N380" s="181"/>
      <c r="O380" s="181"/>
      <c r="P380" s="181"/>
      <c r="Q380" s="181"/>
      <c r="R380" s="221"/>
      <c r="S380" s="234"/>
      <c r="T380" s="234"/>
      <c r="U380" s="221"/>
      <c r="V380" s="221"/>
      <c r="X380" s="221"/>
    </row>
    <row r="381" spans="1:24" s="310" customFormat="1" ht="25.5" customHeight="1">
      <c r="A381"/>
      <c r="B381"/>
      <c r="C381" s="282"/>
      <c r="D381" s="181"/>
      <c r="E381" s="272"/>
      <c r="F381" s="265"/>
      <c r="G381" s="265"/>
      <c r="H381" s="265"/>
      <c r="I381" s="181"/>
      <c r="J381" s="181"/>
      <c r="K381" s="265"/>
      <c r="L381" s="181"/>
      <c r="M381" s="265"/>
      <c r="N381" s="181"/>
      <c r="O381" s="181"/>
      <c r="P381" s="181"/>
      <c r="Q381" s="181"/>
      <c r="R381" s="221"/>
      <c r="S381" s="234"/>
      <c r="T381" s="234"/>
      <c r="U381" s="221"/>
      <c r="V381" s="221"/>
      <c r="X381" s="221"/>
    </row>
    <row r="382" spans="1:24" s="310" customFormat="1" ht="25.5" customHeight="1">
      <c r="A382"/>
      <c r="B382"/>
      <c r="C382" s="282"/>
      <c r="D382" s="181"/>
      <c r="E382" s="272"/>
      <c r="F382" s="265"/>
      <c r="G382" s="265"/>
      <c r="H382" s="265"/>
      <c r="I382" s="181"/>
      <c r="J382" s="181"/>
      <c r="K382" s="265"/>
      <c r="L382" s="181"/>
      <c r="M382" s="265"/>
      <c r="N382" s="181"/>
      <c r="O382" s="181"/>
      <c r="P382" s="181"/>
      <c r="Q382" s="181"/>
      <c r="R382" s="221"/>
      <c r="S382" s="234"/>
      <c r="T382" s="234"/>
      <c r="U382" s="221"/>
      <c r="V382" s="221"/>
      <c r="X382" s="221"/>
    </row>
    <row r="383" spans="1:24" s="310" customFormat="1" ht="25.5" customHeight="1">
      <c r="A383"/>
      <c r="B383"/>
      <c r="C383" s="282"/>
      <c r="D383" s="181"/>
      <c r="E383" s="272"/>
      <c r="F383" s="265"/>
      <c r="G383" s="265"/>
      <c r="H383" s="265"/>
      <c r="I383" s="181"/>
      <c r="J383" s="181"/>
      <c r="K383" s="265"/>
      <c r="L383" s="181"/>
      <c r="M383" s="265"/>
      <c r="N383" s="181"/>
      <c r="O383" s="181"/>
      <c r="P383" s="181"/>
      <c r="Q383" s="181"/>
      <c r="R383" s="221"/>
      <c r="S383" s="234"/>
      <c r="T383" s="234"/>
      <c r="U383" s="221"/>
      <c r="V383" s="221"/>
      <c r="X383" s="221"/>
    </row>
    <row r="384" spans="1:24" s="310" customFormat="1" ht="25.5" customHeight="1">
      <c r="A384"/>
      <c r="B384"/>
      <c r="C384" s="282"/>
      <c r="D384" s="181"/>
      <c r="E384" s="272"/>
      <c r="F384" s="265"/>
      <c r="G384" s="265"/>
      <c r="H384" s="265"/>
      <c r="I384" s="181"/>
      <c r="J384" s="181"/>
      <c r="K384" s="265"/>
      <c r="L384" s="181"/>
      <c r="M384" s="265"/>
      <c r="N384" s="181"/>
      <c r="O384" s="181"/>
      <c r="P384" s="181"/>
      <c r="Q384" s="181"/>
      <c r="R384" s="221"/>
      <c r="S384" s="234"/>
      <c r="T384" s="234"/>
      <c r="U384" s="221"/>
      <c r="V384" s="221"/>
      <c r="X384" s="221"/>
    </row>
    <row r="385" spans="1:24" s="310" customFormat="1" ht="25.5" customHeight="1">
      <c r="A385"/>
      <c r="B385"/>
      <c r="C385" s="282"/>
      <c r="D385" s="181"/>
      <c r="E385" s="272"/>
      <c r="F385" s="265"/>
      <c r="G385" s="265"/>
      <c r="H385" s="265"/>
      <c r="I385" s="181"/>
      <c r="J385" s="181"/>
      <c r="K385" s="265"/>
      <c r="L385" s="181"/>
      <c r="M385" s="265"/>
      <c r="N385" s="181"/>
      <c r="O385" s="181"/>
      <c r="P385" s="181"/>
      <c r="Q385" s="181"/>
      <c r="R385" s="221"/>
      <c r="S385" s="234"/>
      <c r="T385" s="234"/>
      <c r="U385" s="221"/>
      <c r="V385" s="221"/>
      <c r="X385" s="221"/>
    </row>
    <row r="386" spans="1:24" s="310" customFormat="1" ht="25.5" customHeight="1">
      <c r="A386"/>
      <c r="B386"/>
      <c r="C386" s="282"/>
      <c r="D386" s="181"/>
      <c r="E386" s="272"/>
      <c r="F386" s="265"/>
      <c r="G386" s="265"/>
      <c r="H386" s="265"/>
      <c r="I386" s="181"/>
      <c r="J386" s="181"/>
      <c r="K386" s="265"/>
      <c r="L386" s="181"/>
      <c r="M386" s="265"/>
      <c r="N386" s="181"/>
      <c r="O386" s="181"/>
      <c r="P386" s="181"/>
      <c r="Q386" s="181"/>
      <c r="R386" s="221"/>
      <c r="S386" s="234"/>
      <c r="T386" s="234"/>
      <c r="U386" s="221"/>
      <c r="V386" s="221"/>
      <c r="X386" s="221"/>
    </row>
  </sheetData>
  <mergeCells count="33"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T6"/>
    <mergeCell ref="U5:U6"/>
    <mergeCell ref="V5:V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V7:V8"/>
    <mergeCell ref="P7:P8"/>
    <mergeCell ref="Q7:Q8"/>
    <mergeCell ref="R7:R8"/>
    <mergeCell ref="S7:S8"/>
    <mergeCell ref="T7:T8"/>
    <mergeCell ref="U7:U8"/>
  </mergeCells>
  <pageMargins left="0.32" right="0.17" top="0.19685039370078741" bottom="0.17" header="0.19685039370078741" footer="0.15748031496062992"/>
  <pageSetup paperSize="9" scale="8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Z386"/>
  <sheetViews>
    <sheetView workbookViewId="0">
      <pane ySplit="8" topLeftCell="A171" activePane="bottomLeft" state="frozen"/>
      <selection activeCell="J212" sqref="J212"/>
      <selection pane="bottomLeft" activeCell="B175" sqref="B175"/>
    </sheetView>
  </sheetViews>
  <sheetFormatPr defaultRowHeight="25.5" customHeight="1"/>
  <cols>
    <col min="1" max="1" width="1.140625" customWidth="1"/>
    <col min="2" max="2" width="36.140625" customWidth="1"/>
    <col min="3" max="3" width="11.28515625" style="282" customWidth="1"/>
    <col min="4" max="4" width="9.85546875" style="181" customWidth="1"/>
    <col min="5" max="5" width="11" style="272" customWidth="1"/>
    <col min="6" max="6" width="9.85546875" style="265" customWidth="1"/>
    <col min="7" max="8" width="11" style="265" customWidth="1"/>
    <col min="9" max="9" width="10" style="181" customWidth="1"/>
    <col min="10" max="10" width="9.42578125" style="181" customWidth="1"/>
    <col min="11" max="11" width="10" style="265" customWidth="1"/>
    <col min="12" max="12" width="1.7109375" style="181" customWidth="1"/>
    <col min="13" max="13" width="10" style="265" customWidth="1"/>
    <col min="14" max="14" width="9.7109375" style="181" customWidth="1"/>
    <col min="15" max="16" width="1.7109375" style="181" customWidth="1"/>
    <col min="17" max="17" width="9.7109375" style="181" customWidth="1"/>
    <col min="18" max="18" width="8.140625" style="221" customWidth="1"/>
    <col min="19" max="20" width="8.140625" style="234" customWidth="1"/>
    <col min="21" max="22" width="8.140625" style="221" customWidth="1"/>
    <col min="23" max="23" width="26" style="310" customWidth="1"/>
    <col min="24" max="24" width="9.140625" style="221"/>
    <col min="26" max="26" width="11.28515625" bestFit="1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447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521"/>
      <c r="E4" s="527"/>
      <c r="F4" s="520"/>
      <c r="G4" s="520"/>
      <c r="H4" s="520"/>
      <c r="I4" s="521"/>
      <c r="J4" s="521"/>
      <c r="K4" s="520"/>
      <c r="L4" s="521"/>
      <c r="M4" s="520"/>
      <c r="N4" s="521"/>
      <c r="O4" s="521"/>
      <c r="P4" s="521"/>
      <c r="Q4" s="521"/>
      <c r="R4" s="522"/>
      <c r="S4" s="523"/>
      <c r="T4" s="523"/>
      <c r="U4" s="522"/>
      <c r="V4" s="522"/>
      <c r="W4" s="311"/>
      <c r="X4" s="522"/>
    </row>
    <row r="5" spans="1:24" s="2" customFormat="1" ht="25.5" customHeight="1">
      <c r="A5" s="654" t="s">
        <v>1</v>
      </c>
      <c r="B5" s="655"/>
      <c r="C5" s="276"/>
      <c r="D5" s="667" t="s">
        <v>26</v>
      </c>
      <c r="E5" s="667" t="s">
        <v>27</v>
      </c>
      <c r="F5" s="667"/>
      <c r="G5" s="668" t="s">
        <v>425</v>
      </c>
      <c r="H5" s="669" t="s">
        <v>29</v>
      </c>
      <c r="I5" s="670"/>
      <c r="J5" s="671"/>
      <c r="K5" s="668" t="s">
        <v>30</v>
      </c>
      <c r="L5" s="675" t="s">
        <v>216</v>
      </c>
      <c r="M5" s="669" t="s">
        <v>31</v>
      </c>
      <c r="N5" s="670"/>
      <c r="O5" s="670"/>
      <c r="P5" s="671"/>
      <c r="Q5" s="675" t="s">
        <v>32</v>
      </c>
      <c r="R5" s="669" t="s">
        <v>62</v>
      </c>
      <c r="S5" s="670"/>
      <c r="T5" s="671"/>
      <c r="U5" s="675" t="s">
        <v>63</v>
      </c>
      <c r="V5" s="675" t="s">
        <v>64</v>
      </c>
      <c r="W5" s="312"/>
      <c r="X5" s="525"/>
    </row>
    <row r="6" spans="1:24" s="2" customFormat="1" ht="33.75" customHeight="1">
      <c r="A6" s="656"/>
      <c r="B6" s="657"/>
      <c r="C6" s="277"/>
      <c r="D6" s="667"/>
      <c r="E6" s="667"/>
      <c r="F6" s="667"/>
      <c r="G6" s="668"/>
      <c r="H6" s="672"/>
      <c r="I6" s="673"/>
      <c r="J6" s="674"/>
      <c r="K6" s="668"/>
      <c r="L6" s="676"/>
      <c r="M6" s="672"/>
      <c r="N6" s="673"/>
      <c r="O6" s="673"/>
      <c r="P6" s="674"/>
      <c r="Q6" s="676"/>
      <c r="R6" s="672"/>
      <c r="S6" s="673"/>
      <c r="T6" s="674"/>
      <c r="U6" s="676"/>
      <c r="V6" s="676"/>
      <c r="W6" s="312"/>
      <c r="X6" s="525"/>
    </row>
    <row r="7" spans="1:24" s="2" customFormat="1" ht="25.5" customHeight="1">
      <c r="A7" s="656"/>
      <c r="B7" s="657"/>
      <c r="C7" s="277"/>
      <c r="D7" s="667" t="s">
        <v>33</v>
      </c>
      <c r="E7" s="677" t="s">
        <v>34</v>
      </c>
      <c r="F7" s="668" t="s">
        <v>35</v>
      </c>
      <c r="G7" s="668" t="s">
        <v>36</v>
      </c>
      <c r="H7" s="668" t="s">
        <v>37</v>
      </c>
      <c r="I7" s="675" t="s">
        <v>38</v>
      </c>
      <c r="J7" s="675" t="s">
        <v>39</v>
      </c>
      <c r="K7" s="668" t="s">
        <v>40</v>
      </c>
      <c r="L7" s="524" t="s">
        <v>217</v>
      </c>
      <c r="M7" s="679" t="s">
        <v>37</v>
      </c>
      <c r="N7" s="667" t="s">
        <v>41</v>
      </c>
      <c r="O7" s="675" t="s">
        <v>219</v>
      </c>
      <c r="P7" s="675" t="s">
        <v>42</v>
      </c>
      <c r="Q7" s="675" t="s">
        <v>43</v>
      </c>
      <c r="R7" s="667" t="s">
        <v>410</v>
      </c>
      <c r="S7" s="668" t="s">
        <v>66</v>
      </c>
      <c r="T7" s="677" t="s">
        <v>433</v>
      </c>
      <c r="U7" s="667" t="s">
        <v>67</v>
      </c>
      <c r="V7" s="667" t="s">
        <v>68</v>
      </c>
      <c r="W7" s="312"/>
      <c r="X7" s="525"/>
    </row>
    <row r="8" spans="1:24" s="2" customFormat="1" ht="26.25" customHeight="1">
      <c r="A8" s="658"/>
      <c r="B8" s="659"/>
      <c r="C8" s="278"/>
      <c r="D8" s="667"/>
      <c r="E8" s="678"/>
      <c r="F8" s="668"/>
      <c r="G8" s="668"/>
      <c r="H8" s="668"/>
      <c r="I8" s="676"/>
      <c r="J8" s="676"/>
      <c r="K8" s="668"/>
      <c r="L8" s="526" t="s">
        <v>218</v>
      </c>
      <c r="M8" s="679"/>
      <c r="N8" s="667"/>
      <c r="O8" s="676"/>
      <c r="P8" s="676"/>
      <c r="Q8" s="676"/>
      <c r="R8" s="667"/>
      <c r="S8" s="668"/>
      <c r="T8" s="678"/>
      <c r="U8" s="667"/>
      <c r="V8" s="667"/>
      <c r="W8" s="313"/>
      <c r="X8" s="1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5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f>+ก.ค.!D10+ส.ค.!D10+ก.ย.!D10</f>
        <v>50992</v>
      </c>
      <c r="E10" s="267"/>
      <c r="F10" s="135"/>
      <c r="G10" s="135"/>
      <c r="H10" s="135"/>
      <c r="I10" s="131"/>
      <c r="J10" s="131"/>
      <c r="K10" s="135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f>+ก.ค.!D11+ส.ค.!D11+ก.ย.!D11</f>
        <v>4560</v>
      </c>
      <c r="E11" s="267"/>
      <c r="F11" s="135"/>
      <c r="G11" s="135"/>
      <c r="H11" s="135"/>
      <c r="I11" s="131"/>
      <c r="J11" s="131"/>
      <c r="K11" s="135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f>+ก.ค.!D12+ส.ค.!D12+ก.ย.!D12</f>
        <v>1580300</v>
      </c>
      <c r="E12" s="267"/>
      <c r="F12" s="135"/>
      <c r="G12" s="135"/>
      <c r="H12" s="135"/>
      <c r="I12" s="131"/>
      <c r="J12" s="131"/>
      <c r="K12" s="135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f>+ก.ค.!D13+ส.ค.!D13+ก.ย.!D13</f>
        <v>4500</v>
      </c>
      <c r="E13" s="267"/>
      <c r="F13" s="135"/>
      <c r="G13" s="135"/>
      <c r="H13" s="135"/>
      <c r="I13" s="131"/>
      <c r="J13" s="131"/>
      <c r="K13" s="135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f>+ก.ค.!D14+ส.ค.!D14+ก.ย.!D14</f>
        <v>600800</v>
      </c>
      <c r="E14" s="267"/>
      <c r="F14" s="135"/>
      <c r="G14" s="135"/>
      <c r="H14" s="135"/>
      <c r="I14" s="131"/>
      <c r="J14" s="131"/>
      <c r="K14" s="135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>
        <f>+ก.ค.!D15+ส.ค.!D15+ก.ย.!D15</f>
        <v>0</v>
      </c>
      <c r="E15" s="267"/>
      <c r="F15" s="135"/>
      <c r="G15" s="135"/>
      <c r="H15" s="135"/>
      <c r="I15" s="131"/>
      <c r="J15" s="131"/>
      <c r="K15" s="135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>
        <f>+ก.ค.!D16+ส.ค.!D16+ก.ย.!D16</f>
        <v>0</v>
      </c>
      <c r="E16" s="267"/>
      <c r="F16" s="135"/>
      <c r="G16" s="135"/>
      <c r="H16" s="135"/>
      <c r="I16" s="131"/>
      <c r="J16" s="131"/>
      <c r="K16" s="135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>
        <f>+ก.ค.!D17+ส.ค.!D17+ก.ย.!D17</f>
        <v>0</v>
      </c>
      <c r="E17" s="267"/>
      <c r="F17" s="135"/>
      <c r="G17" s="135"/>
      <c r="H17" s="135"/>
      <c r="I17" s="131"/>
      <c r="J17" s="131"/>
      <c r="K17" s="135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>
        <f>+ก.ค.!D18+ส.ค.!D18+ก.ย.!D18</f>
        <v>0</v>
      </c>
      <c r="E18" s="267"/>
      <c r="F18" s="135"/>
      <c r="G18" s="135"/>
      <c r="H18" s="135"/>
      <c r="I18" s="131"/>
      <c r="J18" s="131"/>
      <c r="K18" s="135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228" t="s">
        <v>81</v>
      </c>
      <c r="C19" s="285">
        <f>344150-20000</f>
        <v>324150</v>
      </c>
      <c r="D19" s="131">
        <f>+ก.ค.!D19+ส.ค.!D19+ก.ย.!D19</f>
        <v>0</v>
      </c>
      <c r="E19" s="267"/>
      <c r="F19" s="135"/>
      <c r="G19" s="135"/>
      <c r="H19" s="135"/>
      <c r="I19" s="131"/>
      <c r="J19" s="131"/>
      <c r="K19" s="135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198" t="s">
        <v>424</v>
      </c>
      <c r="C20" s="290">
        <v>70650</v>
      </c>
      <c r="D20" s="131">
        <f>+ก.ค.!D20+ส.ค.!D20+ก.ย.!D20</f>
        <v>0</v>
      </c>
      <c r="E20" s="267"/>
      <c r="F20" s="196"/>
      <c r="G20" s="196"/>
      <c r="H20" s="196"/>
      <c r="I20" s="195"/>
      <c r="J20" s="195"/>
      <c r="K20" s="196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SUM(C10:C20)</f>
        <v>10137432</v>
      </c>
      <c r="D21" s="40">
        <f>SUM(D10:D20)</f>
        <v>2241152</v>
      </c>
      <c r="E21" s="35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7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2241152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6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f>+ก.ค.!E23+ส.ค.!E23+ก.ย.!E23</f>
        <v>173880</v>
      </c>
      <c r="F23" s="135"/>
      <c r="G23" s="135"/>
      <c r="H23" s="135"/>
      <c r="I23" s="131"/>
      <c r="J23" s="131"/>
      <c r="K23" s="135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f>+ก.ค.!E24+ส.ค.!E24+ก.ย.!E24</f>
        <v>30000</v>
      </c>
      <c r="F24" s="135"/>
      <c r="G24" s="135"/>
      <c r="H24" s="135"/>
      <c r="I24" s="131"/>
      <c r="J24" s="131"/>
      <c r="K24" s="135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f>+ก.ค.!E25+ส.ค.!E25+ก.ย.!E25</f>
        <v>30000</v>
      </c>
      <c r="F25" s="135"/>
      <c r="G25" s="135"/>
      <c r="H25" s="135"/>
      <c r="I25" s="131"/>
      <c r="J25" s="131"/>
      <c r="K25" s="135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f>+ก.ค.!E26+ส.ค.!E26+ก.ย.!E26</f>
        <v>49680</v>
      </c>
      <c r="F26" s="135"/>
      <c r="G26" s="135"/>
      <c r="H26" s="135"/>
      <c r="I26" s="131"/>
      <c r="J26" s="131"/>
      <c r="K26" s="135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1283280-10000-14000-48300</f>
        <v>1210980</v>
      </c>
      <c r="D27" s="131"/>
      <c r="E27" s="267">
        <f>+ก.ค.!E27+ส.ค.!E27+ก.ย.!E27</f>
        <v>285660</v>
      </c>
      <c r="F27" s="135"/>
      <c r="G27" s="135"/>
      <c r="H27" s="135"/>
      <c r="I27" s="131"/>
      <c r="J27" s="131"/>
      <c r="K27" s="135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2345220</v>
      </c>
      <c r="D28" s="132">
        <f>SUM(D23:D27)</f>
        <v>0</v>
      </c>
      <c r="E28" s="268">
        <f>SUM(E23:E27)</f>
        <v>569220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7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569220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6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3188820+1300000+884640+1648500-100000-22000-19000-60000-184500-25100-50000-100000-20000-50000-64500-70650-40000-53200-40000-15000</f>
        <v>6108010</v>
      </c>
      <c r="D30" s="133"/>
      <c r="E30" s="269">
        <f>+ก.ค.!E30+ส.ค.!E30+ก.ย.!E30</f>
        <v>654420</v>
      </c>
      <c r="F30" s="269">
        <f>+ก.ค.!F30+ส.ค.!F30+ก.ย.!F30</f>
        <v>234450</v>
      </c>
      <c r="G30" s="269"/>
      <c r="H30" s="269">
        <f>+ก.ค.!H30+ส.ค.!H30+ก.ย.!H30</f>
        <v>223980</v>
      </c>
      <c r="I30" s="269"/>
      <c r="J30" s="269"/>
      <c r="K30" s="269"/>
      <c r="L30" s="269"/>
      <c r="M30" s="269">
        <f>+ก.ค.!M30+ส.ค.!M30+ก.ย.!M30</f>
        <v>300540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f>+ก.ค.!E31+ส.ค.!E31+ก.ย.!E31</f>
        <v>0</v>
      </c>
      <c r="F31" s="269">
        <f>+ก.ค.!F31+ส.ค.!F31+ก.ย.!F31</f>
        <v>0</v>
      </c>
      <c r="G31" s="269"/>
      <c r="H31" s="269">
        <f>+ก.ค.!H31+ส.ค.!H31+ก.ย.!H31</f>
        <v>474660</v>
      </c>
      <c r="I31" s="269"/>
      <c r="J31" s="269"/>
      <c r="K31" s="269"/>
      <c r="L31" s="269"/>
      <c r="M31" s="269">
        <f>+ก.ค.!M31+ส.ค.!M31+ก.ย.!M31</f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f>+ก.ค.!E32+ส.ค.!E32+ก.ย.!E32</f>
        <v>1320</v>
      </c>
      <c r="F32" s="269">
        <f>+ก.ค.!F32+ส.ค.!F32+ก.ย.!F32</f>
        <v>0</v>
      </c>
      <c r="G32" s="269"/>
      <c r="H32" s="269">
        <f>+ก.ค.!H32+ส.ค.!H32+ก.ย.!H32</f>
        <v>0</v>
      </c>
      <c r="I32" s="269"/>
      <c r="J32" s="269"/>
      <c r="K32" s="269"/>
      <c r="L32" s="269"/>
      <c r="M32" s="269">
        <f>+ก.ค.!M32+ส.ค.!M32+ก.ย.!M32</f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f>+ก.ค.!E33+ส.ค.!E33+ก.ย.!E33</f>
        <v>33000</v>
      </c>
      <c r="F33" s="269">
        <f>+ก.ค.!F33+ส.ค.!F33+ก.ย.!F33</f>
        <v>58130</v>
      </c>
      <c r="G33" s="269"/>
      <c r="H33" s="269">
        <f>+ก.ค.!H33+ส.ค.!H33+ก.ย.!H33</f>
        <v>10500</v>
      </c>
      <c r="I33" s="269"/>
      <c r="J33" s="269"/>
      <c r="K33" s="269"/>
      <c r="L33" s="269"/>
      <c r="M33" s="269">
        <f>+ก.ค.!M33+ส.ค.!M33+ก.ย.!M33</f>
        <v>10500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787000+589000+559480+350880+100000+184500+153000-9400</f>
        <v>2714460</v>
      </c>
      <c r="D34" s="131"/>
      <c r="E34" s="269">
        <f>+ก.ค.!E34+ส.ค.!E34+ก.ย.!E34</f>
        <v>255990</v>
      </c>
      <c r="F34" s="269">
        <f>+ก.ค.!F34+ส.ค.!F34+ก.ย.!F34</f>
        <v>111115</v>
      </c>
      <c r="G34" s="269"/>
      <c r="H34" s="269">
        <f>+ก.ค.!H34+ส.ค.!H34+ก.ย.!H34</f>
        <v>194730</v>
      </c>
      <c r="I34" s="269"/>
      <c r="J34" s="269"/>
      <c r="K34" s="269"/>
      <c r="L34" s="269"/>
      <c r="M34" s="269">
        <f>+ก.ค.!M34+ส.ค.!M34+ก.ย.!M34</f>
        <v>87720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f>+ก.ค.!E35+ส.ค.!E35+ก.ย.!E35</f>
        <v>0</v>
      </c>
      <c r="F35" s="269">
        <f>+ก.ค.!F35+ส.ค.!F35+ก.ย.!F35</f>
        <v>0</v>
      </c>
      <c r="G35" s="269"/>
      <c r="H35" s="269">
        <f>+ก.ค.!H35+ส.ค.!H35+ก.ย.!H35</f>
        <v>62910</v>
      </c>
      <c r="I35" s="269"/>
      <c r="J35" s="269"/>
      <c r="K35" s="269"/>
      <c r="L35" s="269"/>
      <c r="M35" s="269">
        <f>+ก.ค.!M35+ส.ค.!M35+ก.ย.!M35</f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76000+72000+84000+22000+25100+11000-5700</f>
        <v>284400</v>
      </c>
      <c r="D36" s="131"/>
      <c r="E36" s="269">
        <f>+ก.ค.!E36+ส.ค.!E36+ก.ย.!E36</f>
        <v>27480</v>
      </c>
      <c r="F36" s="269">
        <f>+ก.ค.!F36+ส.ค.!F36+ก.ย.!F36</f>
        <v>10925</v>
      </c>
      <c r="G36" s="269"/>
      <c r="H36" s="269">
        <f>+ก.ค.!H36+ส.ค.!H36+ก.ย.!H36</f>
        <v>25500</v>
      </c>
      <c r="I36" s="269"/>
      <c r="J36" s="269"/>
      <c r="K36" s="269"/>
      <c r="L36" s="269"/>
      <c r="M36" s="269">
        <f>+ก.ค.!M36+ส.ค.!M36+ก.ย.!M36</f>
        <v>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s="221" customFormat="1" ht="25.5" customHeight="1">
      <c r="A37" s="227"/>
      <c r="B37" s="228" t="s">
        <v>240</v>
      </c>
      <c r="C37" s="288">
        <v>48000</v>
      </c>
      <c r="D37" s="195"/>
      <c r="E37" s="269">
        <f>+ก.ค.!E37+ส.ค.!E37+ก.ย.!E37</f>
        <v>0</v>
      </c>
      <c r="F37" s="269">
        <f>+ก.ค.!F37+ส.ค.!F37+ก.ย.!F37</f>
        <v>0</v>
      </c>
      <c r="G37" s="269"/>
      <c r="H37" s="269">
        <f>+ก.ค.!H37+ส.ค.!H37+ก.ย.!H37</f>
        <v>5490</v>
      </c>
      <c r="I37" s="269"/>
      <c r="J37" s="269"/>
      <c r="K37" s="269"/>
      <c r="L37" s="269"/>
      <c r="M37" s="269">
        <f>+ก.ค.!M37+ส.ค.!M37+ก.ย.!M37</f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s="221" customFormat="1" ht="25.5" customHeight="1">
      <c r="A38" s="9"/>
      <c r="B38" s="130" t="s">
        <v>440</v>
      </c>
      <c r="C38" s="288">
        <v>35000</v>
      </c>
      <c r="D38" s="195"/>
      <c r="E38" s="269">
        <f>+ก.ค.!E38+ส.ค.!E38+ก.ย.!E38</f>
        <v>0</v>
      </c>
      <c r="F38" s="269">
        <f>+ก.ค.!F38+ส.ค.!F38+ก.ย.!F38</f>
        <v>0</v>
      </c>
      <c r="G38" s="533"/>
      <c r="H38" s="269">
        <f>+ก.ค.!H38+ส.ค.!H38+ก.ย.!H38</f>
        <v>35000</v>
      </c>
      <c r="I38" s="533"/>
      <c r="J38" s="533"/>
      <c r="K38" s="533"/>
      <c r="L38" s="533"/>
      <c r="M38" s="269">
        <f>+ก.ค.!M38+ส.ค.!M38+ก.ย.!M38</f>
        <v>0</v>
      </c>
      <c r="N38" s="533"/>
      <c r="O38" s="533"/>
      <c r="P38" s="533"/>
      <c r="Q38" s="533"/>
      <c r="R38" s="533"/>
      <c r="S38" s="533"/>
      <c r="T38" s="533"/>
      <c r="U38" s="533"/>
      <c r="V38" s="533"/>
      <c r="W38" s="315"/>
    </row>
    <row r="39" spans="1:23" s="597" customFormat="1" ht="25.5" customHeight="1" thickBot="1">
      <c r="A39" s="46"/>
      <c r="B39" s="47" t="s">
        <v>5</v>
      </c>
      <c r="C39" s="289">
        <f>SUM(C30:C38)</f>
        <v>11569650</v>
      </c>
      <c r="D39" s="132">
        <f>SUM(D30:D37)</f>
        <v>0</v>
      </c>
      <c r="E39" s="137">
        <f>SUM(E30:E38)</f>
        <v>972210</v>
      </c>
      <c r="F39" s="137">
        <f>SUM(F30:F38)</f>
        <v>414620</v>
      </c>
      <c r="G39" s="137">
        <f t="shared" ref="G39:V39" si="2">SUM(G30:G37)</f>
        <v>0</v>
      </c>
      <c r="H39" s="137">
        <f>SUM(H30:H38)</f>
        <v>1032770</v>
      </c>
      <c r="I39" s="132">
        <f t="shared" si="2"/>
        <v>0</v>
      </c>
      <c r="J39" s="132">
        <f t="shared" si="2"/>
        <v>0</v>
      </c>
      <c r="K39" s="137">
        <f>SUM(K30:K38)</f>
        <v>0</v>
      </c>
      <c r="L39" s="132">
        <f t="shared" si="2"/>
        <v>0</v>
      </c>
      <c r="M39" s="137">
        <f>SUM(M30:M38)</f>
        <v>398760</v>
      </c>
      <c r="N39" s="132">
        <f t="shared" si="2"/>
        <v>0</v>
      </c>
      <c r="O39" s="132">
        <f t="shared" si="2"/>
        <v>0</v>
      </c>
      <c r="P39" s="132">
        <f t="shared" si="2"/>
        <v>0</v>
      </c>
      <c r="Q39" s="132">
        <f t="shared" si="2"/>
        <v>0</v>
      </c>
      <c r="R39" s="132">
        <f t="shared" si="2"/>
        <v>0</v>
      </c>
      <c r="S39" s="132">
        <f t="shared" si="2"/>
        <v>0</v>
      </c>
      <c r="T39" s="132"/>
      <c r="U39" s="132">
        <f t="shared" si="2"/>
        <v>0</v>
      </c>
      <c r="V39" s="132">
        <f t="shared" si="2"/>
        <v>0</v>
      </c>
      <c r="W39" s="596">
        <f>SUM(D39:V39)</f>
        <v>2818360</v>
      </c>
    </row>
    <row r="40" spans="1:23" s="221" customFormat="1" ht="25.5" customHeight="1" thickTop="1">
      <c r="A40" s="5" t="s">
        <v>98</v>
      </c>
      <c r="B40" s="6"/>
      <c r="C40" s="190"/>
      <c r="D40" s="133"/>
      <c r="E40" s="269"/>
      <c r="F40" s="136"/>
      <c r="G40" s="136"/>
      <c r="H40" s="136"/>
      <c r="I40" s="133"/>
      <c r="J40" s="133"/>
      <c r="K40" s="136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7"/>
    </row>
    <row r="41" spans="1:23" s="221" customFormat="1" ht="25.5" customHeight="1">
      <c r="A41" s="9"/>
      <c r="B41" s="130" t="s">
        <v>93</v>
      </c>
      <c r="C41" s="216">
        <v>5000</v>
      </c>
      <c r="D41" s="133"/>
      <c r="E41" s="269">
        <f>+ก.ค.!E41++ส.ค.!E41+ก.ย.!E41</f>
        <v>11000</v>
      </c>
      <c r="F41" s="269">
        <f>+ก.ค.!F41++ส.ค.!F41+ก.ย.!F41</f>
        <v>0</v>
      </c>
      <c r="G41" s="269">
        <f>+ก.ค.!G41++ส.ค.!G41+ก.ย.!G41</f>
        <v>0</v>
      </c>
      <c r="H41" s="269">
        <f>+ก.ค.!H41++ส.ค.!H41+ก.ย.!H41</f>
        <v>0</v>
      </c>
      <c r="I41" s="269">
        <f>+ก.ค.!I41++ส.ค.!I41+ก.ย.!I41</f>
        <v>0</v>
      </c>
      <c r="J41" s="269">
        <f>+ก.ค.!J41++ส.ค.!J41+ก.ย.!J41</f>
        <v>0</v>
      </c>
      <c r="K41" s="269">
        <f>+ก.ค.!K41++ส.ค.!K41+ก.ย.!K41</f>
        <v>0</v>
      </c>
      <c r="L41" s="269">
        <f>+ก.ค.!L41++ส.ค.!L41+ก.ย.!L41</f>
        <v>0</v>
      </c>
      <c r="M41" s="269">
        <f>+ก.ค.!M41++ส.ค.!M41+ก.ย.!M41</f>
        <v>0</v>
      </c>
      <c r="N41" s="269">
        <f>+ก.ค.!N41++ส.ค.!N41+ก.ย.!N41</f>
        <v>0</v>
      </c>
      <c r="O41" s="269">
        <f>+ก.ค.!O41++ส.ค.!O41+ก.ย.!O41</f>
        <v>0</v>
      </c>
      <c r="P41" s="269">
        <f>+ก.ค.!P41++ส.ค.!P41+ก.ย.!P41</f>
        <v>0</v>
      </c>
      <c r="Q41" s="269">
        <f>+ก.ค.!Q41++ส.ค.!Q41+ก.ย.!Q41</f>
        <v>0</v>
      </c>
      <c r="R41" s="269">
        <f>+ก.ค.!R41++ส.ค.!R41+ก.ย.!R41</f>
        <v>0</v>
      </c>
      <c r="S41" s="269">
        <f>+ก.ค.!S41++ส.ค.!S41+ก.ย.!S41</f>
        <v>0</v>
      </c>
      <c r="T41" s="269">
        <f>+ก.ค.!T41++ส.ค.!T41+ก.ย.!T41</f>
        <v>0</v>
      </c>
      <c r="U41" s="269">
        <f>+ก.ค.!U41++ส.ค.!U41+ก.ย.!U41</f>
        <v>0</v>
      </c>
      <c r="V41" s="269">
        <f>+ก.ค.!V41++ส.ค.!V41+ก.ย.!V41</f>
        <v>0</v>
      </c>
      <c r="W41" s="315"/>
    </row>
    <row r="42" spans="1:23" s="221" customFormat="1" ht="25.5" customHeight="1">
      <c r="A42" s="9"/>
      <c r="B42" s="130" t="s">
        <v>205</v>
      </c>
      <c r="C42" s="285">
        <v>10000</v>
      </c>
      <c r="D42" s="131"/>
      <c r="E42" s="269">
        <f>+ก.ค.!E42++ส.ค.!E42+ก.ย.!E42</f>
        <v>0</v>
      </c>
      <c r="F42" s="269">
        <f>+ก.ค.!F42++ส.ค.!F42+ก.ย.!F42</f>
        <v>15000</v>
      </c>
      <c r="G42" s="269">
        <f>+ก.ค.!G42++ส.ค.!G42+ก.ย.!G42</f>
        <v>0</v>
      </c>
      <c r="H42" s="269">
        <f>+ก.ค.!H42++ส.ค.!H42+ก.ย.!H42</f>
        <v>0</v>
      </c>
      <c r="I42" s="269">
        <f>+ก.ค.!I42++ส.ค.!I42+ก.ย.!I42</f>
        <v>0</v>
      </c>
      <c r="J42" s="269">
        <f>+ก.ค.!J42++ส.ค.!J42+ก.ย.!J42</f>
        <v>0</v>
      </c>
      <c r="K42" s="269">
        <f>+ก.ค.!K42++ส.ค.!K42+ก.ย.!K42</f>
        <v>0</v>
      </c>
      <c r="L42" s="269">
        <f>+ก.ค.!L42++ส.ค.!L42+ก.ย.!L42</f>
        <v>0</v>
      </c>
      <c r="M42" s="269">
        <f>+ก.ค.!M42++ส.ค.!M42+ก.ย.!M42</f>
        <v>0</v>
      </c>
      <c r="N42" s="269">
        <f>+ก.ค.!N42++ส.ค.!N42+ก.ย.!N42</f>
        <v>0</v>
      </c>
      <c r="O42" s="269">
        <f>+ก.ค.!O42++ส.ค.!O42+ก.ย.!O42</f>
        <v>0</v>
      </c>
      <c r="P42" s="269">
        <f>+ก.ค.!P42++ส.ค.!P42+ก.ย.!P42</f>
        <v>0</v>
      </c>
      <c r="Q42" s="269">
        <f>+ก.ค.!Q42++ส.ค.!Q42+ก.ย.!Q42</f>
        <v>0</v>
      </c>
      <c r="R42" s="269">
        <f>+ก.ค.!R42++ส.ค.!R42+ก.ย.!R42</f>
        <v>0</v>
      </c>
      <c r="S42" s="269">
        <f>+ก.ค.!S42++ส.ค.!S42+ก.ย.!S42</f>
        <v>0</v>
      </c>
      <c r="T42" s="269">
        <f>+ก.ค.!T42++ส.ค.!T42+ก.ย.!T42</f>
        <v>0</v>
      </c>
      <c r="U42" s="269">
        <f>+ก.ค.!U42++ส.ค.!U42+ก.ย.!U42</f>
        <v>0</v>
      </c>
      <c r="V42" s="269">
        <f>+ก.ค.!V42++ส.ค.!V42+ก.ย.!V42</f>
        <v>0</v>
      </c>
      <c r="W42" s="315"/>
    </row>
    <row r="43" spans="1:23" s="221" customFormat="1" ht="25.5" customHeight="1">
      <c r="A43" s="9"/>
      <c r="B43" s="130" t="s">
        <v>94</v>
      </c>
      <c r="C43" s="285">
        <f>10000-10000</f>
        <v>0</v>
      </c>
      <c r="D43" s="131"/>
      <c r="E43" s="269">
        <f>+ก.ค.!E43++ส.ค.!E43+ก.ย.!E43</f>
        <v>0</v>
      </c>
      <c r="F43" s="269">
        <f>+ก.ค.!F43++ส.ค.!F43+ก.ย.!F43</f>
        <v>0</v>
      </c>
      <c r="G43" s="269">
        <f>+ก.ค.!G43++ส.ค.!G43+ก.ย.!G43</f>
        <v>0</v>
      </c>
      <c r="H43" s="269">
        <f>+ก.ค.!H43++ส.ค.!H43+ก.ย.!H43</f>
        <v>0</v>
      </c>
      <c r="I43" s="269">
        <f>+ก.ค.!I43++ส.ค.!I43+ก.ย.!I43</f>
        <v>0</v>
      </c>
      <c r="J43" s="269">
        <f>+ก.ค.!J43++ส.ค.!J43+ก.ย.!J43</f>
        <v>0</v>
      </c>
      <c r="K43" s="269">
        <f>+ก.ค.!K43++ส.ค.!K43+ก.ย.!K43</f>
        <v>0</v>
      </c>
      <c r="L43" s="269">
        <f>+ก.ค.!L43++ส.ค.!L43+ก.ย.!L43</f>
        <v>0</v>
      </c>
      <c r="M43" s="269">
        <f>+ก.ค.!M43++ส.ค.!M43+ก.ย.!M43</f>
        <v>0</v>
      </c>
      <c r="N43" s="269">
        <f>+ก.ค.!N43++ส.ค.!N43+ก.ย.!N43</f>
        <v>0</v>
      </c>
      <c r="O43" s="269">
        <f>+ก.ค.!O43++ส.ค.!O43+ก.ย.!O43</f>
        <v>0</v>
      </c>
      <c r="P43" s="269">
        <f>+ก.ค.!P43++ส.ค.!P43+ก.ย.!P43</f>
        <v>0</v>
      </c>
      <c r="Q43" s="269">
        <f>+ก.ค.!Q43++ส.ค.!Q43+ก.ย.!Q43</f>
        <v>0</v>
      </c>
      <c r="R43" s="269">
        <f>+ก.ค.!R43++ส.ค.!R43+ก.ย.!R43</f>
        <v>0</v>
      </c>
      <c r="S43" s="269">
        <f>+ก.ค.!S43++ส.ค.!S43+ก.ย.!S43</f>
        <v>0</v>
      </c>
      <c r="T43" s="269">
        <f>+ก.ค.!T43++ส.ค.!T43+ก.ย.!T43</f>
        <v>0</v>
      </c>
      <c r="U43" s="269">
        <f>+ก.ค.!U43++ส.ค.!U43+ก.ย.!U43</f>
        <v>0</v>
      </c>
      <c r="V43" s="269">
        <f>+ก.ค.!V43++ส.ค.!V43+ก.ย.!V43</f>
        <v>0</v>
      </c>
      <c r="W43" s="311"/>
    </row>
    <row r="44" spans="1:23" s="221" customFormat="1" ht="25.5" customHeight="1">
      <c r="A44" s="9"/>
      <c r="B44" s="130" t="s">
        <v>95</v>
      </c>
      <c r="C44" s="192">
        <v>5000</v>
      </c>
      <c r="D44" s="131"/>
      <c r="E44" s="269">
        <f>+ก.ค.!E44++ส.ค.!E44+ก.ย.!E44</f>
        <v>0</v>
      </c>
      <c r="F44" s="269">
        <f>+ก.ค.!F44++ส.ค.!F44+ก.ย.!F44</f>
        <v>0</v>
      </c>
      <c r="G44" s="269">
        <f>+ก.ค.!G44++ส.ค.!G44+ก.ย.!G44</f>
        <v>0</v>
      </c>
      <c r="H44" s="269">
        <f>+ก.ค.!H44++ส.ค.!H44+ก.ย.!H44</f>
        <v>0</v>
      </c>
      <c r="I44" s="269">
        <f>+ก.ค.!I44++ส.ค.!I44+ก.ย.!I44</f>
        <v>0</v>
      </c>
      <c r="J44" s="269">
        <f>+ก.ค.!J44++ส.ค.!J44+ก.ย.!J44</f>
        <v>0</v>
      </c>
      <c r="K44" s="269">
        <f>+ก.ค.!K44++ส.ค.!K44+ก.ย.!K44</f>
        <v>0</v>
      </c>
      <c r="L44" s="269">
        <f>+ก.ค.!L44++ส.ค.!L44+ก.ย.!L44</f>
        <v>0</v>
      </c>
      <c r="M44" s="269">
        <f>+ก.ค.!M44++ส.ค.!M44+ก.ย.!M44</f>
        <v>0</v>
      </c>
      <c r="N44" s="269">
        <f>+ก.ค.!N44++ส.ค.!N44+ก.ย.!N44</f>
        <v>0</v>
      </c>
      <c r="O44" s="269">
        <f>+ก.ค.!O44++ส.ค.!O44+ก.ย.!O44</f>
        <v>0</v>
      </c>
      <c r="P44" s="269">
        <f>+ก.ค.!P44++ส.ค.!P44+ก.ย.!P44</f>
        <v>0</v>
      </c>
      <c r="Q44" s="269">
        <f>+ก.ค.!Q44++ส.ค.!Q44+ก.ย.!Q44</f>
        <v>0</v>
      </c>
      <c r="R44" s="269">
        <f>+ก.ค.!R44++ส.ค.!R44+ก.ย.!R44</f>
        <v>0</v>
      </c>
      <c r="S44" s="269">
        <f>+ก.ค.!S44++ส.ค.!S44+ก.ย.!S44</f>
        <v>0</v>
      </c>
      <c r="T44" s="269">
        <f>+ก.ค.!T44++ส.ค.!T44+ก.ย.!T44</f>
        <v>0</v>
      </c>
      <c r="U44" s="269">
        <f>+ก.ค.!U44++ส.ค.!U44+ก.ย.!U44</f>
        <v>0</v>
      </c>
      <c r="V44" s="269">
        <f>+ก.ค.!V44++ส.ค.!V44+ก.ย.!V44</f>
        <v>0</v>
      </c>
      <c r="W44" s="310"/>
    </row>
    <row r="45" spans="1:23" s="221" customFormat="1" ht="25.5" customHeight="1">
      <c r="A45" s="9"/>
      <c r="B45" s="130" t="s">
        <v>96</v>
      </c>
      <c r="C45" s="192">
        <v>5000</v>
      </c>
      <c r="D45" s="131"/>
      <c r="E45" s="269">
        <f>+ก.ค.!E45++ส.ค.!E45+ก.ย.!E45</f>
        <v>1980</v>
      </c>
      <c r="F45" s="269">
        <f>+ก.ค.!F45++ส.ค.!F45+ก.ย.!F45</f>
        <v>0</v>
      </c>
      <c r="G45" s="269">
        <f>+ก.ค.!G45++ส.ค.!G45+ก.ย.!G45</f>
        <v>0</v>
      </c>
      <c r="H45" s="269">
        <f>+ก.ค.!H45++ส.ค.!H45+ก.ย.!H45</f>
        <v>0</v>
      </c>
      <c r="I45" s="269">
        <f>+ก.ค.!I45++ส.ค.!I45+ก.ย.!I45</f>
        <v>0</v>
      </c>
      <c r="J45" s="269">
        <f>+ก.ค.!J45++ส.ค.!J45+ก.ย.!J45</f>
        <v>0</v>
      </c>
      <c r="K45" s="269">
        <f>+ก.ค.!K45++ส.ค.!K45+ก.ย.!K45</f>
        <v>0</v>
      </c>
      <c r="L45" s="269">
        <f>+ก.ค.!L45++ส.ค.!L45+ก.ย.!L45</f>
        <v>0</v>
      </c>
      <c r="M45" s="269">
        <f>+ก.ค.!M45++ส.ค.!M45+ก.ย.!M45</f>
        <v>0</v>
      </c>
      <c r="N45" s="269">
        <f>+ก.ค.!N45++ส.ค.!N45+ก.ย.!N45</f>
        <v>0</v>
      </c>
      <c r="O45" s="269">
        <f>+ก.ค.!O45++ส.ค.!O45+ก.ย.!O45</f>
        <v>0</v>
      </c>
      <c r="P45" s="269">
        <f>+ก.ค.!P45++ส.ค.!P45+ก.ย.!P45</f>
        <v>0</v>
      </c>
      <c r="Q45" s="269">
        <f>+ก.ค.!Q45++ส.ค.!Q45+ก.ย.!Q45</f>
        <v>0</v>
      </c>
      <c r="R45" s="269">
        <f>+ก.ค.!R45++ส.ค.!R45+ก.ย.!R45</f>
        <v>0</v>
      </c>
      <c r="S45" s="269">
        <f>+ก.ค.!S45++ส.ค.!S45+ก.ย.!S45</f>
        <v>0</v>
      </c>
      <c r="T45" s="269">
        <f>+ก.ค.!T45++ส.ค.!T45+ก.ย.!T45</f>
        <v>0</v>
      </c>
      <c r="U45" s="269">
        <f>+ก.ค.!U45++ส.ค.!U45+ก.ย.!U45</f>
        <v>0</v>
      </c>
      <c r="V45" s="269">
        <f>+ก.ค.!V45++ส.ค.!V45+ก.ย.!V45</f>
        <v>0</v>
      </c>
      <c r="W45" s="310"/>
    </row>
    <row r="46" spans="1:23" s="221" customFormat="1" ht="25.5" customHeight="1">
      <c r="A46" s="9"/>
      <c r="B46" s="130" t="s">
        <v>10</v>
      </c>
      <c r="C46" s="216">
        <f>144000+36000+78000+78000-15500</f>
        <v>320500</v>
      </c>
      <c r="D46" s="133"/>
      <c r="E46" s="269">
        <f>+ก.ค.!E46++ส.ค.!E46+ก.ย.!E46</f>
        <v>30000</v>
      </c>
      <c r="F46" s="269">
        <f>+ก.ค.!F46++ส.ค.!F46+ก.ย.!F46</f>
        <v>9000</v>
      </c>
      <c r="G46" s="269">
        <f>+ก.ค.!G46++ส.ค.!G46+ก.ย.!G46</f>
        <v>0</v>
      </c>
      <c r="H46" s="269">
        <f>+ก.ค.!H46++ส.ค.!H46+ก.ย.!H46</f>
        <v>19500</v>
      </c>
      <c r="I46" s="269">
        <f>+ก.ค.!I46++ส.ค.!I46+ก.ย.!I46</f>
        <v>0</v>
      </c>
      <c r="J46" s="269">
        <f>+ก.ค.!J46++ส.ค.!J46+ก.ย.!J46</f>
        <v>0</v>
      </c>
      <c r="K46" s="269">
        <f>+ก.ค.!K46++ส.ค.!K46+ก.ย.!K46</f>
        <v>0</v>
      </c>
      <c r="L46" s="269">
        <f>+ก.ค.!L46++ส.ค.!L46+ก.ย.!L46</f>
        <v>0</v>
      </c>
      <c r="M46" s="269">
        <f>+ก.ค.!M46++ส.ค.!M46+ก.ย.!M46</f>
        <v>19500</v>
      </c>
      <c r="N46" s="269">
        <f>+ก.ค.!N46++ส.ค.!N46+ก.ย.!N46</f>
        <v>0</v>
      </c>
      <c r="O46" s="269">
        <f>+ก.ค.!O46++ส.ค.!O46+ก.ย.!O46</f>
        <v>0</v>
      </c>
      <c r="P46" s="269">
        <f>+ก.ค.!P46++ส.ค.!P46+ก.ย.!P46</f>
        <v>0</v>
      </c>
      <c r="Q46" s="269">
        <f>+ก.ค.!Q46++ส.ค.!Q46+ก.ย.!Q46</f>
        <v>0</v>
      </c>
      <c r="R46" s="269">
        <f>+ก.ค.!R46++ส.ค.!R46+ก.ย.!R46</f>
        <v>0</v>
      </c>
      <c r="S46" s="269">
        <f>+ก.ค.!S46++ส.ค.!S46+ก.ย.!S46</f>
        <v>0</v>
      </c>
      <c r="T46" s="269">
        <f>+ก.ค.!T46++ส.ค.!T46+ก.ย.!T46</f>
        <v>0</v>
      </c>
      <c r="U46" s="269">
        <f>+ก.ค.!U46++ส.ค.!U46+ก.ย.!U46</f>
        <v>0</v>
      </c>
      <c r="V46" s="269">
        <f>+ก.ค.!V46++ส.ค.!V46+ก.ย.!V46</f>
        <v>0</v>
      </c>
      <c r="W46" s="310"/>
    </row>
    <row r="47" spans="1:23" s="221" customFormat="1" ht="25.5" customHeight="1">
      <c r="A47" s="9"/>
      <c r="B47" s="130" t="s">
        <v>9</v>
      </c>
      <c r="C47" s="216">
        <f>25000+10000+30000+20000</f>
        <v>85000</v>
      </c>
      <c r="D47" s="131"/>
      <c r="E47" s="269">
        <f>+ก.ค.!E47++ส.ค.!E47+ก.ย.!E47</f>
        <v>14600</v>
      </c>
      <c r="F47" s="269">
        <f>+ก.ค.!F47++ส.ค.!F47+ก.ย.!F47</f>
        <v>0</v>
      </c>
      <c r="G47" s="269">
        <f>+ก.ค.!G47++ส.ค.!G47+ก.ย.!G47</f>
        <v>0</v>
      </c>
      <c r="H47" s="269">
        <f>+ก.ค.!H47++ส.ค.!H47+ก.ย.!H47</f>
        <v>7000</v>
      </c>
      <c r="I47" s="269">
        <f>+ก.ค.!I47++ส.ค.!I47+ก.ย.!I47</f>
        <v>0</v>
      </c>
      <c r="J47" s="269">
        <f>+ก.ค.!J47++ส.ค.!J47+ก.ย.!J47</f>
        <v>0</v>
      </c>
      <c r="K47" s="269">
        <f>+ก.ค.!K47++ส.ค.!K47+ก.ย.!K47</f>
        <v>0</v>
      </c>
      <c r="L47" s="269">
        <f>+ก.ค.!L47++ส.ค.!L47+ก.ย.!L47</f>
        <v>0</v>
      </c>
      <c r="M47" s="269">
        <f>+ก.ค.!M47++ส.ค.!M47+ก.ย.!M47</f>
        <v>0</v>
      </c>
      <c r="N47" s="269">
        <f>+ก.ค.!N47++ส.ค.!N47+ก.ย.!N47</f>
        <v>0</v>
      </c>
      <c r="O47" s="269">
        <f>+ก.ค.!O47++ส.ค.!O47+ก.ย.!O47</f>
        <v>0</v>
      </c>
      <c r="P47" s="269">
        <f>+ก.ค.!P47++ส.ค.!P47+ก.ย.!P47</f>
        <v>0</v>
      </c>
      <c r="Q47" s="269">
        <f>+ก.ค.!Q47++ส.ค.!Q47+ก.ย.!Q47</f>
        <v>0</v>
      </c>
      <c r="R47" s="269">
        <f>+ก.ค.!R47++ส.ค.!R47+ก.ย.!R47</f>
        <v>0</v>
      </c>
      <c r="S47" s="269">
        <f>+ก.ค.!S47++ส.ค.!S47+ก.ย.!S47</f>
        <v>0</v>
      </c>
      <c r="T47" s="269">
        <f>+ก.ค.!T47++ส.ค.!T47+ก.ย.!T47</f>
        <v>0</v>
      </c>
      <c r="U47" s="269">
        <f>+ก.ค.!U47++ส.ค.!U47+ก.ย.!U47</f>
        <v>0</v>
      </c>
      <c r="V47" s="269">
        <f>+ก.ค.!V47++ส.ค.!V47+ก.ย.!V47</f>
        <v>0</v>
      </c>
      <c r="W47" s="310"/>
    </row>
    <row r="48" spans="1:23" s="221" customFormat="1" ht="25.5" customHeight="1">
      <c r="A48" s="197"/>
      <c r="B48" s="198" t="s">
        <v>241</v>
      </c>
      <c r="C48" s="286">
        <v>44200</v>
      </c>
      <c r="D48" s="131"/>
      <c r="E48" s="269">
        <f>+ก.ค.!E48++ส.ค.!E48+ก.ย.!E48</f>
        <v>0</v>
      </c>
      <c r="F48" s="269">
        <f>+ก.ค.!F48++ส.ค.!F48+ก.ย.!F48</f>
        <v>0</v>
      </c>
      <c r="G48" s="269">
        <f>+ก.ค.!G48++ส.ค.!G48+ก.ย.!G48</f>
        <v>0</v>
      </c>
      <c r="H48" s="269">
        <f>+ก.ค.!H48++ส.ค.!H48+ก.ย.!H48</f>
        <v>17650</v>
      </c>
      <c r="I48" s="269">
        <f>+ก.ค.!I48++ส.ค.!I48+ก.ย.!I48</f>
        <v>0</v>
      </c>
      <c r="J48" s="269">
        <f>+ก.ค.!J48++ส.ค.!J48+ก.ย.!J48</f>
        <v>0</v>
      </c>
      <c r="K48" s="269">
        <f>+ก.ค.!K48++ส.ค.!K48+ก.ย.!K48</f>
        <v>0</v>
      </c>
      <c r="L48" s="269">
        <f>+ก.ค.!L48++ส.ค.!L48+ก.ย.!L48</f>
        <v>0</v>
      </c>
      <c r="M48" s="269">
        <f>+ก.ค.!M48++ส.ค.!M48+ก.ย.!M48</f>
        <v>0</v>
      </c>
      <c r="N48" s="269">
        <f>+ก.ค.!N48++ส.ค.!N48+ก.ย.!N48</f>
        <v>0</v>
      </c>
      <c r="O48" s="269">
        <f>+ก.ค.!O48++ส.ค.!O48+ก.ย.!O48</f>
        <v>0</v>
      </c>
      <c r="P48" s="269">
        <f>+ก.ค.!P48++ส.ค.!P48+ก.ย.!P48</f>
        <v>0</v>
      </c>
      <c r="Q48" s="269">
        <f>+ก.ค.!Q48++ส.ค.!Q48+ก.ย.!Q48</f>
        <v>0</v>
      </c>
      <c r="R48" s="269">
        <f>+ก.ค.!R48++ส.ค.!R48+ก.ย.!R48</f>
        <v>0</v>
      </c>
      <c r="S48" s="269">
        <f>+ก.ค.!S48++ส.ค.!S48+ก.ย.!S48</f>
        <v>0</v>
      </c>
      <c r="T48" s="269">
        <f>+ก.ค.!T48++ส.ค.!T48+ก.ย.!T48</f>
        <v>0</v>
      </c>
      <c r="U48" s="269">
        <f>+ก.ค.!U48++ส.ค.!U48+ก.ย.!U48</f>
        <v>0</v>
      </c>
      <c r="V48" s="269">
        <f>+ก.ค.!V48++ส.ค.!V48+ก.ย.!V48</f>
        <v>0</v>
      </c>
      <c r="W48" s="310"/>
    </row>
    <row r="49" spans="1:24" s="221" customFormat="1" ht="25.5" customHeight="1" thickBot="1">
      <c r="A49" s="46"/>
      <c r="B49" s="47" t="s">
        <v>5</v>
      </c>
      <c r="C49" s="289">
        <f>SUM(C41:C48)</f>
        <v>474700</v>
      </c>
      <c r="D49" s="255">
        <f>SUM(D41:D48)</f>
        <v>0</v>
      </c>
      <c r="E49" s="269">
        <f>SUM(E41:E48)</f>
        <v>57580</v>
      </c>
      <c r="F49" s="254">
        <f>SUM(F41:F48)</f>
        <v>24000</v>
      </c>
      <c r="G49" s="254">
        <f t="shared" ref="G49:V49" si="3">SUM(G41:G48)</f>
        <v>0</v>
      </c>
      <c r="H49" s="254">
        <f>SUM(H41:H48)</f>
        <v>44150</v>
      </c>
      <c r="I49" s="255">
        <f t="shared" si="3"/>
        <v>0</v>
      </c>
      <c r="J49" s="255">
        <f t="shared" si="3"/>
        <v>0</v>
      </c>
      <c r="K49" s="254">
        <f t="shared" si="3"/>
        <v>0</v>
      </c>
      <c r="L49" s="255">
        <f t="shared" si="3"/>
        <v>0</v>
      </c>
      <c r="M49" s="254">
        <f>SUM(M41:M48)</f>
        <v>19500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145230</v>
      </c>
    </row>
    <row r="50" spans="1:24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6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4" s="310" customFormat="1" ht="25.5" customHeight="1">
      <c r="A51" s="5"/>
      <c r="B51" s="130" t="s">
        <v>100</v>
      </c>
      <c r="C51" s="281">
        <f>15000+7000+20000+15000</f>
        <v>57000</v>
      </c>
      <c r="D51" s="133"/>
      <c r="E51" s="269">
        <f>+ก.ค.!E51+ส.ค.!E51+ก.ย.!E51</f>
        <v>4188</v>
      </c>
      <c r="F51" s="269">
        <f>+ก.ค.!F51+ส.ค.!F51+ก.ย.!F51</f>
        <v>0</v>
      </c>
      <c r="G51" s="269">
        <f>+ก.ค.!G51+ส.ค.!G51+ก.ย.!G51</f>
        <v>0</v>
      </c>
      <c r="H51" s="269">
        <f>+ก.ค.!H51+ส.ค.!H51+ก.ย.!H51</f>
        <v>3000</v>
      </c>
      <c r="I51" s="269">
        <f>+ก.ค.!I51+ส.ค.!I51+ก.ย.!I51</f>
        <v>0</v>
      </c>
      <c r="J51" s="269">
        <f>+ก.ค.!J51+ส.ค.!J51+ก.ย.!J51</f>
        <v>0</v>
      </c>
      <c r="K51" s="269">
        <f>+ก.ค.!K51+ส.ค.!K51+ก.ย.!K51</f>
        <v>0</v>
      </c>
      <c r="L51" s="269">
        <f>+ก.ค.!L51+ส.ค.!L51+ก.ย.!L51</f>
        <v>0</v>
      </c>
      <c r="M51" s="269">
        <f>+ก.ค.!M51+ส.ค.!M51+ก.ย.!M51</f>
        <v>0</v>
      </c>
      <c r="N51" s="269">
        <f>+ก.ค.!N51+ส.ค.!N51+ก.ย.!N51</f>
        <v>0</v>
      </c>
      <c r="O51" s="269">
        <f>+ก.ค.!O51+ส.ค.!O51+ก.ย.!O51</f>
        <v>0</v>
      </c>
      <c r="P51" s="269">
        <f>+ก.ค.!P51+ส.ค.!P51+ก.ย.!P51</f>
        <v>0</v>
      </c>
      <c r="Q51" s="269">
        <f>+ก.ค.!Q51+ส.ค.!Q51+ก.ย.!Q51</f>
        <v>0</v>
      </c>
      <c r="R51" s="269">
        <f>+ก.ค.!R51+ส.ค.!R51+ก.ย.!R51</f>
        <v>0</v>
      </c>
      <c r="S51" s="269">
        <f>+ก.ค.!S51+ส.ค.!S51+ก.ย.!S51</f>
        <v>0</v>
      </c>
      <c r="T51" s="269">
        <f>+ก.ค.!T51+ส.ค.!T51+ก.ย.!T51</f>
        <v>0</v>
      </c>
      <c r="U51" s="269">
        <f>+ก.ค.!U51+ส.ค.!U51+ก.ย.!U51</f>
        <v>0</v>
      </c>
      <c r="V51" s="269">
        <f>+ก.ค.!V51+ส.ค.!V51+ก.ย.!V51</f>
        <v>0</v>
      </c>
      <c r="X51" s="221"/>
    </row>
    <row r="52" spans="1:24" s="310" customFormat="1" ht="25.5" customHeight="1">
      <c r="A52" s="5"/>
      <c r="B52" s="130" t="s">
        <v>226</v>
      </c>
      <c r="C52" s="281">
        <f>1044000+124000+384000+296000-47000+10000+156000+65000+50000+64500-15000+20000+48300+53200+5700+9400+10000+15500+10000+6400</f>
        <v>2310000</v>
      </c>
      <c r="D52" s="133"/>
      <c r="E52" s="269">
        <f>+ก.ค.!E52+ส.ค.!E52+ก.ย.!E52</f>
        <v>512000</v>
      </c>
      <c r="F52" s="269">
        <f>+ก.ค.!F52+ส.ค.!F52+ก.ย.!F52</f>
        <v>28000</v>
      </c>
      <c r="G52" s="269">
        <f>+ก.ค.!G52+ส.ค.!G52+ก.ย.!G52</f>
        <v>0</v>
      </c>
      <c r="H52" s="269">
        <f>+ก.ค.!H52+ส.ค.!H52+ก.ย.!H52</f>
        <v>220000</v>
      </c>
      <c r="I52" s="269">
        <f>+ก.ค.!I52+ส.ค.!I52+ก.ย.!I52</f>
        <v>0</v>
      </c>
      <c r="J52" s="269">
        <f>+ก.ค.!J52+ส.ค.!J52+ก.ย.!J52</f>
        <v>0</v>
      </c>
      <c r="K52" s="269">
        <f>+ก.ค.!K52+ส.ค.!K52+ก.ย.!K52</f>
        <v>0</v>
      </c>
      <c r="L52" s="269">
        <f>+ก.ค.!L52+ส.ค.!L52+ก.ย.!L52</f>
        <v>0</v>
      </c>
      <c r="M52" s="269">
        <f>+ก.ค.!M52+ส.ค.!M52+ก.ย.!M52</f>
        <v>150000</v>
      </c>
      <c r="N52" s="269">
        <f>+ก.ค.!N52+ส.ค.!N52+ก.ย.!N52</f>
        <v>0</v>
      </c>
      <c r="O52" s="269">
        <f>+ก.ค.!O52+ส.ค.!O52+ก.ย.!O52</f>
        <v>0</v>
      </c>
      <c r="P52" s="269">
        <f>+ก.ค.!P52+ส.ค.!P52+ก.ย.!P52</f>
        <v>0</v>
      </c>
      <c r="Q52" s="269">
        <f>+ก.ค.!Q52+ส.ค.!Q52+ก.ย.!Q52</f>
        <v>0</v>
      </c>
      <c r="R52" s="269">
        <f>+ก.ค.!R52+ส.ค.!R52+ก.ย.!R52</f>
        <v>0</v>
      </c>
      <c r="S52" s="269">
        <f>+ก.ค.!S52+ส.ค.!S52+ก.ย.!S52</f>
        <v>0</v>
      </c>
      <c r="T52" s="269">
        <f>+ก.ค.!T52+ส.ค.!T52+ก.ย.!T52</f>
        <v>0</v>
      </c>
      <c r="U52" s="269">
        <f>+ก.ค.!U52+ส.ค.!U52+ก.ย.!U52</f>
        <v>0</v>
      </c>
      <c r="V52" s="269">
        <f>+ก.ค.!V52+ส.ค.!V52+ก.ย.!V52</f>
        <v>0</v>
      </c>
      <c r="X52" s="221"/>
    </row>
    <row r="53" spans="1:24" s="310" customFormat="1" ht="25.5" customHeight="1">
      <c r="A53" s="5"/>
      <c r="B53" s="130" t="s">
        <v>223</v>
      </c>
      <c r="C53" s="281">
        <v>200000</v>
      </c>
      <c r="D53" s="133"/>
      <c r="E53" s="269">
        <f>+ก.ค.!E53+ส.ค.!E53+ก.ย.!E53</f>
        <v>100000</v>
      </c>
      <c r="F53" s="269">
        <f>+ก.ค.!F53+ส.ค.!F53+ก.ย.!F53</f>
        <v>0</v>
      </c>
      <c r="G53" s="269">
        <f>+ก.ค.!G53+ส.ค.!G53+ก.ย.!G53</f>
        <v>0</v>
      </c>
      <c r="H53" s="269">
        <f>+ก.ค.!H53+ส.ค.!H53+ก.ย.!H53</f>
        <v>0</v>
      </c>
      <c r="I53" s="269">
        <f>+ก.ค.!I53+ส.ค.!I53+ก.ย.!I53</f>
        <v>0</v>
      </c>
      <c r="J53" s="269">
        <f>+ก.ค.!J53+ส.ค.!J53+ก.ย.!J53</f>
        <v>0</v>
      </c>
      <c r="K53" s="269">
        <f>+ก.ค.!K53+ส.ค.!K53+ก.ย.!K53</f>
        <v>0</v>
      </c>
      <c r="L53" s="269">
        <f>+ก.ค.!L53+ส.ค.!L53+ก.ย.!L53</f>
        <v>0</v>
      </c>
      <c r="M53" s="269">
        <f>+ก.ค.!M53+ส.ค.!M53+ก.ย.!M53</f>
        <v>0</v>
      </c>
      <c r="N53" s="269">
        <f>+ก.ค.!N53+ส.ค.!N53+ก.ย.!N53</f>
        <v>0</v>
      </c>
      <c r="O53" s="269">
        <f>+ก.ค.!O53+ส.ค.!O53+ก.ย.!O53</f>
        <v>0</v>
      </c>
      <c r="P53" s="269">
        <f>+ก.ค.!P53+ส.ค.!P53+ก.ย.!P53</f>
        <v>0</v>
      </c>
      <c r="Q53" s="269">
        <f>+ก.ค.!Q53+ส.ค.!Q53+ก.ย.!Q53</f>
        <v>0</v>
      </c>
      <c r="R53" s="269">
        <f>+ก.ค.!R53+ส.ค.!R53+ก.ย.!R53</f>
        <v>0</v>
      </c>
      <c r="S53" s="269">
        <f>+ก.ค.!S53+ส.ค.!S53+ก.ย.!S53</f>
        <v>0</v>
      </c>
      <c r="T53" s="269">
        <f>+ก.ค.!T53+ส.ค.!T53+ก.ย.!T53</f>
        <v>0</v>
      </c>
      <c r="U53" s="269">
        <f>+ก.ค.!U53+ส.ค.!U53+ก.ย.!U53</f>
        <v>0</v>
      </c>
      <c r="V53" s="269">
        <f>+ก.ค.!V53+ส.ค.!V53+ก.ย.!V53</f>
        <v>0</v>
      </c>
      <c r="X53" s="221"/>
    </row>
    <row r="54" spans="1:24" s="310" customFormat="1" ht="25.5" customHeight="1">
      <c r="A54" s="5"/>
      <c r="B54" s="130" t="s">
        <v>224</v>
      </c>
      <c r="C54" s="281">
        <v>20000</v>
      </c>
      <c r="D54" s="133"/>
      <c r="E54" s="269">
        <f>+ก.ค.!E54+ส.ค.!E54+ก.ย.!E54</f>
        <v>7500</v>
      </c>
      <c r="F54" s="269">
        <f>+ก.ค.!F54+ส.ค.!F54+ก.ย.!F54</f>
        <v>0</v>
      </c>
      <c r="G54" s="269">
        <f>+ก.ค.!G54+ส.ค.!G54+ก.ย.!G54</f>
        <v>0</v>
      </c>
      <c r="H54" s="269">
        <f>+ก.ค.!H54+ส.ค.!H54+ก.ย.!H54</f>
        <v>0</v>
      </c>
      <c r="I54" s="269">
        <f>+ก.ค.!I54+ส.ค.!I54+ก.ย.!I54</f>
        <v>0</v>
      </c>
      <c r="J54" s="269">
        <f>+ก.ค.!J54+ส.ค.!J54+ก.ย.!J54</f>
        <v>0</v>
      </c>
      <c r="K54" s="269">
        <f>+ก.ค.!K54+ส.ค.!K54+ก.ย.!K54</f>
        <v>0</v>
      </c>
      <c r="L54" s="269">
        <f>+ก.ค.!L54+ส.ค.!L54+ก.ย.!L54</f>
        <v>0</v>
      </c>
      <c r="M54" s="269">
        <f>+ก.ค.!M54+ส.ค.!M54+ก.ย.!M54</f>
        <v>0</v>
      </c>
      <c r="N54" s="269">
        <f>+ก.ค.!N54+ส.ค.!N54+ก.ย.!N54</f>
        <v>0</v>
      </c>
      <c r="O54" s="269">
        <f>+ก.ค.!O54+ส.ค.!O54+ก.ย.!O54</f>
        <v>0</v>
      </c>
      <c r="P54" s="269">
        <f>+ก.ค.!P54+ส.ค.!P54+ก.ย.!P54</f>
        <v>0</v>
      </c>
      <c r="Q54" s="269">
        <f>+ก.ค.!Q54+ส.ค.!Q54+ก.ย.!Q54</f>
        <v>0</v>
      </c>
      <c r="R54" s="269">
        <f>+ก.ค.!R54+ส.ค.!R54+ก.ย.!R54</f>
        <v>0</v>
      </c>
      <c r="S54" s="269">
        <f>+ก.ค.!S54+ส.ค.!S54+ก.ย.!S54</f>
        <v>0</v>
      </c>
      <c r="T54" s="269">
        <f>+ก.ค.!T54+ส.ค.!T54+ก.ย.!T54</f>
        <v>0</v>
      </c>
      <c r="U54" s="269">
        <f>+ก.ค.!U54+ส.ค.!U54+ก.ย.!U54</f>
        <v>0</v>
      </c>
      <c r="V54" s="269">
        <f>+ก.ค.!V54+ส.ค.!V54+ก.ย.!V54</f>
        <v>0</v>
      </c>
      <c r="X54" s="221"/>
    </row>
    <row r="55" spans="1:24" s="310" customFormat="1" ht="25.5" customHeight="1">
      <c r="A55" s="5"/>
      <c r="B55" s="130" t="s">
        <v>225</v>
      </c>
      <c r="C55" s="281">
        <f>10000+14000</f>
        <v>24000</v>
      </c>
      <c r="D55" s="133"/>
      <c r="E55" s="269">
        <f>+ก.ค.!E55+ส.ค.!E55+ก.ย.!E55</f>
        <v>0</v>
      </c>
      <c r="F55" s="269">
        <f>+ก.ค.!F55+ส.ค.!F55+ก.ย.!F55</f>
        <v>0</v>
      </c>
      <c r="G55" s="269">
        <f>+ก.ค.!G55+ส.ค.!G55+ก.ย.!G55</f>
        <v>0</v>
      </c>
      <c r="H55" s="269">
        <f>+ก.ค.!H55+ส.ค.!H55+ก.ย.!H55</f>
        <v>0</v>
      </c>
      <c r="I55" s="269">
        <f>+ก.ค.!I55+ส.ค.!I55+ก.ย.!I55</f>
        <v>0</v>
      </c>
      <c r="J55" s="269">
        <f>+ก.ค.!J55+ส.ค.!J55+ก.ย.!J55</f>
        <v>0</v>
      </c>
      <c r="K55" s="269">
        <f>+ก.ค.!K55+ส.ค.!K55+ก.ย.!K55</f>
        <v>0</v>
      </c>
      <c r="L55" s="269">
        <f>+ก.ค.!L55+ส.ค.!L55+ก.ย.!L55</f>
        <v>0</v>
      </c>
      <c r="M55" s="269">
        <f>+ก.ค.!M55+ส.ค.!M55+ก.ย.!M55</f>
        <v>0</v>
      </c>
      <c r="N55" s="269">
        <f>+ก.ค.!N55+ส.ค.!N55+ก.ย.!N55</f>
        <v>0</v>
      </c>
      <c r="O55" s="269">
        <f>+ก.ค.!O55+ส.ค.!O55+ก.ย.!O55</f>
        <v>0</v>
      </c>
      <c r="P55" s="269">
        <f>+ก.ค.!P55+ส.ค.!P55+ก.ย.!P55</f>
        <v>0</v>
      </c>
      <c r="Q55" s="269">
        <f>+ก.ค.!Q55+ส.ค.!Q55+ก.ย.!Q55</f>
        <v>0</v>
      </c>
      <c r="R55" s="269">
        <f>+ก.ค.!R55+ส.ค.!R55+ก.ย.!R55</f>
        <v>0</v>
      </c>
      <c r="S55" s="269">
        <f>+ก.ค.!S55+ส.ค.!S55+ก.ย.!S55</f>
        <v>0</v>
      </c>
      <c r="T55" s="269">
        <f>+ก.ค.!T55+ส.ค.!T55+ก.ย.!T55</f>
        <v>0</v>
      </c>
      <c r="U55" s="269">
        <f>+ก.ค.!U55+ส.ค.!U55+ก.ย.!U55</f>
        <v>0</v>
      </c>
      <c r="V55" s="269">
        <f>+ก.ค.!V55+ส.ค.!V55+ก.ย.!V55</f>
        <v>0</v>
      </c>
      <c r="X55" s="221"/>
    </row>
    <row r="56" spans="1:24" s="310" customFormat="1" ht="25.5" customHeight="1">
      <c r="A56" s="5"/>
      <c r="B56" s="130" t="s">
        <v>227</v>
      </c>
      <c r="C56" s="281">
        <v>40000</v>
      </c>
      <c r="D56" s="133"/>
      <c r="E56" s="269">
        <f>+ก.ค.!E56+ส.ค.!E56+ก.ย.!E56</f>
        <v>0</v>
      </c>
      <c r="F56" s="269">
        <f>+ก.ค.!F56+ส.ค.!F56+ก.ย.!F56</f>
        <v>0</v>
      </c>
      <c r="G56" s="269">
        <f>+ก.ค.!G56+ส.ค.!G56+ก.ย.!G56</f>
        <v>0</v>
      </c>
      <c r="H56" s="269">
        <f>+ก.ค.!H56+ส.ค.!H56+ก.ย.!H56</f>
        <v>0</v>
      </c>
      <c r="I56" s="269">
        <f>+ก.ค.!I56+ส.ค.!I56+ก.ย.!I56</f>
        <v>0</v>
      </c>
      <c r="J56" s="269">
        <f>+ก.ค.!J56+ส.ค.!J56+ก.ย.!J56</f>
        <v>0</v>
      </c>
      <c r="K56" s="269">
        <f>+ก.ค.!K56+ส.ค.!K56+ก.ย.!K56</f>
        <v>0</v>
      </c>
      <c r="L56" s="269">
        <f>+ก.ค.!L56+ส.ค.!L56+ก.ย.!L56</f>
        <v>0</v>
      </c>
      <c r="M56" s="269">
        <f>+ก.ค.!M56+ส.ค.!M56+ก.ย.!M56</f>
        <v>0</v>
      </c>
      <c r="N56" s="269">
        <f>+ก.ค.!N56+ส.ค.!N56+ก.ย.!N56</f>
        <v>0</v>
      </c>
      <c r="O56" s="269">
        <f>+ก.ค.!O56+ส.ค.!O56+ก.ย.!O56</f>
        <v>0</v>
      </c>
      <c r="P56" s="269">
        <f>+ก.ค.!P56+ส.ค.!P56+ก.ย.!P56</f>
        <v>0</v>
      </c>
      <c r="Q56" s="269">
        <f>+ก.ค.!Q56+ส.ค.!Q56+ก.ย.!Q56</f>
        <v>0</v>
      </c>
      <c r="R56" s="269">
        <f>+ก.ค.!R56+ส.ค.!R56+ก.ย.!R56</f>
        <v>0</v>
      </c>
      <c r="S56" s="269">
        <f>+ก.ค.!S56+ส.ค.!S56+ก.ย.!S56</f>
        <v>0</v>
      </c>
      <c r="T56" s="269">
        <f>+ก.ค.!T56+ส.ค.!T56+ก.ย.!T56</f>
        <v>0</v>
      </c>
      <c r="U56" s="269">
        <f>+ก.ค.!U56+ส.ค.!U56+ก.ย.!U56</f>
        <v>0</v>
      </c>
      <c r="V56" s="269">
        <f>+ก.ค.!V56+ส.ค.!V56+ก.ย.!V56</f>
        <v>0</v>
      </c>
      <c r="X56" s="221"/>
    </row>
    <row r="57" spans="1:24" s="310" customFormat="1" ht="25.5" customHeight="1">
      <c r="A57" s="5"/>
      <c r="B57" s="130" t="s">
        <v>228</v>
      </c>
      <c r="C57" s="281">
        <v>9000</v>
      </c>
      <c r="D57" s="133"/>
      <c r="E57" s="269">
        <f>+ก.ค.!E57+ส.ค.!E57+ก.ย.!E57</f>
        <v>0</v>
      </c>
      <c r="F57" s="269">
        <f>+ก.ค.!F57+ส.ค.!F57+ก.ย.!F57</f>
        <v>0</v>
      </c>
      <c r="G57" s="269">
        <f>+ก.ค.!G57+ส.ค.!G57+ก.ย.!G57</f>
        <v>0</v>
      </c>
      <c r="H57" s="269">
        <f>+ก.ค.!H57+ส.ค.!H57+ก.ย.!H57</f>
        <v>0</v>
      </c>
      <c r="I57" s="269">
        <f>+ก.ค.!I57+ส.ค.!I57+ก.ย.!I57</f>
        <v>0</v>
      </c>
      <c r="J57" s="269">
        <f>+ก.ค.!J57+ส.ค.!J57+ก.ย.!J57</f>
        <v>0</v>
      </c>
      <c r="K57" s="269">
        <f>+ก.ค.!K57+ส.ค.!K57+ก.ย.!K57</f>
        <v>0</v>
      </c>
      <c r="L57" s="269">
        <f>+ก.ค.!L57+ส.ค.!L57+ก.ย.!L57</f>
        <v>0</v>
      </c>
      <c r="M57" s="269">
        <f>+ก.ค.!M57+ส.ค.!M57+ก.ย.!M57</f>
        <v>0</v>
      </c>
      <c r="N57" s="269">
        <f>+ก.ค.!N57+ส.ค.!N57+ก.ย.!N57</f>
        <v>0</v>
      </c>
      <c r="O57" s="269">
        <f>+ก.ค.!O57+ส.ค.!O57+ก.ย.!O57</f>
        <v>0</v>
      </c>
      <c r="P57" s="269">
        <f>+ก.ค.!P57+ส.ค.!P57+ก.ย.!P57</f>
        <v>0</v>
      </c>
      <c r="Q57" s="269">
        <f>+ก.ค.!Q57+ส.ค.!Q57+ก.ย.!Q57</f>
        <v>0</v>
      </c>
      <c r="R57" s="269">
        <f>+ก.ค.!R57+ส.ค.!R57+ก.ย.!R57</f>
        <v>0</v>
      </c>
      <c r="S57" s="269">
        <f>+ก.ค.!S57+ส.ค.!S57+ก.ย.!S57</f>
        <v>0</v>
      </c>
      <c r="T57" s="269">
        <f>+ก.ค.!T57+ส.ค.!T57+ก.ย.!T57</f>
        <v>0</v>
      </c>
      <c r="U57" s="269">
        <f>+ก.ค.!U57+ส.ค.!U57+ก.ย.!U57</f>
        <v>0</v>
      </c>
      <c r="V57" s="269">
        <f>+ก.ค.!V57+ส.ค.!V57+ก.ย.!V57</f>
        <v>0</v>
      </c>
      <c r="X57" s="221"/>
    </row>
    <row r="58" spans="1:24" s="310" customFormat="1" ht="25.5" customHeight="1">
      <c r="A58" s="5"/>
      <c r="B58" s="130" t="s">
        <v>11</v>
      </c>
      <c r="C58" s="281">
        <f>10000+60000+20000</f>
        <v>90000</v>
      </c>
      <c r="D58" s="133"/>
      <c r="E58" s="269">
        <f>+ก.ค.!E58+ส.ค.!E58+ก.ย.!E58</f>
        <v>21429</v>
      </c>
      <c r="F58" s="269">
        <f>+ก.ค.!F58+ส.ค.!F58+ก.ย.!F58</f>
        <v>0</v>
      </c>
      <c r="G58" s="269">
        <f>+ก.ค.!G58+ส.ค.!G58+ก.ย.!G58</f>
        <v>0</v>
      </c>
      <c r="H58" s="269">
        <f>+ก.ค.!H58+ส.ค.!H58+ก.ย.!H58</f>
        <v>0</v>
      </c>
      <c r="I58" s="269">
        <f>+ก.ค.!I58+ส.ค.!I58+ก.ย.!I58</f>
        <v>0</v>
      </c>
      <c r="J58" s="269">
        <f>+ก.ค.!J58+ส.ค.!J58+ก.ย.!J58</f>
        <v>0</v>
      </c>
      <c r="K58" s="269">
        <f>+ก.ค.!K58+ส.ค.!K58+ก.ย.!K58</f>
        <v>0</v>
      </c>
      <c r="L58" s="269">
        <f>+ก.ค.!L58+ส.ค.!L58+ก.ย.!L58</f>
        <v>0</v>
      </c>
      <c r="M58" s="269">
        <f>+ก.ค.!M58+ส.ค.!M58+ก.ย.!M58</f>
        <v>0</v>
      </c>
      <c r="N58" s="269">
        <f>+ก.ค.!N58+ส.ค.!N58+ก.ย.!N58</f>
        <v>0</v>
      </c>
      <c r="O58" s="269">
        <f>+ก.ค.!O58+ส.ค.!O58+ก.ย.!O58</f>
        <v>0</v>
      </c>
      <c r="P58" s="269">
        <f>+ก.ค.!P58+ส.ค.!P58+ก.ย.!P58</f>
        <v>0</v>
      </c>
      <c r="Q58" s="269">
        <f>+ก.ค.!Q58+ส.ค.!Q58+ก.ย.!Q58</f>
        <v>0</v>
      </c>
      <c r="R58" s="269">
        <f>+ก.ค.!R58+ส.ค.!R58+ก.ย.!R58</f>
        <v>0</v>
      </c>
      <c r="S58" s="269">
        <f>+ก.ค.!S58+ส.ค.!S58+ก.ย.!S58</f>
        <v>0</v>
      </c>
      <c r="T58" s="269">
        <f>+ก.ค.!T58+ส.ค.!T58+ก.ย.!T58</f>
        <v>0</v>
      </c>
      <c r="U58" s="269">
        <f>+ก.ค.!U58+ส.ค.!U58+ก.ย.!U58</f>
        <v>0</v>
      </c>
      <c r="V58" s="269">
        <f>+ก.ค.!V58+ส.ค.!V58+ก.ย.!V58</f>
        <v>0</v>
      </c>
      <c r="X58" s="221"/>
    </row>
    <row r="59" spans="1:24" s="310" customFormat="1" ht="25.5" customHeight="1">
      <c r="A59" s="5"/>
      <c r="B59" s="130" t="s">
        <v>229</v>
      </c>
      <c r="C59" s="281">
        <v>10000</v>
      </c>
      <c r="D59" s="133"/>
      <c r="E59" s="269">
        <f>+ก.ค.!E59+ส.ค.!E59+ก.ย.!E59</f>
        <v>12510</v>
      </c>
      <c r="F59" s="269">
        <f>+ก.ค.!F59+ส.ค.!F59+ก.ย.!F59</f>
        <v>0</v>
      </c>
      <c r="G59" s="269">
        <f>+ก.ค.!G59+ส.ค.!G59+ก.ย.!G59</f>
        <v>0</v>
      </c>
      <c r="H59" s="269">
        <f>+ก.ค.!H59+ส.ค.!H59+ก.ย.!H59</f>
        <v>0</v>
      </c>
      <c r="I59" s="269">
        <f>+ก.ค.!I59+ส.ค.!I59+ก.ย.!I59</f>
        <v>0</v>
      </c>
      <c r="J59" s="269">
        <f>+ก.ค.!J59+ส.ค.!J59+ก.ย.!J59</f>
        <v>0</v>
      </c>
      <c r="K59" s="269">
        <f>+ก.ค.!K59+ส.ค.!K59+ก.ย.!K59</f>
        <v>0</v>
      </c>
      <c r="L59" s="269">
        <f>+ก.ค.!L59+ส.ค.!L59+ก.ย.!L59</f>
        <v>0</v>
      </c>
      <c r="M59" s="269">
        <f>+ก.ค.!M59+ส.ค.!M59+ก.ย.!M59</f>
        <v>0</v>
      </c>
      <c r="N59" s="269">
        <f>+ก.ค.!N59+ส.ค.!N59+ก.ย.!N59</f>
        <v>0</v>
      </c>
      <c r="O59" s="269">
        <f>+ก.ค.!O59+ส.ค.!O59+ก.ย.!O59</f>
        <v>0</v>
      </c>
      <c r="P59" s="269">
        <f>+ก.ค.!P59+ส.ค.!P59+ก.ย.!P59</f>
        <v>0</v>
      </c>
      <c r="Q59" s="269">
        <f>+ก.ค.!Q59+ส.ค.!Q59+ก.ย.!Q59</f>
        <v>0</v>
      </c>
      <c r="R59" s="269">
        <f>+ก.ค.!R59+ส.ค.!R59+ก.ย.!R59</f>
        <v>0</v>
      </c>
      <c r="S59" s="269">
        <f>+ก.ค.!S59+ส.ค.!S59+ก.ย.!S59</f>
        <v>0</v>
      </c>
      <c r="T59" s="269">
        <f>+ก.ค.!T59+ส.ค.!T59+ก.ย.!T59</f>
        <v>0</v>
      </c>
      <c r="U59" s="269">
        <f>+ก.ค.!U59+ส.ค.!U59+ก.ย.!U59</f>
        <v>0</v>
      </c>
      <c r="V59" s="269">
        <f>+ก.ค.!V59+ส.ค.!V59+ก.ย.!V59</f>
        <v>0</v>
      </c>
      <c r="X59" s="221"/>
    </row>
    <row r="60" spans="1:24" s="310" customFormat="1" ht="25.5" customHeight="1">
      <c r="A60" s="5"/>
      <c r="B60" s="130" t="s">
        <v>230</v>
      </c>
      <c r="C60" s="281">
        <v>20000</v>
      </c>
      <c r="D60" s="133"/>
      <c r="E60" s="269">
        <f>+ก.ค.!E60+ส.ค.!E60+ก.ย.!E60</f>
        <v>7299</v>
      </c>
      <c r="F60" s="269">
        <f>+ก.ค.!F60+ส.ค.!F60+ก.ย.!F60</f>
        <v>0</v>
      </c>
      <c r="G60" s="269">
        <f>+ก.ค.!G60+ส.ค.!G60+ก.ย.!G60</f>
        <v>0</v>
      </c>
      <c r="H60" s="269">
        <f>+ก.ค.!H60+ส.ค.!H60+ก.ย.!H60</f>
        <v>0</v>
      </c>
      <c r="I60" s="269">
        <f>+ก.ค.!I60+ส.ค.!I60+ก.ย.!I60</f>
        <v>0</v>
      </c>
      <c r="J60" s="269">
        <f>+ก.ค.!J60+ส.ค.!J60+ก.ย.!J60</f>
        <v>0</v>
      </c>
      <c r="K60" s="269">
        <f>+ก.ค.!K60+ส.ค.!K60+ก.ย.!K60</f>
        <v>0</v>
      </c>
      <c r="L60" s="269">
        <f>+ก.ค.!L60+ส.ค.!L60+ก.ย.!L60</f>
        <v>0</v>
      </c>
      <c r="M60" s="269">
        <f>+ก.ค.!M60+ส.ค.!M60+ก.ย.!M60</f>
        <v>0</v>
      </c>
      <c r="N60" s="269">
        <f>+ก.ค.!N60+ส.ค.!N60+ก.ย.!N60</f>
        <v>0</v>
      </c>
      <c r="O60" s="269">
        <f>+ก.ค.!O60+ส.ค.!O60+ก.ย.!O60</f>
        <v>0</v>
      </c>
      <c r="P60" s="269">
        <f>+ก.ค.!P60+ส.ค.!P60+ก.ย.!P60</f>
        <v>0</v>
      </c>
      <c r="Q60" s="269">
        <f>+ก.ค.!Q60+ส.ค.!Q60+ก.ย.!Q60</f>
        <v>0</v>
      </c>
      <c r="R60" s="269">
        <f>+ก.ค.!R60+ส.ค.!R60+ก.ย.!R60</f>
        <v>0</v>
      </c>
      <c r="S60" s="269">
        <f>+ก.ค.!S60+ส.ค.!S60+ก.ย.!S60</f>
        <v>0</v>
      </c>
      <c r="T60" s="269">
        <f>+ก.ค.!T60+ส.ค.!T60+ก.ย.!T60</f>
        <v>0</v>
      </c>
      <c r="U60" s="269">
        <f>+ก.ค.!U60+ส.ค.!U60+ก.ย.!U60</f>
        <v>0</v>
      </c>
      <c r="V60" s="269">
        <f>+ก.ค.!V60+ส.ค.!V60+ก.ย.!V60</f>
        <v>0</v>
      </c>
      <c r="X60" s="221"/>
    </row>
    <row r="61" spans="1:24" s="310" customFormat="1" ht="25.5" customHeight="1">
      <c r="A61" s="9"/>
      <c r="B61" s="130" t="s">
        <v>50</v>
      </c>
      <c r="C61" s="280">
        <f>10000-10000</f>
        <v>0</v>
      </c>
      <c r="D61" s="133"/>
      <c r="E61" s="269">
        <f>+ก.ค.!E61+ส.ค.!E61+ก.ย.!E61</f>
        <v>0</v>
      </c>
      <c r="F61" s="269">
        <f>+ก.ค.!F61+ส.ค.!F61+ก.ย.!F61</f>
        <v>0</v>
      </c>
      <c r="G61" s="269">
        <f>+ก.ค.!G61+ส.ค.!G61+ก.ย.!G61</f>
        <v>0</v>
      </c>
      <c r="H61" s="269">
        <f>+ก.ค.!H61+ส.ค.!H61+ก.ย.!H61</f>
        <v>0</v>
      </c>
      <c r="I61" s="269">
        <f>+ก.ค.!I61+ส.ค.!I61+ก.ย.!I61</f>
        <v>0</v>
      </c>
      <c r="J61" s="269">
        <f>+ก.ค.!J61+ส.ค.!J61+ก.ย.!J61</f>
        <v>0</v>
      </c>
      <c r="K61" s="269">
        <f>+ก.ค.!K61+ส.ค.!K61+ก.ย.!K61</f>
        <v>0</v>
      </c>
      <c r="L61" s="269">
        <f>+ก.ค.!L61+ส.ค.!L61+ก.ย.!L61</f>
        <v>0</v>
      </c>
      <c r="M61" s="269">
        <f>+ก.ค.!M61+ส.ค.!M61+ก.ย.!M61</f>
        <v>0</v>
      </c>
      <c r="N61" s="269">
        <f>+ก.ค.!N61+ส.ค.!N61+ก.ย.!N61</f>
        <v>0</v>
      </c>
      <c r="O61" s="269">
        <f>+ก.ค.!O61+ส.ค.!O61+ก.ย.!O61</f>
        <v>0</v>
      </c>
      <c r="P61" s="269">
        <f>+ก.ค.!P61+ส.ค.!P61+ก.ย.!P61</f>
        <v>0</v>
      </c>
      <c r="Q61" s="269">
        <f>+ก.ค.!Q61+ส.ค.!Q61+ก.ย.!Q61</f>
        <v>0</v>
      </c>
      <c r="R61" s="269">
        <f>+ก.ค.!R61+ส.ค.!R61+ก.ย.!R61</f>
        <v>0</v>
      </c>
      <c r="S61" s="269">
        <f>+ก.ค.!S61+ส.ค.!S61+ก.ย.!S61</f>
        <v>0</v>
      </c>
      <c r="T61" s="269">
        <f>+ก.ค.!T61+ส.ค.!T61+ก.ย.!T61</f>
        <v>0</v>
      </c>
      <c r="U61" s="269">
        <f>+ก.ค.!U61+ส.ค.!U61+ก.ย.!U61</f>
        <v>0</v>
      </c>
      <c r="V61" s="269">
        <f>+ก.ค.!V61+ส.ค.!V61+ก.ย.!V61</f>
        <v>0</v>
      </c>
      <c r="X61" s="221"/>
    </row>
    <row r="62" spans="1:24" s="310" customFormat="1" ht="25.5" customHeight="1">
      <c r="A62" s="9"/>
      <c r="B62" s="130" t="s">
        <v>103</v>
      </c>
      <c r="C62" s="280">
        <v>10000</v>
      </c>
      <c r="D62" s="131"/>
      <c r="E62" s="269">
        <f>+ก.ค.!E62+ส.ค.!E62+ก.ย.!E62</f>
        <v>0</v>
      </c>
      <c r="F62" s="269">
        <f>+ก.ค.!F62+ส.ค.!F62+ก.ย.!F62</f>
        <v>0</v>
      </c>
      <c r="G62" s="269">
        <f>+ก.ค.!G62+ส.ค.!G62+ก.ย.!G62</f>
        <v>0</v>
      </c>
      <c r="H62" s="269">
        <f>+ก.ค.!H62+ส.ค.!H62+ก.ย.!H62</f>
        <v>0</v>
      </c>
      <c r="I62" s="269">
        <f>+ก.ค.!I62+ส.ค.!I62+ก.ย.!I62</f>
        <v>0</v>
      </c>
      <c r="J62" s="269">
        <f>+ก.ค.!J62+ส.ค.!J62+ก.ย.!J62</f>
        <v>0</v>
      </c>
      <c r="K62" s="269">
        <f>+ก.ค.!K62+ส.ค.!K62+ก.ย.!K62</f>
        <v>0</v>
      </c>
      <c r="L62" s="269">
        <f>+ก.ค.!L62+ส.ค.!L62+ก.ย.!L62</f>
        <v>0</v>
      </c>
      <c r="M62" s="269">
        <f>+ก.ค.!M62+ส.ค.!M62+ก.ย.!M62</f>
        <v>0</v>
      </c>
      <c r="N62" s="269">
        <f>+ก.ค.!N62+ส.ค.!N62+ก.ย.!N62</f>
        <v>0</v>
      </c>
      <c r="O62" s="269">
        <f>+ก.ค.!O62+ส.ค.!O62+ก.ย.!O62</f>
        <v>0</v>
      </c>
      <c r="P62" s="269">
        <f>+ก.ค.!P62+ส.ค.!P62+ก.ย.!P62</f>
        <v>0</v>
      </c>
      <c r="Q62" s="269">
        <f>+ก.ค.!Q62+ส.ค.!Q62+ก.ย.!Q62</f>
        <v>0</v>
      </c>
      <c r="R62" s="269">
        <f>+ก.ค.!R62+ส.ค.!R62+ก.ย.!R62</f>
        <v>0</v>
      </c>
      <c r="S62" s="269">
        <f>+ก.ค.!S62+ส.ค.!S62+ก.ย.!S62</f>
        <v>0</v>
      </c>
      <c r="T62" s="269">
        <f>+ก.ค.!T62+ส.ค.!T62+ก.ย.!T62</f>
        <v>0</v>
      </c>
      <c r="U62" s="269">
        <f>+ก.ค.!U62+ส.ค.!U62+ก.ย.!U62</f>
        <v>0</v>
      </c>
      <c r="V62" s="269">
        <f>+ก.ค.!V62+ส.ค.!V62+ก.ย.!V62</f>
        <v>0</v>
      </c>
      <c r="X62" s="221"/>
    </row>
    <row r="63" spans="1:24" s="310" customFormat="1" ht="25.5" customHeight="1">
      <c r="A63" s="9"/>
      <c r="B63" s="187" t="s">
        <v>106</v>
      </c>
      <c r="C63" s="283">
        <f>200000+30000+30000+80000+19000+1000+10000+2500+2500+2500+2500+20000+15000+5000</f>
        <v>420000</v>
      </c>
      <c r="D63" s="135"/>
      <c r="E63" s="269">
        <f>+ก.ค.!E63+ส.ค.!E63+ก.ย.!E63</f>
        <v>70152</v>
      </c>
      <c r="F63" s="269">
        <f>+ก.ค.!F63+ส.ค.!F63+ก.ย.!F63</f>
        <v>13012</v>
      </c>
      <c r="G63" s="269">
        <f>+ก.ค.!G63+ส.ค.!G63+ก.ย.!G63</f>
        <v>0</v>
      </c>
      <c r="H63" s="269">
        <f>+ก.ค.!H63+ส.ค.!H63+ก.ย.!H63</f>
        <v>18619</v>
      </c>
      <c r="I63" s="269">
        <f>+ก.ค.!I63+ส.ค.!I63+ก.ย.!I63</f>
        <v>0</v>
      </c>
      <c r="J63" s="269">
        <f>+ก.ค.!J63+ส.ค.!J63+ก.ย.!J63</f>
        <v>0</v>
      </c>
      <c r="K63" s="269">
        <f>+ก.ค.!K63+ส.ค.!K63+ก.ย.!K63</f>
        <v>0</v>
      </c>
      <c r="L63" s="269">
        <f>+ก.ค.!L63+ส.ค.!L63+ก.ย.!L63</f>
        <v>0</v>
      </c>
      <c r="M63" s="269">
        <f>+ก.ค.!M63+ส.ค.!M63+ก.ย.!M63</f>
        <v>2540</v>
      </c>
      <c r="N63" s="269">
        <f>+ก.ค.!N63+ส.ค.!N63+ก.ย.!N63</f>
        <v>0</v>
      </c>
      <c r="O63" s="269">
        <f>+ก.ค.!O63+ส.ค.!O63+ก.ย.!O63</f>
        <v>0</v>
      </c>
      <c r="P63" s="269">
        <f>+ก.ค.!P63+ส.ค.!P63+ก.ย.!P63</f>
        <v>0</v>
      </c>
      <c r="Q63" s="269">
        <f>+ก.ค.!Q63+ส.ค.!Q63+ก.ย.!Q63</f>
        <v>0</v>
      </c>
      <c r="R63" s="269">
        <f>+ก.ค.!R63+ส.ค.!R63+ก.ย.!R63</f>
        <v>0</v>
      </c>
      <c r="S63" s="269">
        <f>+ก.ค.!S63+ส.ค.!S63+ก.ย.!S63</f>
        <v>0</v>
      </c>
      <c r="T63" s="269">
        <f>+ก.ค.!T63+ส.ค.!T63+ก.ย.!T63</f>
        <v>0</v>
      </c>
      <c r="U63" s="269">
        <f>+ก.ค.!U63+ส.ค.!U63+ก.ย.!U63</f>
        <v>0</v>
      </c>
      <c r="V63" s="269">
        <f>+ก.ค.!V63+ส.ค.!V63+ก.ย.!V63</f>
        <v>0</v>
      </c>
      <c r="X63" s="221"/>
    </row>
    <row r="64" spans="1:24" s="310" customFormat="1" ht="25.5" customHeight="1">
      <c r="A64" s="9"/>
      <c r="B64" s="187" t="s">
        <v>231</v>
      </c>
      <c r="C64" s="283">
        <f>5000+8900</f>
        <v>13900</v>
      </c>
      <c r="D64" s="131"/>
      <c r="E64" s="269">
        <f>+ก.ค.!E64+ส.ค.!E64+ก.ย.!E64</f>
        <v>1600</v>
      </c>
      <c r="F64" s="269">
        <f>+ก.ค.!F64+ส.ค.!F64+ก.ย.!F64</f>
        <v>0</v>
      </c>
      <c r="G64" s="269">
        <f>+ก.ค.!G64+ส.ค.!G64+ก.ย.!G64</f>
        <v>0</v>
      </c>
      <c r="H64" s="269">
        <f>+ก.ค.!H64+ส.ค.!H64+ก.ย.!H64</f>
        <v>0</v>
      </c>
      <c r="I64" s="269">
        <f>+ก.ค.!I64+ส.ค.!I64+ก.ย.!I64</f>
        <v>0</v>
      </c>
      <c r="J64" s="269">
        <f>+ก.ค.!J64+ส.ค.!J64+ก.ย.!J64</f>
        <v>0</v>
      </c>
      <c r="K64" s="269">
        <f>+ก.ค.!K64+ส.ค.!K64+ก.ย.!K64</f>
        <v>0</v>
      </c>
      <c r="L64" s="269">
        <f>+ก.ค.!L64+ส.ค.!L64+ก.ย.!L64</f>
        <v>0</v>
      </c>
      <c r="M64" s="269">
        <f>+ก.ค.!M64+ส.ค.!M64+ก.ย.!M64</f>
        <v>0</v>
      </c>
      <c r="N64" s="269">
        <f>+ก.ค.!N64+ส.ค.!N64+ก.ย.!N64</f>
        <v>0</v>
      </c>
      <c r="O64" s="269">
        <f>+ก.ค.!O64+ส.ค.!O64+ก.ย.!O64</f>
        <v>0</v>
      </c>
      <c r="P64" s="269">
        <f>+ก.ค.!P64+ส.ค.!P64+ก.ย.!P64</f>
        <v>0</v>
      </c>
      <c r="Q64" s="269">
        <f>+ก.ค.!Q64+ส.ค.!Q64+ก.ย.!Q64</f>
        <v>0</v>
      </c>
      <c r="R64" s="269">
        <f>+ก.ค.!R64+ส.ค.!R64+ก.ย.!R64</f>
        <v>0</v>
      </c>
      <c r="S64" s="269">
        <f>+ก.ค.!S64+ส.ค.!S64+ก.ย.!S64</f>
        <v>0</v>
      </c>
      <c r="T64" s="269">
        <f>+ก.ค.!T64+ส.ค.!T64+ก.ย.!T64</f>
        <v>0</v>
      </c>
      <c r="U64" s="269">
        <f>+ก.ค.!U64+ส.ค.!U64+ก.ย.!U64</f>
        <v>0</v>
      </c>
      <c r="V64" s="269">
        <f>+ก.ค.!V64+ส.ค.!V64+ก.ย.!V64</f>
        <v>0</v>
      </c>
      <c r="X64" s="221"/>
    </row>
    <row r="65" spans="1:24" s="310" customFormat="1" ht="25.5" customHeight="1">
      <c r="A65" s="9"/>
      <c r="B65" s="187" t="s">
        <v>204</v>
      </c>
      <c r="C65" s="283">
        <v>5000</v>
      </c>
      <c r="D65" s="131"/>
      <c r="E65" s="269">
        <f>+ก.ค.!E65+ส.ค.!E65+ก.ย.!E65</f>
        <v>0</v>
      </c>
      <c r="F65" s="269">
        <f>+ก.ค.!F65+ส.ค.!F65+ก.ย.!F65</f>
        <v>0</v>
      </c>
      <c r="G65" s="269">
        <f>+ก.ค.!G65+ส.ค.!G65+ก.ย.!G65</f>
        <v>0</v>
      </c>
      <c r="H65" s="269">
        <f>+ก.ค.!H65+ส.ค.!H65+ก.ย.!H65</f>
        <v>0</v>
      </c>
      <c r="I65" s="269">
        <f>+ก.ค.!I65+ส.ค.!I65+ก.ย.!I65</f>
        <v>0</v>
      </c>
      <c r="J65" s="269">
        <f>+ก.ค.!J65+ส.ค.!J65+ก.ย.!J65</f>
        <v>0</v>
      </c>
      <c r="K65" s="269">
        <f>+ก.ค.!K65+ส.ค.!K65+ก.ย.!K65</f>
        <v>0</v>
      </c>
      <c r="L65" s="269">
        <f>+ก.ค.!L65+ส.ค.!L65+ก.ย.!L65</f>
        <v>0</v>
      </c>
      <c r="M65" s="269">
        <f>+ก.ค.!M65+ส.ค.!M65+ก.ย.!M65</f>
        <v>0</v>
      </c>
      <c r="N65" s="269">
        <f>+ก.ค.!N65+ส.ค.!N65+ก.ย.!N65</f>
        <v>0</v>
      </c>
      <c r="O65" s="269">
        <f>+ก.ค.!O65+ส.ค.!O65+ก.ย.!O65</f>
        <v>0</v>
      </c>
      <c r="P65" s="269">
        <f>+ก.ค.!P65+ส.ค.!P65+ก.ย.!P65</f>
        <v>0</v>
      </c>
      <c r="Q65" s="269">
        <f>+ก.ค.!Q65+ส.ค.!Q65+ก.ย.!Q65</f>
        <v>0</v>
      </c>
      <c r="R65" s="269">
        <f>+ก.ค.!R65+ส.ค.!R65+ก.ย.!R65</f>
        <v>0</v>
      </c>
      <c r="S65" s="269">
        <f>+ก.ค.!S65+ส.ค.!S65+ก.ย.!S65</f>
        <v>0</v>
      </c>
      <c r="T65" s="269">
        <f>+ก.ค.!T65+ส.ค.!T65+ก.ย.!T65</f>
        <v>0</v>
      </c>
      <c r="U65" s="269">
        <f>+ก.ค.!U65+ส.ค.!U65+ก.ย.!U65</f>
        <v>0</v>
      </c>
      <c r="V65" s="269">
        <f>+ก.ค.!V65+ส.ค.!V65+ก.ย.!V65</f>
        <v>0</v>
      </c>
      <c r="X65" s="221"/>
    </row>
    <row r="66" spans="1:24" s="310" customFormat="1" ht="25.5" customHeight="1">
      <c r="A66" s="9"/>
      <c r="B66" s="187" t="s">
        <v>232</v>
      </c>
      <c r="C66" s="283">
        <f>120000+100000-6400</f>
        <v>213600</v>
      </c>
      <c r="D66" s="131"/>
      <c r="E66" s="269">
        <f>+ก.ค.!E66+ส.ค.!E66+ก.ย.!E66</f>
        <v>0</v>
      </c>
      <c r="F66" s="269">
        <f>+ก.ค.!F66+ส.ค.!F66+ก.ย.!F66</f>
        <v>0</v>
      </c>
      <c r="G66" s="269">
        <f>+ก.ค.!G66+ส.ค.!G66+ก.ย.!G66</f>
        <v>0</v>
      </c>
      <c r="H66" s="269">
        <f>+ก.ค.!H66+ส.ค.!H66+ก.ย.!H66</f>
        <v>0</v>
      </c>
      <c r="I66" s="269">
        <f>+ก.ค.!I66+ส.ค.!I66+ก.ย.!I66</f>
        <v>0</v>
      </c>
      <c r="J66" s="269">
        <f>+ก.ค.!J66+ส.ค.!J66+ก.ย.!J66</f>
        <v>0</v>
      </c>
      <c r="K66" s="269">
        <f>+ก.ค.!K66+ส.ค.!K66+ก.ย.!K66</f>
        <v>0</v>
      </c>
      <c r="L66" s="269">
        <f>+ก.ค.!L66+ส.ค.!L66+ก.ย.!L66</f>
        <v>0</v>
      </c>
      <c r="M66" s="269">
        <f>+ก.ค.!M66+ส.ค.!M66+ก.ย.!M66</f>
        <v>0</v>
      </c>
      <c r="N66" s="269">
        <f>+ก.ค.!N66+ส.ค.!N66+ก.ย.!N66</f>
        <v>0</v>
      </c>
      <c r="O66" s="269">
        <f>+ก.ค.!O66+ส.ค.!O66+ก.ย.!O66</f>
        <v>0</v>
      </c>
      <c r="P66" s="269">
        <f>+ก.ค.!P66+ส.ค.!P66+ก.ย.!P66</f>
        <v>0</v>
      </c>
      <c r="Q66" s="269">
        <f>+ก.ค.!Q66+ส.ค.!Q66+ก.ย.!Q66</f>
        <v>0</v>
      </c>
      <c r="R66" s="269">
        <f>+ก.ค.!R66+ส.ค.!R66+ก.ย.!R66</f>
        <v>0</v>
      </c>
      <c r="S66" s="269">
        <f>+ก.ค.!S66+ส.ค.!S66+ก.ย.!S66</f>
        <v>0</v>
      </c>
      <c r="T66" s="269">
        <f>+ก.ค.!T66+ส.ค.!T66+ก.ย.!T66</f>
        <v>0</v>
      </c>
      <c r="U66" s="269">
        <f>+ก.ค.!U66+ส.ค.!U66+ก.ย.!U66</f>
        <v>0</v>
      </c>
      <c r="V66" s="269">
        <f>+ก.ค.!V66+ส.ค.!V66+ก.ย.!V66</f>
        <v>0</v>
      </c>
      <c r="X66" s="221"/>
    </row>
    <row r="67" spans="1:24" s="310" customFormat="1" ht="25.5" customHeight="1">
      <c r="A67" s="9"/>
      <c r="B67" s="187" t="s">
        <v>233</v>
      </c>
      <c r="C67" s="283">
        <f>125000-8900-16100-100000</f>
        <v>0</v>
      </c>
      <c r="D67" s="131"/>
      <c r="E67" s="269">
        <f>+ก.ค.!E67+ส.ค.!E67+ก.ย.!E67</f>
        <v>0</v>
      </c>
      <c r="F67" s="269">
        <f>+ก.ค.!F67+ส.ค.!F67+ก.ย.!F67</f>
        <v>0</v>
      </c>
      <c r="G67" s="269">
        <f>+ก.ค.!G67+ส.ค.!G67+ก.ย.!G67</f>
        <v>0</v>
      </c>
      <c r="H67" s="269">
        <f>+ก.ค.!H67+ส.ค.!H67+ก.ย.!H67</f>
        <v>0</v>
      </c>
      <c r="I67" s="269">
        <f>+ก.ค.!I67+ส.ค.!I67+ก.ย.!I67</f>
        <v>0</v>
      </c>
      <c r="J67" s="269">
        <f>+ก.ค.!J67+ส.ค.!J67+ก.ย.!J67</f>
        <v>0</v>
      </c>
      <c r="K67" s="269">
        <f>+ก.ค.!K67+ส.ค.!K67+ก.ย.!K67</f>
        <v>0</v>
      </c>
      <c r="L67" s="269">
        <f>+ก.ค.!L67+ส.ค.!L67+ก.ย.!L67</f>
        <v>0</v>
      </c>
      <c r="M67" s="269">
        <f>+ก.ค.!M67+ส.ค.!M67+ก.ย.!M67</f>
        <v>0</v>
      </c>
      <c r="N67" s="269">
        <f>+ก.ค.!N67+ส.ค.!N67+ก.ย.!N67</f>
        <v>0</v>
      </c>
      <c r="O67" s="269">
        <f>+ก.ค.!O67+ส.ค.!O67+ก.ย.!O67</f>
        <v>0</v>
      </c>
      <c r="P67" s="269">
        <f>+ก.ค.!P67+ส.ค.!P67+ก.ย.!P67</f>
        <v>0</v>
      </c>
      <c r="Q67" s="269">
        <f>+ก.ค.!Q67+ส.ค.!Q67+ก.ย.!Q67</f>
        <v>0</v>
      </c>
      <c r="R67" s="269">
        <f>+ก.ค.!R67+ส.ค.!R67+ก.ย.!R67</f>
        <v>0</v>
      </c>
      <c r="S67" s="269">
        <f>+ก.ค.!S67+ส.ค.!S67+ก.ย.!S67</f>
        <v>0</v>
      </c>
      <c r="T67" s="269">
        <f>+ก.ค.!T67+ส.ค.!T67+ก.ย.!T67</f>
        <v>0</v>
      </c>
      <c r="U67" s="269">
        <f>+ก.ค.!U67+ส.ค.!U67+ก.ย.!U67</f>
        <v>0</v>
      </c>
      <c r="V67" s="269">
        <f>+ก.ค.!V67+ส.ค.!V67+ก.ย.!V67</f>
        <v>0</v>
      </c>
      <c r="X67" s="221"/>
    </row>
    <row r="68" spans="1:24" s="310" customFormat="1" ht="25.5" customHeight="1">
      <c r="A68" s="9"/>
      <c r="B68" s="187" t="s">
        <v>234</v>
      </c>
      <c r="C68" s="283">
        <v>5000</v>
      </c>
      <c r="D68" s="131"/>
      <c r="E68" s="269">
        <f>+ก.ค.!E68+ส.ค.!E68+ก.ย.!E68</f>
        <v>0</v>
      </c>
      <c r="F68" s="269">
        <f>+ก.ค.!F68+ส.ค.!F68+ก.ย.!F68</f>
        <v>0</v>
      </c>
      <c r="G68" s="269">
        <f>+ก.ค.!G68+ส.ค.!G68+ก.ย.!G68</f>
        <v>0</v>
      </c>
      <c r="H68" s="269">
        <f>+ก.ค.!H68+ส.ค.!H68+ก.ย.!H68</f>
        <v>0</v>
      </c>
      <c r="I68" s="269">
        <f>+ก.ค.!I68+ส.ค.!I68+ก.ย.!I68</f>
        <v>0</v>
      </c>
      <c r="J68" s="269">
        <f>+ก.ค.!J68+ส.ค.!J68+ก.ย.!J68</f>
        <v>0</v>
      </c>
      <c r="K68" s="269">
        <f>+ก.ค.!K68+ส.ค.!K68+ก.ย.!K68</f>
        <v>0</v>
      </c>
      <c r="L68" s="269">
        <f>+ก.ค.!L68+ส.ค.!L68+ก.ย.!L68</f>
        <v>0</v>
      </c>
      <c r="M68" s="269">
        <f>+ก.ค.!M68+ส.ค.!M68+ก.ย.!M68</f>
        <v>0</v>
      </c>
      <c r="N68" s="269">
        <f>+ก.ค.!N68+ส.ค.!N68+ก.ย.!N68</f>
        <v>0</v>
      </c>
      <c r="O68" s="269">
        <f>+ก.ค.!O68+ส.ค.!O68+ก.ย.!O68</f>
        <v>0</v>
      </c>
      <c r="P68" s="269">
        <f>+ก.ค.!P68+ส.ค.!P68+ก.ย.!P68</f>
        <v>0</v>
      </c>
      <c r="Q68" s="269">
        <f>+ก.ค.!Q68+ส.ค.!Q68+ก.ย.!Q68</f>
        <v>0</v>
      </c>
      <c r="R68" s="269">
        <f>+ก.ค.!R68+ส.ค.!R68+ก.ย.!R68</f>
        <v>0</v>
      </c>
      <c r="S68" s="269">
        <f>+ก.ค.!S68+ส.ค.!S68+ก.ย.!S68</f>
        <v>0</v>
      </c>
      <c r="T68" s="269">
        <f>+ก.ค.!T68+ส.ค.!T68+ก.ย.!T68</f>
        <v>0</v>
      </c>
      <c r="U68" s="269">
        <f>+ก.ค.!U68+ส.ค.!U68+ก.ย.!U68</f>
        <v>0</v>
      </c>
      <c r="V68" s="269">
        <f>+ก.ค.!V68+ส.ค.!V68+ก.ย.!V68</f>
        <v>0</v>
      </c>
      <c r="X68" s="221"/>
    </row>
    <row r="69" spans="1:24" s="310" customFormat="1" ht="25.5" customHeight="1">
      <c r="A69" s="9"/>
      <c r="B69" s="187" t="s">
        <v>235</v>
      </c>
      <c r="C69" s="283">
        <v>90000</v>
      </c>
      <c r="D69" s="131"/>
      <c r="E69" s="269">
        <f>+ก.ค.!E69+ส.ค.!E69+ก.ย.!E69</f>
        <v>0</v>
      </c>
      <c r="F69" s="269">
        <f>+ก.ค.!F69+ส.ค.!F69+ก.ย.!F69</f>
        <v>0</v>
      </c>
      <c r="G69" s="269">
        <f>+ก.ค.!G69+ส.ค.!G69+ก.ย.!G69</f>
        <v>0</v>
      </c>
      <c r="H69" s="269">
        <f>+ก.ค.!H69+ส.ค.!H69+ก.ย.!H69</f>
        <v>0</v>
      </c>
      <c r="I69" s="269">
        <f>+ก.ค.!I69+ส.ค.!I69+ก.ย.!I69</f>
        <v>0</v>
      </c>
      <c r="J69" s="269">
        <f>+ก.ค.!J69+ส.ค.!J69+ก.ย.!J69</f>
        <v>0</v>
      </c>
      <c r="K69" s="269">
        <f>+ก.ค.!K69+ส.ค.!K69+ก.ย.!K69</f>
        <v>0</v>
      </c>
      <c r="L69" s="269">
        <f>+ก.ค.!L69+ส.ค.!L69+ก.ย.!L69</f>
        <v>0</v>
      </c>
      <c r="M69" s="269">
        <f>+ก.ค.!M69+ส.ค.!M69+ก.ย.!M69</f>
        <v>0</v>
      </c>
      <c r="N69" s="269">
        <f>+ก.ค.!N69+ส.ค.!N69+ก.ย.!N69</f>
        <v>0</v>
      </c>
      <c r="O69" s="269">
        <f>+ก.ค.!O69+ส.ค.!O69+ก.ย.!O69</f>
        <v>0</v>
      </c>
      <c r="P69" s="269">
        <f>+ก.ค.!P69+ส.ค.!P69+ก.ย.!P69</f>
        <v>0</v>
      </c>
      <c r="Q69" s="269">
        <f>+ก.ค.!Q69+ส.ค.!Q69+ก.ย.!Q69</f>
        <v>0</v>
      </c>
      <c r="R69" s="269">
        <f>+ก.ค.!R69+ส.ค.!R69+ก.ย.!R69</f>
        <v>0</v>
      </c>
      <c r="S69" s="269">
        <f>+ก.ค.!S69+ส.ค.!S69+ก.ย.!S69</f>
        <v>0</v>
      </c>
      <c r="T69" s="269">
        <f>+ก.ค.!T69+ส.ค.!T69+ก.ย.!T69</f>
        <v>0</v>
      </c>
      <c r="U69" s="269">
        <f>+ก.ค.!U69+ส.ค.!U69+ก.ย.!U69</f>
        <v>0</v>
      </c>
      <c r="V69" s="269">
        <f>+ก.ค.!V69+ส.ค.!V69+ก.ย.!V69</f>
        <v>0</v>
      </c>
      <c r="X69" s="221"/>
    </row>
    <row r="70" spans="1:24" s="310" customFormat="1" ht="25.5" customHeight="1">
      <c r="A70" s="9"/>
      <c r="B70" s="187" t="s">
        <v>236</v>
      </c>
      <c r="C70" s="283">
        <v>5000</v>
      </c>
      <c r="D70" s="131"/>
      <c r="E70" s="269">
        <f>+ก.ค.!E70+ส.ค.!E70+ก.ย.!E70</f>
        <v>0</v>
      </c>
      <c r="F70" s="269">
        <f>+ก.ค.!F70+ส.ค.!F70+ก.ย.!F70</f>
        <v>0</v>
      </c>
      <c r="G70" s="269">
        <f>+ก.ค.!G70+ส.ค.!G70+ก.ย.!G70</f>
        <v>0</v>
      </c>
      <c r="H70" s="269">
        <f>+ก.ค.!H70+ส.ค.!H70+ก.ย.!H70</f>
        <v>0</v>
      </c>
      <c r="I70" s="269">
        <f>+ก.ค.!I70+ส.ค.!I70+ก.ย.!I70</f>
        <v>0</v>
      </c>
      <c r="J70" s="269">
        <f>+ก.ค.!J70+ส.ค.!J70+ก.ย.!J70</f>
        <v>0</v>
      </c>
      <c r="K70" s="269">
        <f>+ก.ค.!K70+ส.ค.!K70+ก.ย.!K70</f>
        <v>0</v>
      </c>
      <c r="L70" s="269">
        <f>+ก.ค.!L70+ส.ค.!L70+ก.ย.!L70</f>
        <v>0</v>
      </c>
      <c r="M70" s="269">
        <f>+ก.ค.!M70+ส.ค.!M70+ก.ย.!M70</f>
        <v>0</v>
      </c>
      <c r="N70" s="269">
        <f>+ก.ค.!N70+ส.ค.!N70+ก.ย.!N70</f>
        <v>0</v>
      </c>
      <c r="O70" s="269">
        <f>+ก.ค.!O70+ส.ค.!O70+ก.ย.!O70</f>
        <v>0</v>
      </c>
      <c r="P70" s="269">
        <f>+ก.ค.!P70+ส.ค.!P70+ก.ย.!P70</f>
        <v>0</v>
      </c>
      <c r="Q70" s="269">
        <f>+ก.ค.!Q70+ส.ค.!Q70+ก.ย.!Q70</f>
        <v>0</v>
      </c>
      <c r="R70" s="269">
        <f>+ก.ค.!R70+ส.ค.!R70+ก.ย.!R70</f>
        <v>0</v>
      </c>
      <c r="S70" s="269">
        <f>+ก.ค.!S70+ส.ค.!S70+ก.ย.!S70</f>
        <v>0</v>
      </c>
      <c r="T70" s="269">
        <f>+ก.ค.!T70+ส.ค.!T70+ก.ย.!T70</f>
        <v>0</v>
      </c>
      <c r="U70" s="269">
        <f>+ก.ค.!U70+ส.ค.!U70+ก.ย.!U70</f>
        <v>0</v>
      </c>
      <c r="V70" s="269">
        <f>+ก.ค.!V70+ส.ค.!V70+ก.ย.!V70</f>
        <v>0</v>
      </c>
      <c r="X70" s="221"/>
    </row>
    <row r="71" spans="1:24" s="310" customFormat="1" ht="25.5" customHeight="1">
      <c r="A71" s="9"/>
      <c r="B71" s="187" t="s">
        <v>237</v>
      </c>
      <c r="C71" s="283">
        <v>5000</v>
      </c>
      <c r="D71" s="131"/>
      <c r="E71" s="269">
        <f>+ก.ค.!E71+ส.ค.!E71+ก.ย.!E71</f>
        <v>0</v>
      </c>
      <c r="F71" s="269">
        <f>+ก.ค.!F71+ส.ค.!F71+ก.ย.!F71</f>
        <v>0</v>
      </c>
      <c r="G71" s="269">
        <f>+ก.ค.!G71+ส.ค.!G71+ก.ย.!G71</f>
        <v>0</v>
      </c>
      <c r="H71" s="269">
        <f>+ก.ค.!H71+ส.ค.!H71+ก.ย.!H71</f>
        <v>0</v>
      </c>
      <c r="I71" s="269">
        <f>+ก.ค.!I71+ส.ค.!I71+ก.ย.!I71</f>
        <v>0</v>
      </c>
      <c r="J71" s="269">
        <f>+ก.ค.!J71+ส.ค.!J71+ก.ย.!J71</f>
        <v>0</v>
      </c>
      <c r="K71" s="269">
        <f>+ก.ค.!K71+ส.ค.!K71+ก.ย.!K71</f>
        <v>0</v>
      </c>
      <c r="L71" s="269">
        <f>+ก.ค.!L71+ส.ค.!L71+ก.ย.!L71</f>
        <v>0</v>
      </c>
      <c r="M71" s="269">
        <f>+ก.ค.!M71+ส.ค.!M71+ก.ย.!M71</f>
        <v>0</v>
      </c>
      <c r="N71" s="269">
        <f>+ก.ค.!N71+ส.ค.!N71+ก.ย.!N71</f>
        <v>0</v>
      </c>
      <c r="O71" s="269">
        <f>+ก.ค.!O71+ส.ค.!O71+ก.ย.!O71</f>
        <v>0</v>
      </c>
      <c r="P71" s="269">
        <f>+ก.ค.!P71+ส.ค.!P71+ก.ย.!P71</f>
        <v>0</v>
      </c>
      <c r="Q71" s="269">
        <f>+ก.ค.!Q71+ส.ค.!Q71+ก.ย.!Q71</f>
        <v>0</v>
      </c>
      <c r="R71" s="269">
        <f>+ก.ค.!R71+ส.ค.!R71+ก.ย.!R71</f>
        <v>0</v>
      </c>
      <c r="S71" s="269">
        <f>+ก.ค.!S71+ส.ค.!S71+ก.ย.!S71</f>
        <v>0</v>
      </c>
      <c r="T71" s="269">
        <f>+ก.ค.!T71+ส.ค.!T71+ก.ย.!T71</f>
        <v>0</v>
      </c>
      <c r="U71" s="269">
        <f>+ก.ค.!U71+ส.ค.!U71+ก.ย.!U71</f>
        <v>0</v>
      </c>
      <c r="V71" s="269">
        <f>+ก.ค.!V71+ส.ค.!V71+ก.ย.!V71</f>
        <v>0</v>
      </c>
      <c r="X71" s="221"/>
    </row>
    <row r="72" spans="1:24" s="310" customFormat="1" ht="25.5" customHeight="1">
      <c r="A72" s="165"/>
      <c r="B72" s="226" t="s">
        <v>277</v>
      </c>
      <c r="C72" s="279">
        <v>5000</v>
      </c>
      <c r="D72" s="131"/>
      <c r="E72" s="269">
        <f>+ก.ค.!E72+ส.ค.!E72+ก.ย.!E72</f>
        <v>0</v>
      </c>
      <c r="F72" s="269">
        <f>+ก.ค.!F72+ส.ค.!F72+ก.ย.!F72</f>
        <v>0</v>
      </c>
      <c r="G72" s="269">
        <f>+ก.ค.!G72+ส.ค.!G72+ก.ย.!G72</f>
        <v>0</v>
      </c>
      <c r="H72" s="269">
        <f>+ก.ค.!H72+ส.ค.!H72+ก.ย.!H72</f>
        <v>0</v>
      </c>
      <c r="I72" s="269">
        <f>+ก.ค.!I72+ส.ค.!I72+ก.ย.!I72</f>
        <v>0</v>
      </c>
      <c r="J72" s="269">
        <f>+ก.ค.!J72+ส.ค.!J72+ก.ย.!J72</f>
        <v>0</v>
      </c>
      <c r="K72" s="269">
        <f>+ก.ค.!K72+ส.ค.!K72+ก.ย.!K72</f>
        <v>0</v>
      </c>
      <c r="L72" s="269">
        <f>+ก.ค.!L72+ส.ค.!L72+ก.ย.!L72</f>
        <v>0</v>
      </c>
      <c r="M72" s="269">
        <f>+ก.ค.!M72+ส.ค.!M72+ก.ย.!M72</f>
        <v>0</v>
      </c>
      <c r="N72" s="269">
        <f>+ก.ค.!N72+ส.ค.!N72+ก.ย.!N72</f>
        <v>0</v>
      </c>
      <c r="O72" s="269">
        <f>+ก.ค.!O72+ส.ค.!O72+ก.ย.!O72</f>
        <v>0</v>
      </c>
      <c r="P72" s="269">
        <f>+ก.ค.!P72+ส.ค.!P72+ก.ย.!P72</f>
        <v>0</v>
      </c>
      <c r="Q72" s="269">
        <f>+ก.ค.!Q72+ส.ค.!Q72+ก.ย.!Q72</f>
        <v>0</v>
      </c>
      <c r="R72" s="269">
        <f>+ก.ค.!R72+ส.ค.!R72+ก.ย.!R72</f>
        <v>0</v>
      </c>
      <c r="S72" s="269">
        <f>+ก.ค.!S72+ส.ค.!S72+ก.ย.!S72</f>
        <v>0</v>
      </c>
      <c r="T72" s="269">
        <f>+ก.ค.!T72+ส.ค.!T72+ก.ย.!T72</f>
        <v>0</v>
      </c>
      <c r="U72" s="269">
        <f>+ก.ค.!U72+ส.ค.!U72+ก.ย.!U72</f>
        <v>0</v>
      </c>
      <c r="V72" s="269">
        <f>+ก.ค.!V72+ส.ค.!V72+ก.ย.!V72</f>
        <v>0</v>
      </c>
      <c r="X72" s="221"/>
    </row>
    <row r="73" spans="1:24" s="310" customFormat="1" ht="25.5" customHeight="1">
      <c r="A73" s="165"/>
      <c r="B73" s="226" t="s">
        <v>107</v>
      </c>
      <c r="C73" s="279">
        <v>10000</v>
      </c>
      <c r="D73" s="131"/>
      <c r="E73" s="269">
        <f>+ก.ค.!E73+ส.ค.!E73+ก.ย.!E73</f>
        <v>0</v>
      </c>
      <c r="F73" s="269">
        <f>+ก.ค.!F73+ส.ค.!F73+ก.ย.!F73</f>
        <v>0</v>
      </c>
      <c r="G73" s="269">
        <f>+ก.ค.!G73+ส.ค.!G73+ก.ย.!G73</f>
        <v>0</v>
      </c>
      <c r="H73" s="269">
        <f>+ก.ค.!H73+ส.ค.!H73+ก.ย.!H73</f>
        <v>0</v>
      </c>
      <c r="I73" s="269">
        <f>+ก.ค.!I73+ส.ค.!I73+ก.ย.!I73</f>
        <v>0</v>
      </c>
      <c r="J73" s="269">
        <f>+ก.ค.!J73+ส.ค.!J73+ก.ย.!J73</f>
        <v>0</v>
      </c>
      <c r="K73" s="269">
        <f>+ก.ค.!K73+ส.ค.!K73+ก.ย.!K73</f>
        <v>0</v>
      </c>
      <c r="L73" s="269">
        <f>+ก.ค.!L73+ส.ค.!L73+ก.ย.!L73</f>
        <v>0</v>
      </c>
      <c r="M73" s="269">
        <f>+ก.ค.!M73+ส.ค.!M73+ก.ย.!M73</f>
        <v>0</v>
      </c>
      <c r="N73" s="269">
        <f>+ก.ค.!N73+ส.ค.!N73+ก.ย.!N73</f>
        <v>0</v>
      </c>
      <c r="O73" s="269">
        <f>+ก.ค.!O73+ส.ค.!O73+ก.ย.!O73</f>
        <v>0</v>
      </c>
      <c r="P73" s="269">
        <f>+ก.ค.!P73+ส.ค.!P73+ก.ย.!P73</f>
        <v>0</v>
      </c>
      <c r="Q73" s="269">
        <f>+ก.ค.!Q73+ส.ค.!Q73+ก.ย.!Q73</f>
        <v>0</v>
      </c>
      <c r="R73" s="269">
        <f>+ก.ค.!R73+ส.ค.!R73+ก.ย.!R73</f>
        <v>0</v>
      </c>
      <c r="S73" s="269">
        <f>+ก.ค.!S73+ส.ค.!S73+ก.ย.!S73</f>
        <v>0</v>
      </c>
      <c r="T73" s="269">
        <f>+ก.ค.!T73+ส.ค.!T73+ก.ย.!T73</f>
        <v>0</v>
      </c>
      <c r="U73" s="269">
        <f>+ก.ค.!U73+ส.ค.!U73+ก.ย.!U73</f>
        <v>0</v>
      </c>
      <c r="V73" s="269">
        <f>+ก.ค.!V73+ส.ค.!V73+ก.ย.!V73</f>
        <v>0</v>
      </c>
      <c r="X73" s="221"/>
    </row>
    <row r="74" spans="1:24" s="310" customFormat="1" ht="25.5" customHeight="1">
      <c r="A74" s="9"/>
      <c r="B74" s="226" t="s">
        <v>278</v>
      </c>
      <c r="C74" s="279">
        <v>10000</v>
      </c>
      <c r="D74" s="195"/>
      <c r="E74" s="269">
        <f>+ก.ค.!E74+ส.ค.!E74+ก.ย.!E74</f>
        <v>0</v>
      </c>
      <c r="F74" s="269">
        <f>+ก.ค.!F74+ส.ค.!F74+ก.ย.!F74</f>
        <v>0</v>
      </c>
      <c r="G74" s="269">
        <f>+ก.ค.!G74+ส.ค.!G74+ก.ย.!G74</f>
        <v>0</v>
      </c>
      <c r="H74" s="269">
        <f>+ก.ค.!H74+ส.ค.!H74+ก.ย.!H74</f>
        <v>0</v>
      </c>
      <c r="I74" s="269">
        <f>+ก.ค.!I74+ส.ค.!I74+ก.ย.!I74</f>
        <v>0</v>
      </c>
      <c r="J74" s="269">
        <f>+ก.ค.!J74+ส.ค.!J74+ก.ย.!J74</f>
        <v>0</v>
      </c>
      <c r="K74" s="269">
        <f>+ก.ค.!K74+ส.ค.!K74+ก.ย.!K74</f>
        <v>0</v>
      </c>
      <c r="L74" s="269">
        <f>+ก.ค.!L74+ส.ค.!L74+ก.ย.!L74</f>
        <v>0</v>
      </c>
      <c r="M74" s="269">
        <f>+ก.ค.!M74+ส.ค.!M74+ก.ย.!M74</f>
        <v>0</v>
      </c>
      <c r="N74" s="269">
        <f>+ก.ค.!N74+ส.ค.!N74+ก.ย.!N74</f>
        <v>0</v>
      </c>
      <c r="O74" s="269">
        <f>+ก.ค.!O74+ส.ค.!O74+ก.ย.!O74</f>
        <v>0</v>
      </c>
      <c r="P74" s="269">
        <f>+ก.ค.!P74+ส.ค.!P74+ก.ย.!P74</f>
        <v>0</v>
      </c>
      <c r="Q74" s="269">
        <f>+ก.ค.!Q74+ส.ค.!Q74+ก.ย.!Q74</f>
        <v>0</v>
      </c>
      <c r="R74" s="269">
        <f>+ก.ค.!R74+ส.ค.!R74+ก.ย.!R74</f>
        <v>0</v>
      </c>
      <c r="S74" s="269">
        <f>+ก.ค.!S74+ส.ค.!S74+ก.ย.!S74</f>
        <v>0</v>
      </c>
      <c r="T74" s="269">
        <f>+ก.ค.!T74+ส.ค.!T74+ก.ย.!T74</f>
        <v>0</v>
      </c>
      <c r="U74" s="269">
        <f>+ก.ค.!U74+ส.ค.!U74+ก.ย.!U74</f>
        <v>0</v>
      </c>
      <c r="V74" s="269">
        <f>+ก.ค.!V74+ส.ค.!V74+ก.ย.!V74</f>
        <v>0</v>
      </c>
      <c r="X74" s="221"/>
    </row>
    <row r="75" spans="1:24" s="310" customFormat="1" ht="25.5" customHeight="1">
      <c r="A75" s="165"/>
      <c r="B75" s="226" t="s">
        <v>279</v>
      </c>
      <c r="C75" s="279">
        <v>10000</v>
      </c>
      <c r="D75" s="195"/>
      <c r="E75" s="269">
        <f>+ก.ค.!E75+ส.ค.!E75+ก.ย.!E75</f>
        <v>0</v>
      </c>
      <c r="F75" s="269">
        <f>+ก.ค.!F75+ส.ค.!F75+ก.ย.!F75</f>
        <v>0</v>
      </c>
      <c r="G75" s="269">
        <f>+ก.ค.!G75+ส.ค.!G75+ก.ย.!G75</f>
        <v>0</v>
      </c>
      <c r="H75" s="269">
        <f>+ก.ค.!H75+ส.ค.!H75+ก.ย.!H75</f>
        <v>0</v>
      </c>
      <c r="I75" s="269">
        <f>+ก.ค.!I75+ส.ค.!I75+ก.ย.!I75</f>
        <v>0</v>
      </c>
      <c r="J75" s="269">
        <f>+ก.ค.!J75+ส.ค.!J75+ก.ย.!J75</f>
        <v>0</v>
      </c>
      <c r="K75" s="269">
        <f>+ก.ค.!K75+ส.ค.!K75+ก.ย.!K75</f>
        <v>0</v>
      </c>
      <c r="L75" s="269">
        <f>+ก.ค.!L75+ส.ค.!L75+ก.ย.!L75</f>
        <v>0</v>
      </c>
      <c r="M75" s="269">
        <f>+ก.ค.!M75+ส.ค.!M75+ก.ย.!M75</f>
        <v>0</v>
      </c>
      <c r="N75" s="269">
        <f>+ก.ค.!N75+ส.ค.!N75+ก.ย.!N75</f>
        <v>0</v>
      </c>
      <c r="O75" s="269">
        <f>+ก.ค.!O75+ส.ค.!O75+ก.ย.!O75</f>
        <v>0</v>
      </c>
      <c r="P75" s="269">
        <f>+ก.ค.!P75+ส.ค.!P75+ก.ย.!P75</f>
        <v>0</v>
      </c>
      <c r="Q75" s="269">
        <f>+ก.ค.!Q75+ส.ค.!Q75+ก.ย.!Q75</f>
        <v>0</v>
      </c>
      <c r="R75" s="269">
        <f>+ก.ค.!R75+ส.ค.!R75+ก.ย.!R75</f>
        <v>0</v>
      </c>
      <c r="S75" s="269">
        <f>+ก.ค.!S75+ส.ค.!S75+ก.ย.!S75</f>
        <v>0</v>
      </c>
      <c r="T75" s="269">
        <f>+ก.ค.!T75+ส.ค.!T75+ก.ย.!T75</f>
        <v>0</v>
      </c>
      <c r="U75" s="269">
        <f>+ก.ค.!U75+ส.ค.!U75+ก.ย.!U75</f>
        <v>0</v>
      </c>
      <c r="V75" s="269">
        <f>+ก.ค.!V75+ส.ค.!V75+ก.ย.!V75</f>
        <v>0</v>
      </c>
      <c r="X75" s="221"/>
    </row>
    <row r="76" spans="1:24" s="310" customFormat="1" ht="25.5" customHeight="1">
      <c r="A76" s="9"/>
      <c r="B76" s="226" t="s">
        <v>280</v>
      </c>
      <c r="C76" s="279">
        <v>10000</v>
      </c>
      <c r="D76" s="195"/>
      <c r="E76" s="269">
        <f>+ก.ค.!E76+ส.ค.!E76+ก.ย.!E76</f>
        <v>0</v>
      </c>
      <c r="F76" s="269">
        <f>+ก.ค.!F76+ส.ค.!F76+ก.ย.!F76</f>
        <v>0</v>
      </c>
      <c r="G76" s="269">
        <f>+ก.ค.!G76+ส.ค.!G76+ก.ย.!G76</f>
        <v>0</v>
      </c>
      <c r="H76" s="269">
        <f>+ก.ค.!H76+ส.ค.!H76+ก.ย.!H76</f>
        <v>0</v>
      </c>
      <c r="I76" s="269">
        <f>+ก.ค.!I76+ส.ค.!I76+ก.ย.!I76</f>
        <v>0</v>
      </c>
      <c r="J76" s="269">
        <f>+ก.ค.!J76+ส.ค.!J76+ก.ย.!J76</f>
        <v>0</v>
      </c>
      <c r="K76" s="269">
        <f>+ก.ค.!K76+ส.ค.!K76+ก.ย.!K76</f>
        <v>0</v>
      </c>
      <c r="L76" s="269">
        <f>+ก.ค.!L76+ส.ค.!L76+ก.ย.!L76</f>
        <v>0</v>
      </c>
      <c r="M76" s="269">
        <f>+ก.ค.!M76+ส.ค.!M76+ก.ย.!M76</f>
        <v>0</v>
      </c>
      <c r="N76" s="269">
        <f>+ก.ค.!N76+ส.ค.!N76+ก.ย.!N76</f>
        <v>0</v>
      </c>
      <c r="O76" s="269">
        <f>+ก.ค.!O76+ส.ค.!O76+ก.ย.!O76</f>
        <v>0</v>
      </c>
      <c r="P76" s="269">
        <f>+ก.ค.!P76+ส.ค.!P76+ก.ย.!P76</f>
        <v>0</v>
      </c>
      <c r="Q76" s="269">
        <f>+ก.ค.!Q76+ส.ค.!Q76+ก.ย.!Q76</f>
        <v>0</v>
      </c>
      <c r="R76" s="269">
        <f>+ก.ค.!R76+ส.ค.!R76+ก.ย.!R76</f>
        <v>0</v>
      </c>
      <c r="S76" s="269">
        <f>+ก.ค.!S76+ส.ค.!S76+ก.ย.!S76</f>
        <v>0</v>
      </c>
      <c r="T76" s="269">
        <f>+ก.ค.!T76+ส.ค.!T76+ก.ย.!T76</f>
        <v>0</v>
      </c>
      <c r="U76" s="269">
        <f>+ก.ค.!U76+ส.ค.!U76+ก.ย.!U76</f>
        <v>0</v>
      </c>
      <c r="V76" s="269">
        <f>+ก.ค.!V76+ส.ค.!V76+ก.ย.!V76</f>
        <v>0</v>
      </c>
      <c r="X76" s="221"/>
    </row>
    <row r="77" spans="1:24" s="310" customFormat="1" ht="25.5" customHeight="1">
      <c r="A77" s="9"/>
      <c r="B77" s="226" t="s">
        <v>281</v>
      </c>
      <c r="C77" s="279">
        <v>5000</v>
      </c>
      <c r="D77" s="195"/>
      <c r="E77" s="269">
        <f>+ก.ค.!E77+ส.ค.!E77+ก.ย.!E77</f>
        <v>0</v>
      </c>
      <c r="F77" s="269">
        <f>+ก.ค.!F77+ส.ค.!F77+ก.ย.!F77</f>
        <v>0</v>
      </c>
      <c r="G77" s="269">
        <f>+ก.ค.!G77+ส.ค.!G77+ก.ย.!G77</f>
        <v>0</v>
      </c>
      <c r="H77" s="269">
        <f>+ก.ค.!H77+ส.ค.!H77+ก.ย.!H77</f>
        <v>0</v>
      </c>
      <c r="I77" s="269">
        <f>+ก.ค.!I77+ส.ค.!I77+ก.ย.!I77</f>
        <v>0</v>
      </c>
      <c r="J77" s="269">
        <f>+ก.ค.!J77+ส.ค.!J77+ก.ย.!J77</f>
        <v>0</v>
      </c>
      <c r="K77" s="269">
        <f>+ก.ค.!K77+ส.ค.!K77+ก.ย.!K77</f>
        <v>0</v>
      </c>
      <c r="L77" s="269">
        <f>+ก.ค.!L77+ส.ค.!L77+ก.ย.!L77</f>
        <v>0</v>
      </c>
      <c r="M77" s="269">
        <f>+ก.ค.!M77+ส.ค.!M77+ก.ย.!M77</f>
        <v>0</v>
      </c>
      <c r="N77" s="269">
        <f>+ก.ค.!N77+ส.ค.!N77+ก.ย.!N77</f>
        <v>0</v>
      </c>
      <c r="O77" s="269">
        <f>+ก.ค.!O77+ส.ค.!O77+ก.ย.!O77</f>
        <v>0</v>
      </c>
      <c r="P77" s="269">
        <f>+ก.ค.!P77+ส.ค.!P77+ก.ย.!P77</f>
        <v>0</v>
      </c>
      <c r="Q77" s="269">
        <f>+ก.ค.!Q77+ส.ค.!Q77+ก.ย.!Q77</f>
        <v>0</v>
      </c>
      <c r="R77" s="269">
        <f>+ก.ค.!R77+ส.ค.!R77+ก.ย.!R77</f>
        <v>0</v>
      </c>
      <c r="S77" s="269">
        <f>+ก.ค.!S77+ส.ค.!S77+ก.ย.!S77</f>
        <v>0</v>
      </c>
      <c r="T77" s="269">
        <f>+ก.ค.!T77+ส.ค.!T77+ก.ย.!T77</f>
        <v>0</v>
      </c>
      <c r="U77" s="269">
        <f>+ก.ค.!U77+ส.ค.!U77+ก.ย.!U77</f>
        <v>0</v>
      </c>
      <c r="V77" s="269">
        <f>+ก.ค.!V77+ส.ค.!V77+ก.ย.!V77</f>
        <v>0</v>
      </c>
      <c r="X77" s="221"/>
    </row>
    <row r="78" spans="1:24" s="310" customFormat="1" ht="25.5" customHeight="1">
      <c r="A78" s="9"/>
      <c r="B78" s="226" t="s">
        <v>282</v>
      </c>
      <c r="C78" s="279">
        <v>5000</v>
      </c>
      <c r="D78" s="195"/>
      <c r="E78" s="269">
        <f>+ก.ค.!E78+ส.ค.!E78+ก.ย.!E78</f>
        <v>0</v>
      </c>
      <c r="F78" s="269">
        <f>+ก.ค.!F78+ส.ค.!F78+ก.ย.!F78</f>
        <v>0</v>
      </c>
      <c r="G78" s="269">
        <f>+ก.ค.!G78+ส.ค.!G78+ก.ย.!G78</f>
        <v>0</v>
      </c>
      <c r="H78" s="269">
        <f>+ก.ค.!H78+ส.ค.!H78+ก.ย.!H78</f>
        <v>0</v>
      </c>
      <c r="I78" s="269">
        <f>+ก.ค.!I78+ส.ค.!I78+ก.ย.!I78</f>
        <v>0</v>
      </c>
      <c r="J78" s="269">
        <f>+ก.ค.!J78+ส.ค.!J78+ก.ย.!J78</f>
        <v>0</v>
      </c>
      <c r="K78" s="269">
        <f>+ก.ค.!K78+ส.ค.!K78+ก.ย.!K78</f>
        <v>0</v>
      </c>
      <c r="L78" s="269">
        <f>+ก.ค.!L78+ส.ค.!L78+ก.ย.!L78</f>
        <v>0</v>
      </c>
      <c r="M78" s="269">
        <f>+ก.ค.!M78+ส.ค.!M78+ก.ย.!M78</f>
        <v>0</v>
      </c>
      <c r="N78" s="269">
        <f>+ก.ค.!N78+ส.ค.!N78+ก.ย.!N78</f>
        <v>0</v>
      </c>
      <c r="O78" s="269">
        <f>+ก.ค.!O78+ส.ค.!O78+ก.ย.!O78</f>
        <v>0</v>
      </c>
      <c r="P78" s="269">
        <f>+ก.ค.!P78+ส.ค.!P78+ก.ย.!P78</f>
        <v>0</v>
      </c>
      <c r="Q78" s="269">
        <f>+ก.ค.!Q78+ส.ค.!Q78+ก.ย.!Q78</f>
        <v>0</v>
      </c>
      <c r="R78" s="269">
        <f>+ก.ค.!R78+ส.ค.!R78+ก.ย.!R78</f>
        <v>0</v>
      </c>
      <c r="S78" s="269">
        <f>+ก.ค.!S78+ส.ค.!S78+ก.ย.!S78</f>
        <v>0</v>
      </c>
      <c r="T78" s="269">
        <f>+ก.ค.!T78+ส.ค.!T78+ก.ย.!T78</f>
        <v>0</v>
      </c>
      <c r="U78" s="269">
        <f>+ก.ค.!U78+ส.ค.!U78+ก.ย.!U78</f>
        <v>0</v>
      </c>
      <c r="V78" s="269">
        <f>+ก.ค.!V78+ส.ค.!V78+ก.ย.!V78</f>
        <v>0</v>
      </c>
      <c r="X78" s="221"/>
    </row>
    <row r="79" spans="1:24" s="310" customFormat="1" ht="25.5" customHeight="1">
      <c r="A79" s="9"/>
      <c r="B79" s="226" t="s">
        <v>238</v>
      </c>
      <c r="C79" s="279">
        <f>70000+40000+10000+20000+30000+10000+10000</f>
        <v>190000</v>
      </c>
      <c r="D79" s="195"/>
      <c r="E79" s="269">
        <f>+ก.ค.!E79+ส.ค.!E79+ก.ย.!E79</f>
        <v>11124.31</v>
      </c>
      <c r="F79" s="269">
        <f>+ก.ค.!F79+ส.ค.!F79+ก.ย.!F79</f>
        <v>5450</v>
      </c>
      <c r="G79" s="269">
        <f>+ก.ค.!G79+ส.ค.!G79+ก.ย.!G79</f>
        <v>0</v>
      </c>
      <c r="H79" s="269">
        <f>+ก.ค.!H79+ส.ค.!H79+ก.ย.!H79</f>
        <v>20041</v>
      </c>
      <c r="I79" s="269">
        <f>+ก.ค.!I79+ส.ค.!I79+ก.ย.!I79</f>
        <v>0</v>
      </c>
      <c r="J79" s="269">
        <f>+ก.ค.!J79+ส.ค.!J79+ก.ย.!J79</f>
        <v>0</v>
      </c>
      <c r="K79" s="269">
        <f>+ก.ค.!K79+ส.ค.!K79+ก.ย.!K79</f>
        <v>0</v>
      </c>
      <c r="L79" s="269">
        <f>+ก.ค.!L79+ส.ค.!L79+ก.ย.!L79</f>
        <v>0</v>
      </c>
      <c r="M79" s="269">
        <f>+ก.ค.!M79+ส.ค.!M79+ก.ย.!M79</f>
        <v>6250</v>
      </c>
      <c r="N79" s="269">
        <f>+ก.ค.!N79+ส.ค.!N79+ก.ย.!N79</f>
        <v>0</v>
      </c>
      <c r="O79" s="269">
        <f>+ก.ค.!O79+ส.ค.!O79+ก.ย.!O79</f>
        <v>0</v>
      </c>
      <c r="P79" s="269">
        <f>+ก.ค.!P79+ส.ค.!P79+ก.ย.!P79</f>
        <v>0</v>
      </c>
      <c r="Q79" s="269">
        <f>+ก.ค.!Q79+ส.ค.!Q79+ก.ย.!Q79</f>
        <v>0</v>
      </c>
      <c r="R79" s="269">
        <f>+ก.ค.!R79+ส.ค.!R79+ก.ย.!R79</f>
        <v>0</v>
      </c>
      <c r="S79" s="269">
        <f>+ก.ค.!S79+ส.ค.!S79+ก.ย.!S79</f>
        <v>0</v>
      </c>
      <c r="T79" s="269">
        <f>+ก.ค.!T79+ส.ค.!T79+ก.ย.!T79</f>
        <v>0</v>
      </c>
      <c r="U79" s="269">
        <f>+ก.ค.!U79+ส.ค.!U79+ก.ย.!U79</f>
        <v>0</v>
      </c>
      <c r="V79" s="269">
        <f>+ก.ค.!V79+ส.ค.!V79+ก.ย.!V79</f>
        <v>0</v>
      </c>
      <c r="X79" s="221"/>
    </row>
    <row r="80" spans="1:24" s="310" customFormat="1" ht="25.5" customHeight="1">
      <c r="A80" s="9"/>
      <c r="B80" s="226" t="s">
        <v>121</v>
      </c>
      <c r="C80" s="279">
        <f>100000+47000+3000-140000+40000</f>
        <v>50000</v>
      </c>
      <c r="D80" s="195"/>
      <c r="E80" s="269">
        <f>+ก.ค.!E80+ส.ค.!E80+ก.ย.!E80</f>
        <v>0</v>
      </c>
      <c r="F80" s="269">
        <f>+ก.ค.!F80+ส.ค.!F80+ก.ย.!F80</f>
        <v>0</v>
      </c>
      <c r="G80" s="269">
        <f>+ก.ค.!G80+ส.ค.!G80+ก.ย.!G80</f>
        <v>0</v>
      </c>
      <c r="H80" s="269">
        <f>+ก.ค.!H80+ส.ค.!H80+ก.ย.!H80</f>
        <v>0</v>
      </c>
      <c r="I80" s="269">
        <f>+ก.ค.!I80+ส.ค.!I80+ก.ย.!I80</f>
        <v>0</v>
      </c>
      <c r="J80" s="269">
        <f>+ก.ค.!J80+ส.ค.!J80+ก.ย.!J80</f>
        <v>0</v>
      </c>
      <c r="K80" s="269">
        <f>+ก.ค.!K80+ส.ค.!K80+ก.ย.!K80</f>
        <v>0</v>
      </c>
      <c r="L80" s="269">
        <f>+ก.ค.!L80+ส.ค.!L80+ก.ย.!L80</f>
        <v>0</v>
      </c>
      <c r="M80" s="269">
        <f>+ก.ค.!M80+ส.ค.!M80+ก.ย.!M80</f>
        <v>0</v>
      </c>
      <c r="N80" s="269">
        <f>+ก.ค.!N80+ส.ค.!N80+ก.ย.!N80</f>
        <v>0</v>
      </c>
      <c r="O80" s="269">
        <f>+ก.ค.!O80+ส.ค.!O80+ก.ย.!O80</f>
        <v>0</v>
      </c>
      <c r="P80" s="269">
        <f>+ก.ค.!P80+ส.ค.!P80+ก.ย.!P80</f>
        <v>0</v>
      </c>
      <c r="Q80" s="269">
        <f>+ก.ค.!Q80+ส.ค.!Q80+ก.ย.!Q80</f>
        <v>0</v>
      </c>
      <c r="R80" s="269">
        <f>+ก.ค.!R80+ส.ค.!R80+ก.ย.!R80</f>
        <v>0</v>
      </c>
      <c r="S80" s="269">
        <f>+ก.ค.!S80+ส.ค.!S80+ก.ย.!S80</f>
        <v>0</v>
      </c>
      <c r="T80" s="269">
        <f>+ก.ค.!T80+ส.ค.!T80+ก.ย.!T80</f>
        <v>0</v>
      </c>
      <c r="U80" s="269">
        <f>+ก.ค.!U80+ส.ค.!U80+ก.ย.!U80</f>
        <v>0</v>
      </c>
      <c r="V80" s="269">
        <f>+ก.ค.!V80+ส.ค.!V80+ก.ย.!V80</f>
        <v>0</v>
      </c>
      <c r="X80" s="221"/>
    </row>
    <row r="81" spans="1:24" s="310" customFormat="1" ht="25.5" customHeight="1">
      <c r="A81" s="9"/>
      <c r="B81" s="226" t="s">
        <v>295</v>
      </c>
      <c r="C81" s="279">
        <f>40000+50000</f>
        <v>90000</v>
      </c>
      <c r="D81" s="195"/>
      <c r="E81" s="269">
        <f>+ก.ค.!E81+ส.ค.!E81+ก.ย.!E81</f>
        <v>0</v>
      </c>
      <c r="F81" s="269">
        <f>+ก.ค.!F81+ส.ค.!F81+ก.ย.!F81</f>
        <v>0</v>
      </c>
      <c r="G81" s="269">
        <f>+ก.ค.!G81+ส.ค.!G81+ก.ย.!G81</f>
        <v>316421</v>
      </c>
      <c r="H81" s="269">
        <f>+ก.ค.!H81+ส.ค.!H81+ก.ย.!H81</f>
        <v>0</v>
      </c>
      <c r="I81" s="269">
        <f>+ก.ค.!I81+ส.ค.!I81+ก.ย.!I81</f>
        <v>0</v>
      </c>
      <c r="J81" s="269">
        <f>+ก.ค.!J81+ส.ค.!J81+ก.ย.!J81</f>
        <v>0</v>
      </c>
      <c r="K81" s="269">
        <f>+ก.ค.!K81+ส.ค.!K81+ก.ย.!K81</f>
        <v>0</v>
      </c>
      <c r="L81" s="269">
        <f>+ก.ค.!L81+ส.ค.!L81+ก.ย.!L81</f>
        <v>0</v>
      </c>
      <c r="M81" s="269">
        <f>+ก.ค.!M81+ส.ค.!M81+ก.ย.!M81</f>
        <v>0</v>
      </c>
      <c r="N81" s="269">
        <f>+ก.ค.!N81+ส.ค.!N81+ก.ย.!N81</f>
        <v>0</v>
      </c>
      <c r="O81" s="269">
        <f>+ก.ค.!O81+ส.ค.!O81+ก.ย.!O81</f>
        <v>0</v>
      </c>
      <c r="P81" s="269">
        <f>+ก.ค.!P81+ส.ค.!P81+ก.ย.!P81</f>
        <v>0</v>
      </c>
      <c r="Q81" s="269">
        <f>+ก.ค.!Q81+ส.ค.!Q81+ก.ย.!Q81</f>
        <v>0</v>
      </c>
      <c r="R81" s="269">
        <f>+ก.ค.!R81+ส.ค.!R81+ก.ย.!R81</f>
        <v>0</v>
      </c>
      <c r="S81" s="269">
        <f>+ก.ค.!S81+ส.ค.!S81+ก.ย.!S81</f>
        <v>0</v>
      </c>
      <c r="T81" s="269">
        <f>+ก.ค.!T81+ส.ค.!T81+ก.ย.!T81</f>
        <v>0</v>
      </c>
      <c r="U81" s="269">
        <f>+ก.ค.!U81+ส.ค.!U81+ก.ย.!U81</f>
        <v>0</v>
      </c>
      <c r="V81" s="269">
        <f>+ก.ค.!V81+ส.ค.!V81+ก.ย.!V81</f>
        <v>0</v>
      </c>
      <c r="X81" s="221"/>
    </row>
    <row r="82" spans="1:24" s="310" customFormat="1" ht="25.5" customHeight="1">
      <c r="A82" s="9"/>
      <c r="B82" s="226" t="s">
        <v>296</v>
      </c>
      <c r="C82" s="279">
        <v>30000</v>
      </c>
      <c r="D82" s="195"/>
      <c r="E82" s="269">
        <f>+ก.ค.!E82+ส.ค.!E82+ก.ย.!E82</f>
        <v>0</v>
      </c>
      <c r="F82" s="269">
        <f>+ก.ค.!F82+ส.ค.!F82+ก.ย.!F82</f>
        <v>0</v>
      </c>
      <c r="G82" s="269">
        <f>+ก.ค.!G82+ส.ค.!G82+ก.ย.!G82</f>
        <v>0</v>
      </c>
      <c r="H82" s="269">
        <f>+ก.ค.!H82+ส.ค.!H82+ก.ย.!H82</f>
        <v>0</v>
      </c>
      <c r="I82" s="269">
        <f>+ก.ค.!I82+ส.ค.!I82+ก.ย.!I82</f>
        <v>0</v>
      </c>
      <c r="J82" s="269">
        <f>+ก.ค.!J82+ส.ค.!J82+ก.ย.!J82</f>
        <v>0</v>
      </c>
      <c r="K82" s="269">
        <f>+ก.ค.!K82+ส.ค.!K82+ก.ย.!K82</f>
        <v>0</v>
      </c>
      <c r="L82" s="269">
        <f>+ก.ค.!L82+ส.ค.!L82+ก.ย.!L82</f>
        <v>0</v>
      </c>
      <c r="M82" s="269">
        <f>+ก.ค.!M82+ส.ค.!M82+ก.ย.!M82</f>
        <v>0</v>
      </c>
      <c r="N82" s="269">
        <f>+ก.ค.!N82+ส.ค.!N82+ก.ย.!N82</f>
        <v>0</v>
      </c>
      <c r="O82" s="269">
        <f>+ก.ค.!O82+ส.ค.!O82+ก.ย.!O82</f>
        <v>0</v>
      </c>
      <c r="P82" s="269">
        <f>+ก.ค.!P82+ส.ค.!P82+ก.ย.!P82</f>
        <v>0</v>
      </c>
      <c r="Q82" s="269">
        <f>+ก.ค.!Q82+ส.ค.!Q82+ก.ย.!Q82</f>
        <v>0</v>
      </c>
      <c r="R82" s="269">
        <f>+ก.ค.!R82+ส.ค.!R82+ก.ย.!R82</f>
        <v>0</v>
      </c>
      <c r="S82" s="269">
        <f>+ก.ค.!S82+ส.ค.!S82+ก.ย.!S82</f>
        <v>0</v>
      </c>
      <c r="T82" s="269">
        <f>+ก.ค.!T82+ส.ค.!T82+ก.ย.!T82</f>
        <v>0</v>
      </c>
      <c r="U82" s="269">
        <f>+ก.ค.!U82+ส.ค.!U82+ก.ย.!U82</f>
        <v>0</v>
      </c>
      <c r="V82" s="269">
        <f>+ก.ค.!V82+ส.ค.!V82+ก.ย.!V82</f>
        <v>0</v>
      </c>
      <c r="X82" s="221"/>
    </row>
    <row r="83" spans="1:24" s="310" customFormat="1" ht="25.5" customHeight="1">
      <c r="A83" s="9"/>
      <c r="B83" s="226" t="s">
        <v>210</v>
      </c>
      <c r="C83" s="279">
        <v>10000</v>
      </c>
      <c r="D83" s="195"/>
      <c r="E83" s="269">
        <f>+ก.ค.!E83+ส.ค.!E83+ก.ย.!E83</f>
        <v>0</v>
      </c>
      <c r="F83" s="269">
        <f>+ก.ค.!F83+ส.ค.!F83+ก.ย.!F83</f>
        <v>0</v>
      </c>
      <c r="G83" s="269">
        <f>+ก.ค.!G83+ส.ค.!G83+ก.ย.!G83</f>
        <v>0</v>
      </c>
      <c r="H83" s="269">
        <f>+ก.ค.!H83+ส.ค.!H83+ก.ย.!H83</f>
        <v>0</v>
      </c>
      <c r="I83" s="269">
        <f>+ก.ค.!I83+ส.ค.!I83+ก.ย.!I83</f>
        <v>0</v>
      </c>
      <c r="J83" s="269">
        <f>+ก.ค.!J83+ส.ค.!J83+ก.ย.!J83</f>
        <v>0</v>
      </c>
      <c r="K83" s="269">
        <f>+ก.ค.!K83+ส.ค.!K83+ก.ย.!K83</f>
        <v>0</v>
      </c>
      <c r="L83" s="269">
        <f>+ก.ค.!L83+ส.ค.!L83+ก.ย.!L83</f>
        <v>0</v>
      </c>
      <c r="M83" s="269">
        <f>+ก.ค.!M83+ส.ค.!M83+ก.ย.!M83</f>
        <v>0</v>
      </c>
      <c r="N83" s="269">
        <f>+ก.ค.!N83+ส.ค.!N83+ก.ย.!N83</f>
        <v>0</v>
      </c>
      <c r="O83" s="269">
        <f>+ก.ค.!O83+ส.ค.!O83+ก.ย.!O83</f>
        <v>0</v>
      </c>
      <c r="P83" s="269">
        <f>+ก.ค.!P83+ส.ค.!P83+ก.ย.!P83</f>
        <v>0</v>
      </c>
      <c r="Q83" s="269">
        <f>+ก.ค.!Q83+ส.ค.!Q83+ก.ย.!Q83</f>
        <v>0</v>
      </c>
      <c r="R83" s="269">
        <f>+ก.ค.!R83+ส.ค.!R83+ก.ย.!R83</f>
        <v>0</v>
      </c>
      <c r="S83" s="269">
        <f>+ก.ค.!S83+ส.ค.!S83+ก.ย.!S83</f>
        <v>0</v>
      </c>
      <c r="T83" s="269">
        <f>+ก.ค.!T83+ส.ค.!T83+ก.ย.!T83</f>
        <v>0</v>
      </c>
      <c r="U83" s="269">
        <f>+ก.ค.!U83+ส.ค.!U83+ก.ย.!U83</f>
        <v>0</v>
      </c>
      <c r="V83" s="269">
        <f>+ก.ค.!V83+ส.ค.!V83+ก.ย.!V83</f>
        <v>0</v>
      </c>
      <c r="X83" s="221"/>
    </row>
    <row r="84" spans="1:24" s="310" customFormat="1" ht="25.5" customHeight="1">
      <c r="A84" s="9"/>
      <c r="B84" s="187" t="s">
        <v>297</v>
      </c>
      <c r="C84" s="279">
        <v>20000</v>
      </c>
      <c r="D84" s="195"/>
      <c r="E84" s="269">
        <f>+ก.ค.!E84+ส.ค.!E84+ก.ย.!E84</f>
        <v>0</v>
      </c>
      <c r="F84" s="269">
        <f>+ก.ค.!F84+ส.ค.!F84+ก.ย.!F84</f>
        <v>0</v>
      </c>
      <c r="G84" s="269">
        <f>+ก.ค.!G84+ส.ค.!G84+ก.ย.!G84</f>
        <v>0</v>
      </c>
      <c r="H84" s="269">
        <f>+ก.ค.!H84+ส.ค.!H84+ก.ย.!H84</f>
        <v>0</v>
      </c>
      <c r="I84" s="269">
        <f>+ก.ค.!I84+ส.ค.!I84+ก.ย.!I84</f>
        <v>0</v>
      </c>
      <c r="J84" s="269">
        <f>+ก.ค.!J84+ส.ค.!J84+ก.ย.!J84</f>
        <v>0</v>
      </c>
      <c r="K84" s="269">
        <f>+ก.ค.!K84+ส.ค.!K84+ก.ย.!K84</f>
        <v>0</v>
      </c>
      <c r="L84" s="269">
        <f>+ก.ค.!L84+ส.ค.!L84+ก.ย.!L84</f>
        <v>0</v>
      </c>
      <c r="M84" s="269">
        <f>+ก.ค.!M84+ส.ค.!M84+ก.ย.!M84</f>
        <v>0</v>
      </c>
      <c r="N84" s="269">
        <f>+ก.ค.!N84+ส.ค.!N84+ก.ย.!N84</f>
        <v>0</v>
      </c>
      <c r="O84" s="269">
        <f>+ก.ค.!O84+ส.ค.!O84+ก.ย.!O84</f>
        <v>0</v>
      </c>
      <c r="P84" s="269">
        <f>+ก.ค.!P84+ส.ค.!P84+ก.ย.!P84</f>
        <v>0</v>
      </c>
      <c r="Q84" s="269">
        <f>+ก.ค.!Q84+ส.ค.!Q84+ก.ย.!Q84</f>
        <v>0</v>
      </c>
      <c r="R84" s="269">
        <f>+ก.ค.!R84+ส.ค.!R84+ก.ย.!R84</f>
        <v>0</v>
      </c>
      <c r="S84" s="269">
        <f>+ก.ค.!S84+ส.ค.!S84+ก.ย.!S84</f>
        <v>0</v>
      </c>
      <c r="T84" s="269">
        <f>+ก.ค.!T84+ส.ค.!T84+ก.ย.!T84</f>
        <v>0</v>
      </c>
      <c r="U84" s="269">
        <f>+ก.ค.!U84+ส.ค.!U84+ก.ย.!U84</f>
        <v>0</v>
      </c>
      <c r="V84" s="269">
        <f>+ก.ค.!V84+ส.ค.!V84+ก.ย.!V84</f>
        <v>0</v>
      </c>
      <c r="X84" s="221"/>
    </row>
    <row r="85" spans="1:24" s="310" customFormat="1" ht="25.5" customHeight="1">
      <c r="A85" s="9"/>
      <c r="B85" s="187" t="s">
        <v>298</v>
      </c>
      <c r="C85" s="279">
        <v>20000</v>
      </c>
      <c r="D85" s="195"/>
      <c r="E85" s="269">
        <f>+ก.ค.!E85+ส.ค.!E85+ก.ย.!E85</f>
        <v>0</v>
      </c>
      <c r="F85" s="269">
        <f>+ก.ค.!F85+ส.ค.!F85+ก.ย.!F85</f>
        <v>0</v>
      </c>
      <c r="G85" s="269">
        <f>+ก.ค.!G85+ส.ค.!G85+ก.ย.!G85</f>
        <v>9825</v>
      </c>
      <c r="H85" s="269">
        <f>+ก.ค.!H85+ส.ค.!H85+ก.ย.!H85</f>
        <v>0</v>
      </c>
      <c r="I85" s="269">
        <f>+ก.ค.!I85+ส.ค.!I85+ก.ย.!I85</f>
        <v>0</v>
      </c>
      <c r="J85" s="269">
        <f>+ก.ค.!J85+ส.ค.!J85+ก.ย.!J85</f>
        <v>0</v>
      </c>
      <c r="K85" s="269">
        <f>+ก.ค.!K85+ส.ค.!K85+ก.ย.!K85</f>
        <v>0</v>
      </c>
      <c r="L85" s="269">
        <f>+ก.ค.!L85+ส.ค.!L85+ก.ย.!L85</f>
        <v>0</v>
      </c>
      <c r="M85" s="269">
        <f>+ก.ค.!M85+ส.ค.!M85+ก.ย.!M85</f>
        <v>0</v>
      </c>
      <c r="N85" s="269">
        <f>+ก.ค.!N85+ส.ค.!N85+ก.ย.!N85</f>
        <v>0</v>
      </c>
      <c r="O85" s="269">
        <f>+ก.ค.!O85+ส.ค.!O85+ก.ย.!O85</f>
        <v>0</v>
      </c>
      <c r="P85" s="269">
        <f>+ก.ค.!P85+ส.ค.!P85+ก.ย.!P85</f>
        <v>0</v>
      </c>
      <c r="Q85" s="269">
        <f>+ก.ค.!Q85+ส.ค.!Q85+ก.ย.!Q85</f>
        <v>0</v>
      </c>
      <c r="R85" s="269">
        <f>+ก.ค.!R85+ส.ค.!R85+ก.ย.!R85</f>
        <v>0</v>
      </c>
      <c r="S85" s="269">
        <f>+ก.ค.!S85+ส.ค.!S85+ก.ย.!S85</f>
        <v>0</v>
      </c>
      <c r="T85" s="269">
        <f>+ก.ค.!T85+ส.ค.!T85+ก.ย.!T85</f>
        <v>0</v>
      </c>
      <c r="U85" s="269">
        <f>+ก.ค.!U85+ส.ค.!U85+ก.ย.!U85</f>
        <v>0</v>
      </c>
      <c r="V85" s="269">
        <f>+ก.ค.!V85+ส.ค.!V85+ก.ย.!V85</f>
        <v>0</v>
      </c>
      <c r="X85" s="221"/>
    </row>
    <row r="86" spans="1:24" s="310" customFormat="1" ht="25.5" customHeight="1">
      <c r="A86" s="9"/>
      <c r="B86" s="187" t="s">
        <v>299</v>
      </c>
      <c r="C86" s="279">
        <v>15000</v>
      </c>
      <c r="D86" s="195"/>
      <c r="E86" s="269">
        <f>+ก.ค.!E86+ส.ค.!E86+ก.ย.!E86</f>
        <v>0</v>
      </c>
      <c r="F86" s="269">
        <f>+ก.ค.!F86+ส.ค.!F86+ก.ย.!F86</f>
        <v>0</v>
      </c>
      <c r="G86" s="269">
        <f>+ก.ค.!G86+ส.ค.!G86+ก.ย.!G86</f>
        <v>0</v>
      </c>
      <c r="H86" s="269">
        <f>+ก.ค.!H86+ส.ค.!H86+ก.ย.!H86</f>
        <v>0</v>
      </c>
      <c r="I86" s="269">
        <f>+ก.ค.!I86+ส.ค.!I86+ก.ย.!I86</f>
        <v>0</v>
      </c>
      <c r="J86" s="269">
        <f>+ก.ค.!J86+ส.ค.!J86+ก.ย.!J86</f>
        <v>0</v>
      </c>
      <c r="K86" s="269">
        <f>+ก.ค.!K86+ส.ค.!K86+ก.ย.!K86</f>
        <v>0</v>
      </c>
      <c r="L86" s="269">
        <f>+ก.ค.!L86+ส.ค.!L86+ก.ย.!L86</f>
        <v>0</v>
      </c>
      <c r="M86" s="269">
        <f>+ก.ค.!M86+ส.ค.!M86+ก.ย.!M86</f>
        <v>0</v>
      </c>
      <c r="N86" s="269">
        <f>+ก.ค.!N86+ส.ค.!N86+ก.ย.!N86</f>
        <v>0</v>
      </c>
      <c r="O86" s="269">
        <f>+ก.ค.!O86+ส.ค.!O86+ก.ย.!O86</f>
        <v>0</v>
      </c>
      <c r="P86" s="269">
        <f>+ก.ค.!P86+ส.ค.!P86+ก.ย.!P86</f>
        <v>0</v>
      </c>
      <c r="Q86" s="269">
        <f>+ก.ค.!Q86+ส.ค.!Q86+ก.ย.!Q86</f>
        <v>0</v>
      </c>
      <c r="R86" s="269">
        <f>+ก.ค.!R86+ส.ค.!R86+ก.ย.!R86</f>
        <v>0</v>
      </c>
      <c r="S86" s="269">
        <f>+ก.ค.!S86+ส.ค.!S86+ก.ย.!S86</f>
        <v>0</v>
      </c>
      <c r="T86" s="269">
        <f>+ก.ค.!T86+ส.ค.!T86+ก.ย.!T86</f>
        <v>0</v>
      </c>
      <c r="U86" s="269">
        <f>+ก.ค.!U86+ส.ค.!U86+ก.ย.!U86</f>
        <v>0</v>
      </c>
      <c r="V86" s="269">
        <f>+ก.ค.!V86+ส.ค.!V86+ก.ย.!V86</f>
        <v>0</v>
      </c>
      <c r="X86" s="221"/>
    </row>
    <row r="87" spans="1:24" s="310" customFormat="1" ht="25.5" customHeight="1">
      <c r="A87" s="9"/>
      <c r="B87" s="187" t="s">
        <v>300</v>
      </c>
      <c r="C87" s="279">
        <v>10000</v>
      </c>
      <c r="D87" s="195"/>
      <c r="E87" s="269">
        <f>+ก.ค.!E87+ส.ค.!E87+ก.ย.!E87</f>
        <v>0</v>
      </c>
      <c r="F87" s="269">
        <f>+ก.ค.!F87+ส.ค.!F87+ก.ย.!F87</f>
        <v>0</v>
      </c>
      <c r="G87" s="269">
        <f>+ก.ค.!G87+ส.ค.!G87+ก.ย.!G87</f>
        <v>0</v>
      </c>
      <c r="H87" s="269">
        <f>+ก.ค.!H87+ส.ค.!H87+ก.ย.!H87</f>
        <v>0</v>
      </c>
      <c r="I87" s="269">
        <f>+ก.ค.!I87+ส.ค.!I87+ก.ย.!I87</f>
        <v>0</v>
      </c>
      <c r="J87" s="269">
        <f>+ก.ค.!J87+ส.ค.!J87+ก.ย.!J87</f>
        <v>0</v>
      </c>
      <c r="K87" s="269">
        <f>+ก.ค.!K87+ส.ค.!K87+ก.ย.!K87</f>
        <v>0</v>
      </c>
      <c r="L87" s="269">
        <f>+ก.ค.!L87+ส.ค.!L87+ก.ย.!L87</f>
        <v>0</v>
      </c>
      <c r="M87" s="269">
        <f>+ก.ค.!M87+ส.ค.!M87+ก.ย.!M87</f>
        <v>0</v>
      </c>
      <c r="N87" s="269">
        <f>+ก.ค.!N87+ส.ค.!N87+ก.ย.!N87</f>
        <v>0</v>
      </c>
      <c r="O87" s="269">
        <f>+ก.ค.!O87+ส.ค.!O87+ก.ย.!O87</f>
        <v>0</v>
      </c>
      <c r="P87" s="269">
        <f>+ก.ค.!P87+ส.ค.!P87+ก.ย.!P87</f>
        <v>0</v>
      </c>
      <c r="Q87" s="269">
        <f>+ก.ค.!Q87+ส.ค.!Q87+ก.ย.!Q87</f>
        <v>0</v>
      </c>
      <c r="R87" s="269">
        <f>+ก.ค.!R87+ส.ค.!R87+ก.ย.!R87</f>
        <v>0</v>
      </c>
      <c r="S87" s="269">
        <f>+ก.ค.!S87+ส.ค.!S87+ก.ย.!S87</f>
        <v>0</v>
      </c>
      <c r="T87" s="269">
        <f>+ก.ค.!T87+ส.ค.!T87+ก.ย.!T87</f>
        <v>0</v>
      </c>
      <c r="U87" s="269">
        <f>+ก.ค.!U87+ส.ค.!U87+ก.ย.!U87</f>
        <v>0</v>
      </c>
      <c r="V87" s="269">
        <f>+ก.ค.!V87+ส.ค.!V87+ก.ย.!V87</f>
        <v>0</v>
      </c>
      <c r="X87" s="221"/>
    </row>
    <row r="88" spans="1:24" s="310" customFormat="1" ht="25.5" customHeight="1">
      <c r="A88" s="9"/>
      <c r="B88" s="187" t="s">
        <v>301</v>
      </c>
      <c r="C88" s="279">
        <v>345100</v>
      </c>
      <c r="D88" s="195"/>
      <c r="E88" s="269">
        <f>+ก.ค.!E88+ส.ค.!E88+ก.ย.!E88</f>
        <v>0</v>
      </c>
      <c r="F88" s="269">
        <f>+ก.ค.!F88+ส.ค.!F88+ก.ย.!F88</f>
        <v>0</v>
      </c>
      <c r="G88" s="269">
        <f>+ก.ค.!G88+ส.ค.!G88+ก.ย.!G88</f>
        <v>0</v>
      </c>
      <c r="H88" s="269">
        <f>+ก.ค.!H88+ส.ค.!H88+ก.ย.!H88</f>
        <v>0</v>
      </c>
      <c r="I88" s="269">
        <f>+ก.ค.!I88+ส.ค.!I88+ก.ย.!I88</f>
        <v>0</v>
      </c>
      <c r="J88" s="269">
        <f>+ก.ค.!J88+ส.ค.!J88+ก.ย.!J88</f>
        <v>0</v>
      </c>
      <c r="K88" s="269">
        <f>+ก.ค.!K88+ส.ค.!K88+ก.ย.!K88</f>
        <v>0</v>
      </c>
      <c r="L88" s="269">
        <f>+ก.ค.!L88+ส.ค.!L88+ก.ย.!L88</f>
        <v>0</v>
      </c>
      <c r="M88" s="269">
        <f>+ก.ค.!M88+ส.ค.!M88+ก.ย.!M88</f>
        <v>0</v>
      </c>
      <c r="N88" s="269">
        <f>+ก.ค.!N88+ส.ค.!N88+ก.ย.!N88</f>
        <v>0</v>
      </c>
      <c r="O88" s="269">
        <f>+ก.ค.!O88+ส.ค.!O88+ก.ย.!O88</f>
        <v>0</v>
      </c>
      <c r="P88" s="269">
        <f>+ก.ค.!P88+ส.ค.!P88+ก.ย.!P88</f>
        <v>0</v>
      </c>
      <c r="Q88" s="269">
        <f>+ก.ค.!Q88+ส.ค.!Q88+ก.ย.!Q88</f>
        <v>0</v>
      </c>
      <c r="R88" s="269">
        <f>+ก.ค.!R88+ส.ค.!R88+ก.ย.!R88</f>
        <v>0</v>
      </c>
      <c r="S88" s="269">
        <f>+ก.ค.!S88+ส.ค.!S88+ก.ย.!S88</f>
        <v>0</v>
      </c>
      <c r="T88" s="269">
        <f>+ก.ค.!T88+ส.ค.!T88+ก.ย.!T88</f>
        <v>0</v>
      </c>
      <c r="U88" s="269">
        <f>+ก.ค.!U88+ส.ค.!U88+ก.ย.!U88</f>
        <v>0</v>
      </c>
      <c r="V88" s="269">
        <f>+ก.ค.!V88+ส.ค.!V88+ก.ย.!V88</f>
        <v>0</v>
      </c>
      <c r="X88" s="221"/>
    </row>
    <row r="89" spans="1:24" s="310" customFormat="1" ht="25.5" customHeight="1">
      <c r="A89" s="9"/>
      <c r="B89" s="187" t="s">
        <v>242</v>
      </c>
      <c r="C89" s="279">
        <v>40000</v>
      </c>
      <c r="D89" s="195"/>
      <c r="E89" s="269">
        <f>+ก.ค.!E89+ส.ค.!E89+ก.ย.!E89</f>
        <v>0</v>
      </c>
      <c r="F89" s="269">
        <f>+ก.ค.!F89+ส.ค.!F89+ก.ย.!F89</f>
        <v>0</v>
      </c>
      <c r="G89" s="269">
        <f>+ก.ค.!G89+ส.ค.!G89+ก.ย.!G89</f>
        <v>0</v>
      </c>
      <c r="H89" s="269">
        <f>+ก.ค.!H89+ส.ค.!H89+ก.ย.!H89</f>
        <v>0</v>
      </c>
      <c r="I89" s="269">
        <f>+ก.ค.!I89+ส.ค.!I89+ก.ย.!I89</f>
        <v>0</v>
      </c>
      <c r="J89" s="269">
        <f>+ก.ค.!J89+ส.ค.!J89+ก.ย.!J89</f>
        <v>0</v>
      </c>
      <c r="K89" s="269">
        <f>+ก.ค.!K89+ส.ค.!K89+ก.ย.!K89</f>
        <v>0</v>
      </c>
      <c r="L89" s="269">
        <f>+ก.ค.!L89+ส.ค.!L89+ก.ย.!L89</f>
        <v>0</v>
      </c>
      <c r="M89" s="269">
        <f>+ก.ค.!M89+ส.ค.!M89+ก.ย.!M89</f>
        <v>0</v>
      </c>
      <c r="N89" s="269">
        <f>+ก.ค.!N89+ส.ค.!N89+ก.ย.!N89</f>
        <v>0</v>
      </c>
      <c r="O89" s="269">
        <f>+ก.ค.!O89+ส.ค.!O89+ก.ย.!O89</f>
        <v>0</v>
      </c>
      <c r="P89" s="269">
        <f>+ก.ค.!P89+ส.ค.!P89+ก.ย.!P89</f>
        <v>0</v>
      </c>
      <c r="Q89" s="269">
        <f>+ก.ค.!Q89+ส.ค.!Q89+ก.ย.!Q89</f>
        <v>0</v>
      </c>
      <c r="R89" s="269">
        <f>+ก.ค.!R89+ส.ค.!R89+ก.ย.!R89</f>
        <v>0</v>
      </c>
      <c r="S89" s="269">
        <f>+ก.ค.!S89+ส.ค.!S89+ก.ย.!S89</f>
        <v>0</v>
      </c>
      <c r="T89" s="269">
        <f>+ก.ค.!T89+ส.ค.!T89+ก.ย.!T89</f>
        <v>0</v>
      </c>
      <c r="U89" s="269">
        <f>+ก.ค.!U89+ส.ค.!U89+ก.ย.!U89</f>
        <v>0</v>
      </c>
      <c r="V89" s="269">
        <f>+ก.ค.!V89+ส.ค.!V89+ก.ย.!V89</f>
        <v>0</v>
      </c>
      <c r="X89" s="221"/>
    </row>
    <row r="90" spans="1:24" s="310" customFormat="1" ht="25.5" customHeight="1">
      <c r="A90" s="9"/>
      <c r="B90" s="187" t="s">
        <v>307</v>
      </c>
      <c r="C90" s="279">
        <f>10000-10000</f>
        <v>0</v>
      </c>
      <c r="D90" s="131"/>
      <c r="E90" s="269">
        <f>+ก.ค.!E90+ส.ค.!E90+ก.ย.!E90</f>
        <v>0</v>
      </c>
      <c r="F90" s="269">
        <f>+ก.ค.!F90+ส.ค.!F90+ก.ย.!F90</f>
        <v>0</v>
      </c>
      <c r="G90" s="269">
        <f>+ก.ค.!G90+ส.ค.!G90+ก.ย.!G90</f>
        <v>0</v>
      </c>
      <c r="H90" s="269">
        <f>+ก.ค.!H90+ส.ค.!H90+ก.ย.!H90</f>
        <v>0</v>
      </c>
      <c r="I90" s="269">
        <f>+ก.ค.!I90+ส.ค.!I90+ก.ย.!I90</f>
        <v>0</v>
      </c>
      <c r="J90" s="269">
        <f>+ก.ค.!J90+ส.ค.!J90+ก.ย.!J90</f>
        <v>0</v>
      </c>
      <c r="K90" s="269">
        <f>+ก.ค.!K90+ส.ค.!K90+ก.ย.!K90</f>
        <v>0</v>
      </c>
      <c r="L90" s="269">
        <f>+ก.ค.!L90+ส.ค.!L90+ก.ย.!L90</f>
        <v>0</v>
      </c>
      <c r="M90" s="269">
        <f>+ก.ค.!M90+ส.ค.!M90+ก.ย.!M90</f>
        <v>0</v>
      </c>
      <c r="N90" s="269">
        <f>+ก.ค.!N90+ส.ค.!N90+ก.ย.!N90</f>
        <v>0</v>
      </c>
      <c r="O90" s="269">
        <f>+ก.ค.!O90+ส.ค.!O90+ก.ย.!O90</f>
        <v>0</v>
      </c>
      <c r="P90" s="269">
        <f>+ก.ค.!P90+ส.ค.!P90+ก.ย.!P90</f>
        <v>0</v>
      </c>
      <c r="Q90" s="269">
        <f>+ก.ค.!Q90+ส.ค.!Q90+ก.ย.!Q90</f>
        <v>0</v>
      </c>
      <c r="R90" s="269">
        <f>+ก.ค.!R90+ส.ค.!R90+ก.ย.!R90</f>
        <v>0</v>
      </c>
      <c r="S90" s="269">
        <f>+ก.ค.!S90+ส.ค.!S90+ก.ย.!S90</f>
        <v>0</v>
      </c>
      <c r="T90" s="269">
        <f>+ก.ค.!T90+ส.ค.!T90+ก.ย.!T90</f>
        <v>0</v>
      </c>
      <c r="U90" s="269">
        <f>+ก.ค.!U90+ส.ค.!U90+ก.ย.!U90</f>
        <v>0</v>
      </c>
      <c r="V90" s="269">
        <f>+ก.ค.!V90+ส.ค.!V90+ก.ย.!V90</f>
        <v>0</v>
      </c>
      <c r="X90" s="221"/>
    </row>
    <row r="91" spans="1:24" s="310" customFormat="1" ht="25.5" customHeight="1">
      <c r="A91" s="9"/>
      <c r="B91" s="187" t="s">
        <v>134</v>
      </c>
      <c r="C91" s="279">
        <f>15000-10000</f>
        <v>5000</v>
      </c>
      <c r="D91" s="195"/>
      <c r="E91" s="269">
        <f>+ก.ค.!E91+ส.ค.!E91+ก.ย.!E91</f>
        <v>0</v>
      </c>
      <c r="F91" s="269">
        <f>+ก.ค.!F91+ส.ค.!F91+ก.ย.!F91</f>
        <v>0</v>
      </c>
      <c r="G91" s="269">
        <f>+ก.ค.!G91+ส.ค.!G91+ก.ย.!G91</f>
        <v>0</v>
      </c>
      <c r="H91" s="269">
        <f>+ก.ค.!H91+ส.ค.!H91+ก.ย.!H91</f>
        <v>0</v>
      </c>
      <c r="I91" s="269">
        <f>+ก.ค.!I91+ส.ค.!I91+ก.ย.!I91</f>
        <v>0</v>
      </c>
      <c r="J91" s="269">
        <f>+ก.ค.!J91+ส.ค.!J91+ก.ย.!J91</f>
        <v>0</v>
      </c>
      <c r="K91" s="269">
        <f>+ก.ค.!K91+ส.ค.!K91+ก.ย.!K91</f>
        <v>0</v>
      </c>
      <c r="L91" s="269">
        <f>+ก.ค.!L91+ส.ค.!L91+ก.ย.!L91</f>
        <v>0</v>
      </c>
      <c r="M91" s="269">
        <f>+ก.ค.!M91+ส.ค.!M91+ก.ย.!M91</f>
        <v>0</v>
      </c>
      <c r="N91" s="269">
        <f>+ก.ค.!N91+ส.ค.!N91+ก.ย.!N91</f>
        <v>0</v>
      </c>
      <c r="O91" s="269">
        <f>+ก.ค.!O91+ส.ค.!O91+ก.ย.!O91</f>
        <v>0</v>
      </c>
      <c r="P91" s="269">
        <f>+ก.ค.!P91+ส.ค.!P91+ก.ย.!P91</f>
        <v>0</v>
      </c>
      <c r="Q91" s="269">
        <f>+ก.ค.!Q91+ส.ค.!Q91+ก.ย.!Q91</f>
        <v>0</v>
      </c>
      <c r="R91" s="269">
        <f>+ก.ค.!R91+ส.ค.!R91+ก.ย.!R91</f>
        <v>0</v>
      </c>
      <c r="S91" s="269">
        <f>+ก.ค.!S91+ส.ค.!S91+ก.ย.!S91</f>
        <v>0</v>
      </c>
      <c r="T91" s="269">
        <f>+ก.ค.!T91+ส.ค.!T91+ก.ย.!T91</f>
        <v>0</v>
      </c>
      <c r="U91" s="269">
        <f>+ก.ค.!U91+ส.ค.!U91+ก.ย.!U91</f>
        <v>0</v>
      </c>
      <c r="V91" s="269">
        <f>+ก.ค.!V91+ส.ค.!V91+ก.ย.!V91</f>
        <v>0</v>
      </c>
      <c r="X91" s="221"/>
    </row>
    <row r="92" spans="1:24" s="310" customFormat="1" ht="25.5" customHeight="1">
      <c r="A92" s="9"/>
      <c r="B92" s="187" t="s">
        <v>308</v>
      </c>
      <c r="C92" s="279">
        <f>2500-2500</f>
        <v>0</v>
      </c>
      <c r="D92" s="195"/>
      <c r="E92" s="269">
        <f>+ก.ค.!E92+ส.ค.!E92+ก.ย.!E92</f>
        <v>0</v>
      </c>
      <c r="F92" s="269">
        <f>+ก.ค.!F92+ส.ค.!F92+ก.ย.!F92</f>
        <v>0</v>
      </c>
      <c r="G92" s="269">
        <f>+ก.ค.!G92+ส.ค.!G92+ก.ย.!G92</f>
        <v>0</v>
      </c>
      <c r="H92" s="269">
        <f>+ก.ค.!H92+ส.ค.!H92+ก.ย.!H92</f>
        <v>0</v>
      </c>
      <c r="I92" s="269">
        <f>+ก.ค.!I92+ส.ค.!I92+ก.ย.!I92</f>
        <v>0</v>
      </c>
      <c r="J92" s="269">
        <f>+ก.ค.!J92+ส.ค.!J92+ก.ย.!J92</f>
        <v>0</v>
      </c>
      <c r="K92" s="269">
        <f>+ก.ค.!K92+ส.ค.!K92+ก.ย.!K92</f>
        <v>0</v>
      </c>
      <c r="L92" s="269">
        <f>+ก.ค.!L92+ส.ค.!L92+ก.ย.!L92</f>
        <v>0</v>
      </c>
      <c r="M92" s="269">
        <f>+ก.ค.!M92+ส.ค.!M92+ก.ย.!M92</f>
        <v>0</v>
      </c>
      <c r="N92" s="269">
        <f>+ก.ค.!N92+ส.ค.!N92+ก.ย.!N92</f>
        <v>0</v>
      </c>
      <c r="O92" s="269">
        <f>+ก.ค.!O92+ส.ค.!O92+ก.ย.!O92</f>
        <v>0</v>
      </c>
      <c r="P92" s="269">
        <f>+ก.ค.!P92+ส.ค.!P92+ก.ย.!P92</f>
        <v>0</v>
      </c>
      <c r="Q92" s="269">
        <f>+ก.ค.!Q92+ส.ค.!Q92+ก.ย.!Q92</f>
        <v>0</v>
      </c>
      <c r="R92" s="269">
        <f>+ก.ค.!R92+ส.ค.!R92+ก.ย.!R92</f>
        <v>0</v>
      </c>
      <c r="S92" s="269">
        <f>+ก.ค.!S92+ส.ค.!S92+ก.ย.!S92</f>
        <v>0</v>
      </c>
      <c r="T92" s="269">
        <f>+ก.ค.!T92+ส.ค.!T92+ก.ย.!T92</f>
        <v>0</v>
      </c>
      <c r="U92" s="269">
        <f>+ก.ค.!U92+ส.ค.!U92+ก.ย.!U92</f>
        <v>0</v>
      </c>
      <c r="V92" s="269">
        <f>+ก.ค.!V92+ส.ค.!V92+ก.ย.!V92</f>
        <v>0</v>
      </c>
      <c r="X92" s="221"/>
    </row>
    <row r="93" spans="1:24" s="310" customFormat="1" ht="25.5" customHeight="1">
      <c r="A93" s="9"/>
      <c r="B93" s="187" t="s">
        <v>309</v>
      </c>
      <c r="C93" s="279">
        <f>2500-2500</f>
        <v>0</v>
      </c>
      <c r="D93" s="195"/>
      <c r="E93" s="269">
        <f>+ก.ค.!E93+ส.ค.!E93+ก.ย.!E93</f>
        <v>0</v>
      </c>
      <c r="F93" s="269">
        <f>+ก.ค.!F93+ส.ค.!F93+ก.ย.!F93</f>
        <v>0</v>
      </c>
      <c r="G93" s="269">
        <f>+ก.ค.!G93+ส.ค.!G93+ก.ย.!G93</f>
        <v>0</v>
      </c>
      <c r="H93" s="269">
        <f>+ก.ค.!H93+ส.ค.!H93+ก.ย.!H93</f>
        <v>0</v>
      </c>
      <c r="I93" s="269">
        <f>+ก.ค.!I93+ส.ค.!I93+ก.ย.!I93</f>
        <v>0</v>
      </c>
      <c r="J93" s="269">
        <f>+ก.ค.!J93+ส.ค.!J93+ก.ย.!J93</f>
        <v>0</v>
      </c>
      <c r="K93" s="269">
        <f>+ก.ค.!K93+ส.ค.!K93+ก.ย.!K93</f>
        <v>0</v>
      </c>
      <c r="L93" s="269">
        <f>+ก.ค.!L93+ส.ค.!L93+ก.ย.!L93</f>
        <v>0</v>
      </c>
      <c r="M93" s="269">
        <f>+ก.ค.!M93+ส.ค.!M93+ก.ย.!M93</f>
        <v>0</v>
      </c>
      <c r="N93" s="269">
        <f>+ก.ค.!N93+ส.ค.!N93+ก.ย.!N93</f>
        <v>0</v>
      </c>
      <c r="O93" s="269">
        <f>+ก.ค.!O93+ส.ค.!O93+ก.ย.!O93</f>
        <v>0</v>
      </c>
      <c r="P93" s="269">
        <f>+ก.ค.!P93+ส.ค.!P93+ก.ย.!P93</f>
        <v>0</v>
      </c>
      <c r="Q93" s="269">
        <f>+ก.ค.!Q93+ส.ค.!Q93+ก.ย.!Q93</f>
        <v>0</v>
      </c>
      <c r="R93" s="269">
        <f>+ก.ค.!R93+ส.ค.!R93+ก.ย.!R93</f>
        <v>0</v>
      </c>
      <c r="S93" s="269">
        <f>+ก.ค.!S93+ส.ค.!S93+ก.ย.!S93</f>
        <v>0</v>
      </c>
      <c r="T93" s="269">
        <f>+ก.ค.!T93+ส.ค.!T93+ก.ย.!T93</f>
        <v>0</v>
      </c>
      <c r="U93" s="269">
        <f>+ก.ค.!U93+ส.ค.!U93+ก.ย.!U93</f>
        <v>0</v>
      </c>
      <c r="V93" s="269">
        <f>+ก.ค.!V93+ส.ค.!V93+ก.ย.!V93</f>
        <v>0</v>
      </c>
      <c r="X93" s="221"/>
    </row>
    <row r="94" spans="1:24" s="310" customFormat="1" ht="25.5" customHeight="1">
      <c r="A94" s="9"/>
      <c r="B94" s="187" t="s">
        <v>310</v>
      </c>
      <c r="C94" s="279">
        <f>2500-2500</f>
        <v>0</v>
      </c>
      <c r="D94" s="195"/>
      <c r="E94" s="269">
        <f>+ก.ค.!E94+ส.ค.!E94+ก.ย.!E94</f>
        <v>0</v>
      </c>
      <c r="F94" s="269">
        <f>+ก.ค.!F94+ส.ค.!F94+ก.ย.!F94</f>
        <v>0</v>
      </c>
      <c r="G94" s="269">
        <f>+ก.ค.!G94+ส.ค.!G94+ก.ย.!G94</f>
        <v>0</v>
      </c>
      <c r="H94" s="269">
        <f>+ก.ค.!H94+ส.ค.!H94+ก.ย.!H94</f>
        <v>0</v>
      </c>
      <c r="I94" s="269">
        <f>+ก.ค.!I94+ส.ค.!I94+ก.ย.!I94</f>
        <v>0</v>
      </c>
      <c r="J94" s="269">
        <f>+ก.ค.!J94+ส.ค.!J94+ก.ย.!J94</f>
        <v>0</v>
      </c>
      <c r="K94" s="269">
        <f>+ก.ค.!K94+ส.ค.!K94+ก.ย.!K94</f>
        <v>0</v>
      </c>
      <c r="L94" s="269">
        <f>+ก.ค.!L94+ส.ค.!L94+ก.ย.!L94</f>
        <v>0</v>
      </c>
      <c r="M94" s="269">
        <f>+ก.ค.!M94+ส.ค.!M94+ก.ย.!M94</f>
        <v>0</v>
      </c>
      <c r="N94" s="269">
        <f>+ก.ค.!N94+ส.ค.!N94+ก.ย.!N94</f>
        <v>0</v>
      </c>
      <c r="O94" s="269">
        <f>+ก.ค.!O94+ส.ค.!O94+ก.ย.!O94</f>
        <v>0</v>
      </c>
      <c r="P94" s="269">
        <f>+ก.ค.!P94+ส.ค.!P94+ก.ย.!P94</f>
        <v>0</v>
      </c>
      <c r="Q94" s="269">
        <f>+ก.ค.!Q94+ส.ค.!Q94+ก.ย.!Q94</f>
        <v>0</v>
      </c>
      <c r="R94" s="269">
        <f>+ก.ค.!R94+ส.ค.!R94+ก.ย.!R94</f>
        <v>0</v>
      </c>
      <c r="S94" s="269">
        <f>+ก.ค.!S94+ส.ค.!S94+ก.ย.!S94</f>
        <v>0</v>
      </c>
      <c r="T94" s="269">
        <f>+ก.ค.!T94+ส.ค.!T94+ก.ย.!T94</f>
        <v>0</v>
      </c>
      <c r="U94" s="269">
        <f>+ก.ค.!U94+ส.ค.!U94+ก.ย.!U94</f>
        <v>0</v>
      </c>
      <c r="V94" s="269">
        <f>+ก.ค.!V94+ส.ค.!V94+ก.ย.!V94</f>
        <v>0</v>
      </c>
      <c r="X94" s="221"/>
    </row>
    <row r="95" spans="1:24" s="310" customFormat="1" ht="25.5" customHeight="1">
      <c r="A95" s="9"/>
      <c r="B95" s="187" t="s">
        <v>311</v>
      </c>
      <c r="C95" s="279">
        <f>2500-2500</f>
        <v>0</v>
      </c>
      <c r="D95" s="195"/>
      <c r="E95" s="269">
        <f>+ก.ค.!E95+ส.ค.!E95+ก.ย.!E95</f>
        <v>0</v>
      </c>
      <c r="F95" s="269">
        <f>+ก.ค.!F95+ส.ค.!F95+ก.ย.!F95</f>
        <v>0</v>
      </c>
      <c r="G95" s="269">
        <f>+ก.ค.!G95+ส.ค.!G95+ก.ย.!G95</f>
        <v>0</v>
      </c>
      <c r="H95" s="269">
        <f>+ก.ค.!H95+ส.ค.!H95+ก.ย.!H95</f>
        <v>0</v>
      </c>
      <c r="I95" s="269">
        <f>+ก.ค.!I95+ส.ค.!I95+ก.ย.!I95</f>
        <v>0</v>
      </c>
      <c r="J95" s="269">
        <f>+ก.ค.!J95+ส.ค.!J95+ก.ย.!J95</f>
        <v>0</v>
      </c>
      <c r="K95" s="269">
        <f>+ก.ค.!K95+ส.ค.!K95+ก.ย.!K95</f>
        <v>0</v>
      </c>
      <c r="L95" s="269">
        <f>+ก.ค.!L95+ส.ค.!L95+ก.ย.!L95</f>
        <v>0</v>
      </c>
      <c r="M95" s="269">
        <f>+ก.ค.!M95+ส.ค.!M95+ก.ย.!M95</f>
        <v>0</v>
      </c>
      <c r="N95" s="269">
        <f>+ก.ค.!N95+ส.ค.!N95+ก.ย.!N95</f>
        <v>0</v>
      </c>
      <c r="O95" s="269">
        <f>+ก.ค.!O95+ส.ค.!O95+ก.ย.!O95</f>
        <v>0</v>
      </c>
      <c r="P95" s="269">
        <f>+ก.ค.!P95+ส.ค.!P95+ก.ย.!P95</f>
        <v>0</v>
      </c>
      <c r="Q95" s="269">
        <f>+ก.ค.!Q95+ส.ค.!Q95+ก.ย.!Q95</f>
        <v>0</v>
      </c>
      <c r="R95" s="269">
        <f>+ก.ค.!R95+ส.ค.!R95+ก.ย.!R95</f>
        <v>0</v>
      </c>
      <c r="S95" s="269">
        <f>+ก.ค.!S95+ส.ค.!S95+ก.ย.!S95</f>
        <v>0</v>
      </c>
      <c r="T95" s="269">
        <f>+ก.ค.!T95+ส.ค.!T95+ก.ย.!T95</f>
        <v>0</v>
      </c>
      <c r="U95" s="269">
        <f>+ก.ค.!U95+ส.ค.!U95+ก.ย.!U95</f>
        <v>0</v>
      </c>
      <c r="V95" s="269">
        <f>+ก.ค.!V95+ส.ค.!V95+ก.ย.!V95</f>
        <v>0</v>
      </c>
      <c r="X95" s="221"/>
    </row>
    <row r="96" spans="1:24" s="310" customFormat="1" ht="25.5" customHeight="1">
      <c r="A96" s="9"/>
      <c r="B96" s="187" t="s">
        <v>243</v>
      </c>
      <c r="C96" s="279">
        <v>2000</v>
      </c>
      <c r="D96" s="195"/>
      <c r="E96" s="269">
        <f>+ก.ค.!E96+ส.ค.!E96+ก.ย.!E96</f>
        <v>0</v>
      </c>
      <c r="F96" s="269">
        <f>+ก.ค.!F96+ส.ค.!F96+ก.ย.!F96</f>
        <v>0</v>
      </c>
      <c r="G96" s="269">
        <f>+ก.ค.!G96+ส.ค.!G96+ก.ย.!G96</f>
        <v>0</v>
      </c>
      <c r="H96" s="269">
        <f>+ก.ค.!H96+ส.ค.!H96+ก.ย.!H96</f>
        <v>0</v>
      </c>
      <c r="I96" s="269">
        <f>+ก.ค.!I96+ส.ค.!I96+ก.ย.!I96</f>
        <v>0</v>
      </c>
      <c r="J96" s="269">
        <f>+ก.ค.!J96+ส.ค.!J96+ก.ย.!J96</f>
        <v>0</v>
      </c>
      <c r="K96" s="269">
        <f>+ก.ค.!K96+ส.ค.!K96+ก.ย.!K96</f>
        <v>0</v>
      </c>
      <c r="L96" s="269">
        <f>+ก.ค.!L96+ส.ค.!L96+ก.ย.!L96</f>
        <v>0</v>
      </c>
      <c r="M96" s="269">
        <f>+ก.ค.!M96+ส.ค.!M96+ก.ย.!M96</f>
        <v>0</v>
      </c>
      <c r="N96" s="269">
        <f>+ก.ค.!N96+ส.ค.!N96+ก.ย.!N96</f>
        <v>0</v>
      </c>
      <c r="O96" s="269">
        <f>+ก.ค.!O96+ส.ค.!O96+ก.ย.!O96</f>
        <v>0</v>
      </c>
      <c r="P96" s="269">
        <f>+ก.ค.!P96+ส.ค.!P96+ก.ย.!P96</f>
        <v>0</v>
      </c>
      <c r="Q96" s="269">
        <f>+ก.ค.!Q96+ส.ค.!Q96+ก.ย.!Q96</f>
        <v>0</v>
      </c>
      <c r="R96" s="269">
        <f>+ก.ค.!R96+ส.ค.!R96+ก.ย.!R96</f>
        <v>0</v>
      </c>
      <c r="S96" s="269">
        <f>+ก.ค.!S96+ส.ค.!S96+ก.ย.!S96</f>
        <v>0</v>
      </c>
      <c r="T96" s="269">
        <f>+ก.ค.!T96+ส.ค.!T96+ก.ย.!T96</f>
        <v>0</v>
      </c>
      <c r="U96" s="269">
        <f>+ก.ค.!U96+ส.ค.!U96+ก.ย.!U96</f>
        <v>0</v>
      </c>
      <c r="V96" s="269">
        <f>+ก.ค.!V96+ส.ค.!V96+ก.ย.!V96</f>
        <v>0</v>
      </c>
      <c r="X96" s="221"/>
    </row>
    <row r="97" spans="1:24" s="310" customFormat="1" ht="25.5" customHeight="1">
      <c r="A97" s="9"/>
      <c r="B97" s="187" t="s">
        <v>248</v>
      </c>
      <c r="C97" s="279">
        <v>2000</v>
      </c>
      <c r="D97" s="195"/>
      <c r="E97" s="269">
        <f>+ก.ค.!E97+ส.ค.!E97+ก.ย.!E97</f>
        <v>0</v>
      </c>
      <c r="F97" s="269">
        <f>+ก.ค.!F97+ส.ค.!F97+ก.ย.!F97</f>
        <v>0</v>
      </c>
      <c r="G97" s="269">
        <f>+ก.ค.!G97+ส.ค.!G97+ก.ย.!G97</f>
        <v>0</v>
      </c>
      <c r="H97" s="269">
        <f>+ก.ค.!H97+ส.ค.!H97+ก.ย.!H97</f>
        <v>0</v>
      </c>
      <c r="I97" s="269">
        <f>+ก.ค.!I97+ส.ค.!I97+ก.ย.!I97</f>
        <v>0</v>
      </c>
      <c r="J97" s="269">
        <f>+ก.ค.!J97+ส.ค.!J97+ก.ย.!J97</f>
        <v>0</v>
      </c>
      <c r="K97" s="269">
        <f>+ก.ค.!K97+ส.ค.!K97+ก.ย.!K97</f>
        <v>0</v>
      </c>
      <c r="L97" s="269">
        <f>+ก.ค.!L97+ส.ค.!L97+ก.ย.!L97</f>
        <v>0</v>
      </c>
      <c r="M97" s="269">
        <f>+ก.ค.!M97+ส.ค.!M97+ก.ย.!M97</f>
        <v>0</v>
      </c>
      <c r="N97" s="269">
        <f>+ก.ค.!N97+ส.ค.!N97+ก.ย.!N97</f>
        <v>0</v>
      </c>
      <c r="O97" s="269">
        <f>+ก.ค.!O97+ส.ค.!O97+ก.ย.!O97</f>
        <v>0</v>
      </c>
      <c r="P97" s="269">
        <f>+ก.ค.!P97+ส.ค.!P97+ก.ย.!P97</f>
        <v>0</v>
      </c>
      <c r="Q97" s="269">
        <f>+ก.ค.!Q97+ส.ค.!Q97+ก.ย.!Q97</f>
        <v>0</v>
      </c>
      <c r="R97" s="269">
        <f>+ก.ค.!R97+ส.ค.!R97+ก.ย.!R97</f>
        <v>0</v>
      </c>
      <c r="S97" s="269">
        <f>+ก.ค.!S97+ส.ค.!S97+ก.ย.!S97</f>
        <v>0</v>
      </c>
      <c r="T97" s="269">
        <f>+ก.ค.!T97+ส.ค.!T97+ก.ย.!T97</f>
        <v>0</v>
      </c>
      <c r="U97" s="269">
        <f>+ก.ค.!U97+ส.ค.!U97+ก.ย.!U97</f>
        <v>0</v>
      </c>
      <c r="V97" s="269">
        <f>+ก.ค.!V97+ส.ค.!V97+ก.ย.!V97</f>
        <v>0</v>
      </c>
      <c r="X97" s="221"/>
    </row>
    <row r="98" spans="1:24" s="310" customFormat="1" ht="25.5" customHeight="1">
      <c r="A98" s="9"/>
      <c r="B98" s="187" t="s">
        <v>244</v>
      </c>
      <c r="C98" s="279">
        <v>2000</v>
      </c>
      <c r="D98" s="195"/>
      <c r="E98" s="269">
        <f>+ก.ค.!E98+ส.ค.!E98+ก.ย.!E98</f>
        <v>0</v>
      </c>
      <c r="F98" s="269">
        <f>+ก.ค.!F98+ส.ค.!F98+ก.ย.!F98</f>
        <v>0</v>
      </c>
      <c r="G98" s="269">
        <f>+ก.ค.!G98+ส.ค.!G98+ก.ย.!G98</f>
        <v>0</v>
      </c>
      <c r="H98" s="269">
        <f>+ก.ค.!H98+ส.ค.!H98+ก.ย.!H98</f>
        <v>0</v>
      </c>
      <c r="I98" s="269">
        <f>+ก.ค.!I98+ส.ค.!I98+ก.ย.!I98</f>
        <v>0</v>
      </c>
      <c r="J98" s="269">
        <f>+ก.ค.!J98+ส.ค.!J98+ก.ย.!J98</f>
        <v>0</v>
      </c>
      <c r="K98" s="269">
        <f>+ก.ค.!K98+ส.ค.!K98+ก.ย.!K98</f>
        <v>0</v>
      </c>
      <c r="L98" s="269">
        <f>+ก.ค.!L98+ส.ค.!L98+ก.ย.!L98</f>
        <v>0</v>
      </c>
      <c r="M98" s="269">
        <f>+ก.ค.!M98+ส.ค.!M98+ก.ย.!M98</f>
        <v>0</v>
      </c>
      <c r="N98" s="269">
        <f>+ก.ค.!N98+ส.ค.!N98+ก.ย.!N98</f>
        <v>0</v>
      </c>
      <c r="O98" s="269">
        <f>+ก.ค.!O98+ส.ค.!O98+ก.ย.!O98</f>
        <v>0</v>
      </c>
      <c r="P98" s="269">
        <f>+ก.ค.!P98+ส.ค.!P98+ก.ย.!P98</f>
        <v>0</v>
      </c>
      <c r="Q98" s="269">
        <f>+ก.ค.!Q98+ส.ค.!Q98+ก.ย.!Q98</f>
        <v>0</v>
      </c>
      <c r="R98" s="269">
        <f>+ก.ค.!R98+ส.ค.!R98+ก.ย.!R98</f>
        <v>0</v>
      </c>
      <c r="S98" s="269">
        <f>+ก.ค.!S98+ส.ค.!S98+ก.ย.!S98</f>
        <v>0</v>
      </c>
      <c r="T98" s="269">
        <f>+ก.ค.!T98+ส.ค.!T98+ก.ย.!T98</f>
        <v>0</v>
      </c>
      <c r="U98" s="269">
        <f>+ก.ค.!U98+ส.ค.!U98+ก.ย.!U98</f>
        <v>0</v>
      </c>
      <c r="V98" s="269">
        <f>+ก.ค.!V98+ส.ค.!V98+ก.ย.!V98</f>
        <v>0</v>
      </c>
      <c r="X98" s="221"/>
    </row>
    <row r="99" spans="1:24" s="310" customFormat="1" ht="25.5" customHeight="1">
      <c r="A99" s="9"/>
      <c r="B99" s="187" t="s">
        <v>245</v>
      </c>
      <c r="C99" s="279">
        <v>2000</v>
      </c>
      <c r="D99" s="195"/>
      <c r="E99" s="269">
        <f>+ก.ค.!E99+ส.ค.!E99+ก.ย.!E99</f>
        <v>0</v>
      </c>
      <c r="F99" s="269">
        <f>+ก.ค.!F99+ส.ค.!F99+ก.ย.!F99</f>
        <v>0</v>
      </c>
      <c r="G99" s="269">
        <f>+ก.ค.!G99+ส.ค.!G99+ก.ย.!G99</f>
        <v>0</v>
      </c>
      <c r="H99" s="269">
        <f>+ก.ค.!H99+ส.ค.!H99+ก.ย.!H99</f>
        <v>0</v>
      </c>
      <c r="I99" s="269">
        <f>+ก.ค.!I99+ส.ค.!I99+ก.ย.!I99</f>
        <v>0</v>
      </c>
      <c r="J99" s="269">
        <f>+ก.ค.!J99+ส.ค.!J99+ก.ย.!J99</f>
        <v>0</v>
      </c>
      <c r="K99" s="269">
        <f>+ก.ค.!K99+ส.ค.!K99+ก.ย.!K99</f>
        <v>0</v>
      </c>
      <c r="L99" s="269">
        <f>+ก.ค.!L99+ส.ค.!L99+ก.ย.!L99</f>
        <v>0</v>
      </c>
      <c r="M99" s="269">
        <f>+ก.ค.!M99+ส.ค.!M99+ก.ย.!M99</f>
        <v>0</v>
      </c>
      <c r="N99" s="269">
        <f>+ก.ค.!N99+ส.ค.!N99+ก.ย.!N99</f>
        <v>0</v>
      </c>
      <c r="O99" s="269">
        <f>+ก.ค.!O99+ส.ค.!O99+ก.ย.!O99</f>
        <v>0</v>
      </c>
      <c r="P99" s="269">
        <f>+ก.ค.!P99+ส.ค.!P99+ก.ย.!P99</f>
        <v>0</v>
      </c>
      <c r="Q99" s="269">
        <f>+ก.ค.!Q99+ส.ค.!Q99+ก.ย.!Q99</f>
        <v>0</v>
      </c>
      <c r="R99" s="269">
        <f>+ก.ค.!R99+ส.ค.!R99+ก.ย.!R99</f>
        <v>0</v>
      </c>
      <c r="S99" s="269">
        <f>+ก.ค.!S99+ส.ค.!S99+ก.ย.!S99</f>
        <v>0</v>
      </c>
      <c r="T99" s="269">
        <f>+ก.ค.!T99+ส.ค.!T99+ก.ย.!T99</f>
        <v>0</v>
      </c>
      <c r="U99" s="269">
        <f>+ก.ค.!U99+ส.ค.!U99+ก.ย.!U99</f>
        <v>0</v>
      </c>
      <c r="V99" s="269">
        <f>+ก.ค.!V99+ส.ค.!V99+ก.ย.!V99</f>
        <v>0</v>
      </c>
      <c r="X99" s="221"/>
    </row>
    <row r="100" spans="1:24" s="310" customFormat="1" ht="25.5" customHeight="1">
      <c r="A100" s="9"/>
      <c r="B100" s="187" t="s">
        <v>246</v>
      </c>
      <c r="C100" s="279">
        <v>2000</v>
      </c>
      <c r="D100" s="195"/>
      <c r="E100" s="269">
        <f>+ก.ค.!E100+ส.ค.!E100+ก.ย.!E100</f>
        <v>0</v>
      </c>
      <c r="F100" s="269">
        <f>+ก.ค.!F100+ส.ค.!F100+ก.ย.!F100</f>
        <v>0</v>
      </c>
      <c r="G100" s="269">
        <f>+ก.ค.!G100+ส.ค.!G100+ก.ย.!G100</f>
        <v>0</v>
      </c>
      <c r="H100" s="269">
        <f>+ก.ค.!H100+ส.ค.!H100+ก.ย.!H100</f>
        <v>0</v>
      </c>
      <c r="I100" s="269">
        <f>+ก.ค.!I100+ส.ค.!I100+ก.ย.!I100</f>
        <v>0</v>
      </c>
      <c r="J100" s="269">
        <f>+ก.ค.!J100+ส.ค.!J100+ก.ย.!J100</f>
        <v>0</v>
      </c>
      <c r="K100" s="269">
        <f>+ก.ค.!K100+ส.ค.!K100+ก.ย.!K100</f>
        <v>0</v>
      </c>
      <c r="L100" s="269">
        <f>+ก.ค.!L100+ส.ค.!L100+ก.ย.!L100</f>
        <v>0</v>
      </c>
      <c r="M100" s="269">
        <f>+ก.ค.!M100+ส.ค.!M100+ก.ย.!M100</f>
        <v>0</v>
      </c>
      <c r="N100" s="269">
        <f>+ก.ค.!N100+ส.ค.!N100+ก.ย.!N100</f>
        <v>0</v>
      </c>
      <c r="O100" s="269">
        <f>+ก.ค.!O100+ส.ค.!O100+ก.ย.!O100</f>
        <v>0</v>
      </c>
      <c r="P100" s="269">
        <f>+ก.ค.!P100+ส.ค.!P100+ก.ย.!P100</f>
        <v>0</v>
      </c>
      <c r="Q100" s="269">
        <f>+ก.ค.!Q100+ส.ค.!Q100+ก.ย.!Q100</f>
        <v>0</v>
      </c>
      <c r="R100" s="269">
        <f>+ก.ค.!R100+ส.ค.!R100+ก.ย.!R100</f>
        <v>0</v>
      </c>
      <c r="S100" s="269">
        <f>+ก.ค.!S100+ส.ค.!S100+ก.ย.!S100</f>
        <v>0</v>
      </c>
      <c r="T100" s="269">
        <f>+ก.ค.!T100+ส.ค.!T100+ก.ย.!T100</f>
        <v>0</v>
      </c>
      <c r="U100" s="269">
        <f>+ก.ค.!U100+ส.ค.!U100+ก.ย.!U100</f>
        <v>0</v>
      </c>
      <c r="V100" s="269">
        <f>+ก.ค.!V100+ส.ค.!V100+ก.ย.!V100</f>
        <v>0</v>
      </c>
      <c r="X100" s="221"/>
    </row>
    <row r="101" spans="1:24" s="310" customFormat="1" ht="25.5" customHeight="1">
      <c r="A101" s="9"/>
      <c r="B101" s="187" t="s">
        <v>247</v>
      </c>
      <c r="C101" s="279">
        <v>2000</v>
      </c>
      <c r="D101" s="195"/>
      <c r="E101" s="269">
        <f>+ก.ค.!E101+ส.ค.!E101+ก.ย.!E101</f>
        <v>0</v>
      </c>
      <c r="F101" s="269">
        <f>+ก.ค.!F101+ส.ค.!F101+ก.ย.!F101</f>
        <v>0</v>
      </c>
      <c r="G101" s="269">
        <f>+ก.ค.!G101+ส.ค.!G101+ก.ย.!G101</f>
        <v>0</v>
      </c>
      <c r="H101" s="269">
        <f>+ก.ค.!H101+ส.ค.!H101+ก.ย.!H101</f>
        <v>0</v>
      </c>
      <c r="I101" s="269">
        <f>+ก.ค.!I101+ส.ค.!I101+ก.ย.!I101</f>
        <v>0</v>
      </c>
      <c r="J101" s="269">
        <f>+ก.ค.!J101+ส.ค.!J101+ก.ย.!J101</f>
        <v>0</v>
      </c>
      <c r="K101" s="269">
        <f>+ก.ค.!K101+ส.ค.!K101+ก.ย.!K101</f>
        <v>0</v>
      </c>
      <c r="L101" s="269">
        <f>+ก.ค.!L101+ส.ค.!L101+ก.ย.!L101</f>
        <v>0</v>
      </c>
      <c r="M101" s="269">
        <f>+ก.ค.!M101+ส.ค.!M101+ก.ย.!M101</f>
        <v>0</v>
      </c>
      <c r="N101" s="269">
        <f>+ก.ค.!N101+ส.ค.!N101+ก.ย.!N101</f>
        <v>0</v>
      </c>
      <c r="O101" s="269">
        <f>+ก.ค.!O101+ส.ค.!O101+ก.ย.!O101</f>
        <v>0</v>
      </c>
      <c r="P101" s="269">
        <f>+ก.ค.!P101+ส.ค.!P101+ก.ย.!P101</f>
        <v>0</v>
      </c>
      <c r="Q101" s="269">
        <f>+ก.ค.!Q101+ส.ค.!Q101+ก.ย.!Q101</f>
        <v>0</v>
      </c>
      <c r="R101" s="269">
        <f>+ก.ค.!R101+ส.ค.!R101+ก.ย.!R101</f>
        <v>0</v>
      </c>
      <c r="S101" s="269">
        <f>+ก.ค.!S101+ส.ค.!S101+ก.ย.!S101</f>
        <v>0</v>
      </c>
      <c r="T101" s="269">
        <f>+ก.ค.!T101+ส.ค.!T101+ก.ย.!T101</f>
        <v>0</v>
      </c>
      <c r="U101" s="269">
        <f>+ก.ค.!U101+ส.ค.!U101+ก.ย.!U101</f>
        <v>0</v>
      </c>
      <c r="V101" s="269">
        <f>+ก.ค.!V101+ส.ค.!V101+ก.ย.!V101</f>
        <v>0</v>
      </c>
      <c r="X101" s="221"/>
    </row>
    <row r="102" spans="1:24" s="310" customFormat="1" ht="25.5" customHeight="1">
      <c r="A102" s="9"/>
      <c r="B102" s="187" t="s">
        <v>249</v>
      </c>
      <c r="C102" s="279">
        <v>2000</v>
      </c>
      <c r="D102" s="195"/>
      <c r="E102" s="269">
        <f>+ก.ค.!E102+ส.ค.!E102+ก.ย.!E102</f>
        <v>0</v>
      </c>
      <c r="F102" s="269">
        <f>+ก.ค.!F102+ส.ค.!F102+ก.ย.!F102</f>
        <v>0</v>
      </c>
      <c r="G102" s="269">
        <f>+ก.ค.!G102+ส.ค.!G102+ก.ย.!G102</f>
        <v>0</v>
      </c>
      <c r="H102" s="269">
        <f>+ก.ค.!H102+ส.ค.!H102+ก.ย.!H102</f>
        <v>0</v>
      </c>
      <c r="I102" s="269">
        <f>+ก.ค.!I102+ส.ค.!I102+ก.ย.!I102</f>
        <v>0</v>
      </c>
      <c r="J102" s="269">
        <f>+ก.ค.!J102+ส.ค.!J102+ก.ย.!J102</f>
        <v>0</v>
      </c>
      <c r="K102" s="269">
        <f>+ก.ค.!K102+ส.ค.!K102+ก.ย.!K102</f>
        <v>0</v>
      </c>
      <c r="L102" s="269">
        <f>+ก.ค.!L102+ส.ค.!L102+ก.ย.!L102</f>
        <v>0</v>
      </c>
      <c r="M102" s="269">
        <f>+ก.ค.!M102+ส.ค.!M102+ก.ย.!M102</f>
        <v>0</v>
      </c>
      <c r="N102" s="269">
        <f>+ก.ค.!N102+ส.ค.!N102+ก.ย.!N102</f>
        <v>0</v>
      </c>
      <c r="O102" s="269">
        <f>+ก.ค.!O102+ส.ค.!O102+ก.ย.!O102</f>
        <v>0</v>
      </c>
      <c r="P102" s="269">
        <f>+ก.ค.!P102+ส.ค.!P102+ก.ย.!P102</f>
        <v>0</v>
      </c>
      <c r="Q102" s="269">
        <f>+ก.ค.!Q102+ส.ค.!Q102+ก.ย.!Q102</f>
        <v>0</v>
      </c>
      <c r="R102" s="269">
        <f>+ก.ค.!R102+ส.ค.!R102+ก.ย.!R102</f>
        <v>0</v>
      </c>
      <c r="S102" s="269">
        <f>+ก.ค.!S102+ส.ค.!S102+ก.ย.!S102</f>
        <v>0</v>
      </c>
      <c r="T102" s="269">
        <f>+ก.ค.!T102+ส.ค.!T102+ก.ย.!T102</f>
        <v>0</v>
      </c>
      <c r="U102" s="269">
        <f>+ก.ค.!U102+ส.ค.!U102+ก.ย.!U102</f>
        <v>0</v>
      </c>
      <c r="V102" s="269">
        <f>+ก.ค.!V102+ส.ค.!V102+ก.ย.!V102</f>
        <v>0</v>
      </c>
      <c r="X102" s="221"/>
    </row>
    <row r="103" spans="1:24" s="310" customFormat="1" ht="25.5" customHeight="1">
      <c r="A103" s="9"/>
      <c r="B103" s="187" t="s">
        <v>250</v>
      </c>
      <c r="C103" s="279">
        <v>2000</v>
      </c>
      <c r="D103" s="195"/>
      <c r="E103" s="269">
        <f>+ก.ค.!E103+ส.ค.!E103+ก.ย.!E103</f>
        <v>0</v>
      </c>
      <c r="F103" s="269">
        <f>+ก.ค.!F103+ส.ค.!F103+ก.ย.!F103</f>
        <v>0</v>
      </c>
      <c r="G103" s="269">
        <f>+ก.ค.!G103+ส.ค.!G103+ก.ย.!G103</f>
        <v>0</v>
      </c>
      <c r="H103" s="269">
        <f>+ก.ค.!H103+ส.ค.!H103+ก.ย.!H103</f>
        <v>0</v>
      </c>
      <c r="I103" s="269">
        <f>+ก.ค.!I103+ส.ค.!I103+ก.ย.!I103</f>
        <v>0</v>
      </c>
      <c r="J103" s="269">
        <f>+ก.ค.!J103+ส.ค.!J103+ก.ย.!J103</f>
        <v>0</v>
      </c>
      <c r="K103" s="269">
        <f>+ก.ค.!K103+ส.ค.!K103+ก.ย.!K103</f>
        <v>0</v>
      </c>
      <c r="L103" s="269">
        <f>+ก.ค.!L103+ส.ค.!L103+ก.ย.!L103</f>
        <v>0</v>
      </c>
      <c r="M103" s="269">
        <f>+ก.ค.!M103+ส.ค.!M103+ก.ย.!M103</f>
        <v>0</v>
      </c>
      <c r="N103" s="269">
        <f>+ก.ค.!N103+ส.ค.!N103+ก.ย.!N103</f>
        <v>0</v>
      </c>
      <c r="O103" s="269">
        <f>+ก.ค.!O103+ส.ค.!O103+ก.ย.!O103</f>
        <v>0</v>
      </c>
      <c r="P103" s="269">
        <f>+ก.ค.!P103+ส.ค.!P103+ก.ย.!P103</f>
        <v>0</v>
      </c>
      <c r="Q103" s="269">
        <f>+ก.ค.!Q103+ส.ค.!Q103+ก.ย.!Q103</f>
        <v>0</v>
      </c>
      <c r="R103" s="269">
        <f>+ก.ค.!R103+ส.ค.!R103+ก.ย.!R103</f>
        <v>0</v>
      </c>
      <c r="S103" s="269">
        <f>+ก.ค.!S103+ส.ค.!S103+ก.ย.!S103</f>
        <v>0</v>
      </c>
      <c r="T103" s="269">
        <f>+ก.ค.!T103+ส.ค.!T103+ก.ย.!T103</f>
        <v>0</v>
      </c>
      <c r="U103" s="269">
        <f>+ก.ค.!U103+ส.ค.!U103+ก.ย.!U103</f>
        <v>0</v>
      </c>
      <c r="V103" s="269">
        <f>+ก.ค.!V103+ส.ค.!V103+ก.ย.!V103</f>
        <v>0</v>
      </c>
      <c r="X103" s="221"/>
    </row>
    <row r="104" spans="1:24" s="310" customFormat="1" ht="25.5" customHeight="1">
      <c r="A104" s="9"/>
      <c r="B104" s="187" t="s">
        <v>251</v>
      </c>
      <c r="C104" s="279">
        <v>2000</v>
      </c>
      <c r="D104" s="195"/>
      <c r="E104" s="269">
        <f>+ก.ค.!E104+ส.ค.!E104+ก.ย.!E104</f>
        <v>0</v>
      </c>
      <c r="F104" s="269">
        <f>+ก.ค.!F104+ส.ค.!F104+ก.ย.!F104</f>
        <v>0</v>
      </c>
      <c r="G104" s="269">
        <f>+ก.ค.!G104+ส.ค.!G104+ก.ย.!G104</f>
        <v>0</v>
      </c>
      <c r="H104" s="269">
        <f>+ก.ค.!H104+ส.ค.!H104+ก.ย.!H104</f>
        <v>0</v>
      </c>
      <c r="I104" s="269">
        <f>+ก.ค.!I104+ส.ค.!I104+ก.ย.!I104</f>
        <v>2000</v>
      </c>
      <c r="J104" s="269">
        <f>+ก.ค.!J104+ส.ค.!J104+ก.ย.!J104</f>
        <v>0</v>
      </c>
      <c r="K104" s="269">
        <f>+ก.ค.!K104+ส.ค.!K104+ก.ย.!K104</f>
        <v>0</v>
      </c>
      <c r="L104" s="269">
        <f>+ก.ค.!L104+ส.ค.!L104+ก.ย.!L104</f>
        <v>0</v>
      </c>
      <c r="M104" s="269">
        <f>+ก.ค.!M104+ส.ค.!M104+ก.ย.!M104</f>
        <v>0</v>
      </c>
      <c r="N104" s="269">
        <f>+ก.ค.!N104+ส.ค.!N104+ก.ย.!N104</f>
        <v>0</v>
      </c>
      <c r="O104" s="269">
        <f>+ก.ค.!O104+ส.ค.!O104+ก.ย.!O104</f>
        <v>0</v>
      </c>
      <c r="P104" s="269">
        <f>+ก.ค.!P104+ส.ค.!P104+ก.ย.!P104</f>
        <v>0</v>
      </c>
      <c r="Q104" s="269">
        <f>+ก.ค.!Q104+ส.ค.!Q104+ก.ย.!Q104</f>
        <v>0</v>
      </c>
      <c r="R104" s="269">
        <f>+ก.ค.!R104+ส.ค.!R104+ก.ย.!R104</f>
        <v>0</v>
      </c>
      <c r="S104" s="269">
        <f>+ก.ค.!S104+ส.ค.!S104+ก.ย.!S104</f>
        <v>0</v>
      </c>
      <c r="T104" s="269">
        <f>+ก.ค.!T104+ส.ค.!T104+ก.ย.!T104</f>
        <v>0</v>
      </c>
      <c r="U104" s="269">
        <f>+ก.ค.!U104+ส.ค.!U104+ก.ย.!U104</f>
        <v>0</v>
      </c>
      <c r="V104" s="269">
        <f>+ก.ค.!V104+ส.ค.!V104+ก.ย.!V104</f>
        <v>0</v>
      </c>
      <c r="X104" s="221"/>
    </row>
    <row r="105" spans="1:24" s="310" customFormat="1" ht="25.5" customHeight="1">
      <c r="A105" s="9"/>
      <c r="B105" s="187" t="s">
        <v>252</v>
      </c>
      <c r="C105" s="279">
        <v>2000</v>
      </c>
      <c r="D105" s="195"/>
      <c r="E105" s="269">
        <f>+ก.ค.!E105+ส.ค.!E105+ก.ย.!E105</f>
        <v>0</v>
      </c>
      <c r="F105" s="269">
        <f>+ก.ค.!F105+ส.ค.!F105+ก.ย.!F105</f>
        <v>0</v>
      </c>
      <c r="G105" s="269">
        <f>+ก.ค.!G105+ส.ค.!G105+ก.ย.!G105</f>
        <v>0</v>
      </c>
      <c r="H105" s="269">
        <f>+ก.ค.!H105+ส.ค.!H105+ก.ย.!H105</f>
        <v>0</v>
      </c>
      <c r="I105" s="269">
        <f>+ก.ค.!I105+ส.ค.!I105+ก.ย.!I105</f>
        <v>2000</v>
      </c>
      <c r="J105" s="269">
        <f>+ก.ค.!J105+ส.ค.!J105+ก.ย.!J105</f>
        <v>0</v>
      </c>
      <c r="K105" s="269">
        <f>+ก.ค.!K105+ส.ค.!K105+ก.ย.!K105</f>
        <v>0</v>
      </c>
      <c r="L105" s="269">
        <f>+ก.ค.!L105+ส.ค.!L105+ก.ย.!L105</f>
        <v>0</v>
      </c>
      <c r="M105" s="269">
        <f>+ก.ค.!M105+ส.ค.!M105+ก.ย.!M105</f>
        <v>0</v>
      </c>
      <c r="N105" s="269">
        <f>+ก.ค.!N105+ส.ค.!N105+ก.ย.!N105</f>
        <v>0</v>
      </c>
      <c r="O105" s="269">
        <f>+ก.ค.!O105+ส.ค.!O105+ก.ย.!O105</f>
        <v>0</v>
      </c>
      <c r="P105" s="269">
        <f>+ก.ค.!P105+ส.ค.!P105+ก.ย.!P105</f>
        <v>0</v>
      </c>
      <c r="Q105" s="269">
        <f>+ก.ค.!Q105+ส.ค.!Q105+ก.ย.!Q105</f>
        <v>0</v>
      </c>
      <c r="R105" s="269">
        <f>+ก.ค.!R105+ส.ค.!R105+ก.ย.!R105</f>
        <v>0</v>
      </c>
      <c r="S105" s="269">
        <f>+ก.ค.!S105+ส.ค.!S105+ก.ย.!S105</f>
        <v>0</v>
      </c>
      <c r="T105" s="269">
        <f>+ก.ค.!T105+ส.ค.!T105+ก.ย.!T105</f>
        <v>0</v>
      </c>
      <c r="U105" s="269">
        <f>+ก.ค.!U105+ส.ค.!U105+ก.ย.!U105</f>
        <v>0</v>
      </c>
      <c r="V105" s="269">
        <f>+ก.ค.!V105+ส.ค.!V105+ก.ย.!V105</f>
        <v>0</v>
      </c>
      <c r="X105" s="221"/>
    </row>
    <row r="106" spans="1:24" s="310" customFormat="1" ht="25.5" customHeight="1">
      <c r="A106" s="9"/>
      <c r="B106" s="187" t="s">
        <v>253</v>
      </c>
      <c r="C106" s="279">
        <v>2000</v>
      </c>
      <c r="D106" s="195"/>
      <c r="E106" s="269">
        <f>+ก.ค.!E106+ส.ค.!E106+ก.ย.!E106</f>
        <v>0</v>
      </c>
      <c r="F106" s="269">
        <f>+ก.ค.!F106+ส.ค.!F106+ก.ย.!F106</f>
        <v>0</v>
      </c>
      <c r="G106" s="269">
        <f>+ก.ค.!G106+ส.ค.!G106+ก.ย.!G106</f>
        <v>0</v>
      </c>
      <c r="H106" s="269">
        <f>+ก.ค.!H106+ส.ค.!H106+ก.ย.!H106</f>
        <v>0</v>
      </c>
      <c r="I106" s="269">
        <f>+ก.ค.!I106+ส.ค.!I106+ก.ย.!I106</f>
        <v>2000</v>
      </c>
      <c r="J106" s="269">
        <f>+ก.ค.!J106+ส.ค.!J106+ก.ย.!J106</f>
        <v>0</v>
      </c>
      <c r="K106" s="269">
        <f>+ก.ค.!K106+ส.ค.!K106+ก.ย.!K106</f>
        <v>0</v>
      </c>
      <c r="L106" s="269">
        <f>+ก.ค.!L106+ส.ค.!L106+ก.ย.!L106</f>
        <v>0</v>
      </c>
      <c r="M106" s="269">
        <f>+ก.ค.!M106+ส.ค.!M106+ก.ย.!M106</f>
        <v>0</v>
      </c>
      <c r="N106" s="269">
        <f>+ก.ค.!N106+ส.ค.!N106+ก.ย.!N106</f>
        <v>0</v>
      </c>
      <c r="O106" s="269">
        <f>+ก.ค.!O106+ส.ค.!O106+ก.ย.!O106</f>
        <v>0</v>
      </c>
      <c r="P106" s="269">
        <f>+ก.ค.!P106+ส.ค.!P106+ก.ย.!P106</f>
        <v>0</v>
      </c>
      <c r="Q106" s="269">
        <f>+ก.ค.!Q106+ส.ค.!Q106+ก.ย.!Q106</f>
        <v>0</v>
      </c>
      <c r="R106" s="269">
        <f>+ก.ค.!R106+ส.ค.!R106+ก.ย.!R106</f>
        <v>0</v>
      </c>
      <c r="S106" s="269">
        <f>+ก.ค.!S106+ส.ค.!S106+ก.ย.!S106</f>
        <v>0</v>
      </c>
      <c r="T106" s="269">
        <f>+ก.ค.!T106+ส.ค.!T106+ก.ย.!T106</f>
        <v>0</v>
      </c>
      <c r="U106" s="269">
        <f>+ก.ค.!U106+ส.ค.!U106+ก.ย.!U106</f>
        <v>0</v>
      </c>
      <c r="V106" s="269">
        <f>+ก.ค.!V106+ส.ค.!V106+ก.ย.!V106</f>
        <v>0</v>
      </c>
      <c r="X106" s="221"/>
    </row>
    <row r="107" spans="1:24" s="310" customFormat="1" ht="25.5" customHeight="1">
      <c r="A107" s="9"/>
      <c r="B107" s="187" t="s">
        <v>254</v>
      </c>
      <c r="C107" s="279">
        <v>2000</v>
      </c>
      <c r="D107" s="195"/>
      <c r="E107" s="269">
        <f>+ก.ค.!E107+ส.ค.!E107+ก.ย.!E107</f>
        <v>0</v>
      </c>
      <c r="F107" s="269">
        <f>+ก.ค.!F107+ส.ค.!F107+ก.ย.!F107</f>
        <v>0</v>
      </c>
      <c r="G107" s="269">
        <f>+ก.ค.!G107+ส.ค.!G107+ก.ย.!G107</f>
        <v>0</v>
      </c>
      <c r="H107" s="269">
        <f>+ก.ค.!H107+ส.ค.!H107+ก.ย.!H107</f>
        <v>0</v>
      </c>
      <c r="I107" s="269">
        <f>+ก.ค.!I107+ส.ค.!I107+ก.ย.!I107</f>
        <v>2000</v>
      </c>
      <c r="J107" s="269">
        <f>+ก.ค.!J107+ส.ค.!J107+ก.ย.!J107</f>
        <v>0</v>
      </c>
      <c r="K107" s="269">
        <f>+ก.ค.!K107+ส.ค.!K107+ก.ย.!K107</f>
        <v>0</v>
      </c>
      <c r="L107" s="269">
        <f>+ก.ค.!L107+ส.ค.!L107+ก.ย.!L107</f>
        <v>0</v>
      </c>
      <c r="M107" s="269">
        <f>+ก.ค.!M107+ส.ค.!M107+ก.ย.!M107</f>
        <v>0</v>
      </c>
      <c r="N107" s="269">
        <f>+ก.ค.!N107+ส.ค.!N107+ก.ย.!N107</f>
        <v>0</v>
      </c>
      <c r="O107" s="269">
        <f>+ก.ค.!O107+ส.ค.!O107+ก.ย.!O107</f>
        <v>0</v>
      </c>
      <c r="P107" s="269">
        <f>+ก.ค.!P107+ส.ค.!P107+ก.ย.!P107</f>
        <v>0</v>
      </c>
      <c r="Q107" s="269">
        <f>+ก.ค.!Q107+ส.ค.!Q107+ก.ย.!Q107</f>
        <v>0</v>
      </c>
      <c r="R107" s="269">
        <f>+ก.ค.!R107+ส.ค.!R107+ก.ย.!R107</f>
        <v>0</v>
      </c>
      <c r="S107" s="269">
        <f>+ก.ค.!S107+ส.ค.!S107+ก.ย.!S107</f>
        <v>0</v>
      </c>
      <c r="T107" s="269">
        <f>+ก.ค.!T107+ส.ค.!T107+ก.ย.!T107</f>
        <v>0</v>
      </c>
      <c r="U107" s="269">
        <f>+ก.ค.!U107+ส.ค.!U107+ก.ย.!U107</f>
        <v>0</v>
      </c>
      <c r="V107" s="269">
        <f>+ก.ค.!V107+ส.ค.!V107+ก.ย.!V107</f>
        <v>0</v>
      </c>
      <c r="X107" s="221"/>
    </row>
    <row r="108" spans="1:24" s="310" customFormat="1" ht="25.5" customHeight="1">
      <c r="A108" s="9"/>
      <c r="B108" s="187" t="s">
        <v>312</v>
      </c>
      <c r="C108" s="279">
        <v>2500</v>
      </c>
      <c r="D108" s="195"/>
      <c r="E108" s="269">
        <f>+ก.ค.!E108+ส.ค.!E108+ก.ย.!E108</f>
        <v>0</v>
      </c>
      <c r="F108" s="269">
        <f>+ก.ค.!F108+ส.ค.!F108+ก.ย.!F108</f>
        <v>0</v>
      </c>
      <c r="G108" s="269">
        <f>+ก.ค.!G108+ส.ค.!G108+ก.ย.!G108</f>
        <v>0</v>
      </c>
      <c r="H108" s="269">
        <f>+ก.ค.!H108+ส.ค.!H108+ก.ย.!H108</f>
        <v>0</v>
      </c>
      <c r="I108" s="269">
        <f>+ก.ค.!I108+ส.ค.!I108+ก.ย.!I108</f>
        <v>2493</v>
      </c>
      <c r="J108" s="269">
        <f>+ก.ค.!J108+ส.ค.!J108+ก.ย.!J108</f>
        <v>0</v>
      </c>
      <c r="K108" s="269">
        <f>+ก.ค.!K108+ส.ค.!K108+ก.ย.!K108</f>
        <v>0</v>
      </c>
      <c r="L108" s="269">
        <f>+ก.ค.!L108+ส.ค.!L108+ก.ย.!L108</f>
        <v>0</v>
      </c>
      <c r="M108" s="269">
        <f>+ก.ค.!M108+ส.ค.!M108+ก.ย.!M108</f>
        <v>0</v>
      </c>
      <c r="N108" s="269">
        <f>+ก.ค.!N108+ส.ค.!N108+ก.ย.!N108</f>
        <v>0</v>
      </c>
      <c r="O108" s="269">
        <f>+ก.ค.!O108+ส.ค.!O108+ก.ย.!O108</f>
        <v>0</v>
      </c>
      <c r="P108" s="269">
        <f>+ก.ค.!P108+ส.ค.!P108+ก.ย.!P108</f>
        <v>0</v>
      </c>
      <c r="Q108" s="269">
        <f>+ก.ค.!Q108+ส.ค.!Q108+ก.ย.!Q108</f>
        <v>0</v>
      </c>
      <c r="R108" s="269">
        <f>+ก.ค.!R108+ส.ค.!R108+ก.ย.!R108</f>
        <v>0</v>
      </c>
      <c r="S108" s="269">
        <f>+ก.ค.!S108+ส.ค.!S108+ก.ย.!S108</f>
        <v>0</v>
      </c>
      <c r="T108" s="269">
        <f>+ก.ค.!T108+ส.ค.!T108+ก.ย.!T108</f>
        <v>0</v>
      </c>
      <c r="U108" s="269">
        <f>+ก.ค.!U108+ส.ค.!U108+ก.ย.!U108</f>
        <v>0</v>
      </c>
      <c r="V108" s="269">
        <f>+ก.ค.!V108+ส.ค.!V108+ก.ย.!V108</f>
        <v>0</v>
      </c>
      <c r="X108" s="221"/>
    </row>
    <row r="109" spans="1:24" s="310" customFormat="1" ht="25.5" customHeight="1">
      <c r="A109" s="9"/>
      <c r="B109" s="187" t="s">
        <v>313</v>
      </c>
      <c r="C109" s="279">
        <v>2500</v>
      </c>
      <c r="D109" s="131"/>
      <c r="E109" s="269">
        <f>+ก.ค.!E109+ส.ค.!E109+ก.ย.!E109</f>
        <v>0</v>
      </c>
      <c r="F109" s="269">
        <f>+ก.ค.!F109+ส.ค.!F109+ก.ย.!F109</f>
        <v>0</v>
      </c>
      <c r="G109" s="269">
        <f>+ก.ค.!G109+ส.ค.!G109+ก.ย.!G109</f>
        <v>0</v>
      </c>
      <c r="H109" s="269">
        <f>+ก.ค.!H109+ส.ค.!H109+ก.ย.!H109</f>
        <v>0</v>
      </c>
      <c r="I109" s="269">
        <f>+ก.ค.!I109+ส.ค.!I109+ก.ย.!I109</f>
        <v>2495</v>
      </c>
      <c r="J109" s="269">
        <f>+ก.ค.!J109+ส.ค.!J109+ก.ย.!J109</f>
        <v>0</v>
      </c>
      <c r="K109" s="269">
        <f>+ก.ค.!K109+ส.ค.!K109+ก.ย.!K109</f>
        <v>0</v>
      </c>
      <c r="L109" s="269">
        <f>+ก.ค.!L109+ส.ค.!L109+ก.ย.!L109</f>
        <v>0</v>
      </c>
      <c r="M109" s="269">
        <f>+ก.ค.!M109+ส.ค.!M109+ก.ย.!M109</f>
        <v>0</v>
      </c>
      <c r="N109" s="269">
        <f>+ก.ค.!N109+ส.ค.!N109+ก.ย.!N109</f>
        <v>0</v>
      </c>
      <c r="O109" s="269">
        <f>+ก.ค.!O109+ส.ค.!O109+ก.ย.!O109</f>
        <v>0</v>
      </c>
      <c r="P109" s="269">
        <f>+ก.ค.!P109+ส.ค.!P109+ก.ย.!P109</f>
        <v>0</v>
      </c>
      <c r="Q109" s="269">
        <f>+ก.ค.!Q109+ส.ค.!Q109+ก.ย.!Q109</f>
        <v>0</v>
      </c>
      <c r="R109" s="269">
        <f>+ก.ค.!R109+ส.ค.!R109+ก.ย.!R109</f>
        <v>0</v>
      </c>
      <c r="S109" s="269">
        <f>+ก.ค.!S109+ส.ค.!S109+ก.ย.!S109</f>
        <v>0</v>
      </c>
      <c r="T109" s="269">
        <f>+ก.ค.!T109+ส.ค.!T109+ก.ย.!T109</f>
        <v>0</v>
      </c>
      <c r="U109" s="269">
        <f>+ก.ค.!U109+ส.ค.!U109+ก.ย.!U109</f>
        <v>0</v>
      </c>
      <c r="V109" s="269">
        <f>+ก.ค.!V109+ส.ค.!V109+ก.ย.!V109</f>
        <v>0</v>
      </c>
      <c r="X109" s="221"/>
    </row>
    <row r="110" spans="1:24" s="310" customFormat="1" ht="25.5" customHeight="1">
      <c r="A110" s="9"/>
      <c r="B110" s="187" t="s">
        <v>314</v>
      </c>
      <c r="C110" s="279">
        <v>2500</v>
      </c>
      <c r="D110" s="195"/>
      <c r="E110" s="269">
        <f>+ก.ค.!E110+ส.ค.!E110+ก.ย.!E110</f>
        <v>0</v>
      </c>
      <c r="F110" s="269">
        <f>+ก.ค.!F110+ส.ค.!F110+ก.ย.!F110</f>
        <v>0</v>
      </c>
      <c r="G110" s="269">
        <f>+ก.ค.!G110+ส.ค.!G110+ก.ย.!G110</f>
        <v>0</v>
      </c>
      <c r="H110" s="269">
        <f>+ก.ค.!H110+ส.ค.!H110+ก.ย.!H110</f>
        <v>0</v>
      </c>
      <c r="I110" s="269">
        <f>+ก.ค.!I110+ส.ค.!I110+ก.ย.!I110</f>
        <v>2492</v>
      </c>
      <c r="J110" s="269">
        <f>+ก.ค.!J110+ส.ค.!J110+ก.ย.!J110</f>
        <v>0</v>
      </c>
      <c r="K110" s="269">
        <f>+ก.ค.!K110+ส.ค.!K110+ก.ย.!K110</f>
        <v>0</v>
      </c>
      <c r="L110" s="269">
        <f>+ก.ค.!L110+ส.ค.!L110+ก.ย.!L110</f>
        <v>0</v>
      </c>
      <c r="M110" s="269">
        <f>+ก.ค.!M110+ส.ค.!M110+ก.ย.!M110</f>
        <v>0</v>
      </c>
      <c r="N110" s="269">
        <f>+ก.ค.!N110+ส.ค.!N110+ก.ย.!N110</f>
        <v>0</v>
      </c>
      <c r="O110" s="269">
        <f>+ก.ค.!O110+ส.ค.!O110+ก.ย.!O110</f>
        <v>0</v>
      </c>
      <c r="P110" s="269">
        <f>+ก.ค.!P110+ส.ค.!P110+ก.ย.!P110</f>
        <v>0</v>
      </c>
      <c r="Q110" s="269">
        <f>+ก.ค.!Q110+ส.ค.!Q110+ก.ย.!Q110</f>
        <v>0</v>
      </c>
      <c r="R110" s="269">
        <f>+ก.ค.!R110+ส.ค.!R110+ก.ย.!R110</f>
        <v>0</v>
      </c>
      <c r="S110" s="269">
        <f>+ก.ค.!S110+ส.ค.!S110+ก.ย.!S110</f>
        <v>0</v>
      </c>
      <c r="T110" s="269">
        <f>+ก.ค.!T110+ส.ค.!T110+ก.ย.!T110</f>
        <v>0</v>
      </c>
      <c r="U110" s="269">
        <f>+ก.ค.!U110+ส.ค.!U110+ก.ย.!U110</f>
        <v>0</v>
      </c>
      <c r="V110" s="269">
        <f>+ก.ค.!V110+ส.ค.!V110+ก.ย.!V110</f>
        <v>0</v>
      </c>
      <c r="X110" s="221"/>
    </row>
    <row r="111" spans="1:24" s="310" customFormat="1" ht="25.5" customHeight="1">
      <c r="A111" s="9"/>
      <c r="B111" s="187" t="s">
        <v>255</v>
      </c>
      <c r="C111" s="279">
        <v>4000</v>
      </c>
      <c r="D111" s="195"/>
      <c r="E111" s="269">
        <f>+ก.ค.!E111+ส.ค.!E111+ก.ย.!E111</f>
        <v>0</v>
      </c>
      <c r="F111" s="269">
        <f>+ก.ค.!F111+ส.ค.!F111+ก.ย.!F111</f>
        <v>0</v>
      </c>
      <c r="G111" s="269">
        <f>+ก.ค.!G111+ส.ค.!G111+ก.ย.!G111</f>
        <v>0</v>
      </c>
      <c r="H111" s="269">
        <f>+ก.ค.!H111+ส.ค.!H111+ก.ย.!H111</f>
        <v>0</v>
      </c>
      <c r="I111" s="269">
        <f>+ก.ค.!I111+ส.ค.!I111+ก.ย.!I111</f>
        <v>6500</v>
      </c>
      <c r="J111" s="269">
        <f>+ก.ค.!J111+ส.ค.!J111+ก.ย.!J111</f>
        <v>0</v>
      </c>
      <c r="K111" s="269">
        <f>+ก.ค.!K111+ส.ค.!K111+ก.ย.!K111</f>
        <v>0</v>
      </c>
      <c r="L111" s="269">
        <f>+ก.ค.!L111+ส.ค.!L111+ก.ย.!L111</f>
        <v>0</v>
      </c>
      <c r="M111" s="269">
        <f>+ก.ค.!M111+ส.ค.!M111+ก.ย.!M111</f>
        <v>0</v>
      </c>
      <c r="N111" s="269">
        <f>+ก.ค.!N111+ส.ค.!N111+ก.ย.!N111</f>
        <v>0</v>
      </c>
      <c r="O111" s="269">
        <f>+ก.ค.!O111+ส.ค.!O111+ก.ย.!O111</f>
        <v>0</v>
      </c>
      <c r="P111" s="269">
        <f>+ก.ค.!P111+ส.ค.!P111+ก.ย.!P111</f>
        <v>0</v>
      </c>
      <c r="Q111" s="269">
        <f>+ก.ค.!Q111+ส.ค.!Q111+ก.ย.!Q111</f>
        <v>0</v>
      </c>
      <c r="R111" s="269">
        <f>+ก.ค.!R111+ส.ค.!R111+ก.ย.!R111</f>
        <v>0</v>
      </c>
      <c r="S111" s="269">
        <f>+ก.ค.!S111+ส.ค.!S111+ก.ย.!S111</f>
        <v>0</v>
      </c>
      <c r="T111" s="269">
        <f>+ก.ค.!T111+ส.ค.!T111+ก.ย.!T111</f>
        <v>0</v>
      </c>
      <c r="U111" s="269">
        <f>+ก.ค.!U111+ส.ค.!U111+ก.ย.!U111</f>
        <v>0</v>
      </c>
      <c r="V111" s="269">
        <f>+ก.ค.!V111+ส.ค.!V111+ก.ย.!V111</f>
        <v>0</v>
      </c>
      <c r="X111" s="221"/>
    </row>
    <row r="112" spans="1:24" s="310" customFormat="1" ht="25.5" customHeight="1">
      <c r="A112" s="9"/>
      <c r="B112" s="187" t="s">
        <v>256</v>
      </c>
      <c r="C112" s="279">
        <v>2500</v>
      </c>
      <c r="D112" s="195"/>
      <c r="E112" s="269">
        <f>+ก.ค.!E112+ส.ค.!E112+ก.ย.!E112</f>
        <v>0</v>
      </c>
      <c r="F112" s="269">
        <f>+ก.ค.!F112+ส.ค.!F112+ก.ย.!F112</f>
        <v>0</v>
      </c>
      <c r="G112" s="269">
        <f>+ก.ค.!G112+ส.ค.!G112+ก.ย.!G112</f>
        <v>0</v>
      </c>
      <c r="H112" s="269">
        <f>+ก.ค.!H112+ส.ค.!H112+ก.ย.!H112</f>
        <v>0</v>
      </c>
      <c r="I112" s="269">
        <f>+ก.ค.!I112+ส.ค.!I112+ก.ย.!I112</f>
        <v>4500</v>
      </c>
      <c r="J112" s="269">
        <f>+ก.ค.!J112+ส.ค.!J112+ก.ย.!J112</f>
        <v>0</v>
      </c>
      <c r="K112" s="269">
        <f>+ก.ค.!K112+ส.ค.!K112+ก.ย.!K112</f>
        <v>0</v>
      </c>
      <c r="L112" s="269">
        <f>+ก.ค.!L112+ส.ค.!L112+ก.ย.!L112</f>
        <v>0</v>
      </c>
      <c r="M112" s="269">
        <f>+ก.ค.!M112+ส.ค.!M112+ก.ย.!M112</f>
        <v>0</v>
      </c>
      <c r="N112" s="269">
        <f>+ก.ค.!N112+ส.ค.!N112+ก.ย.!N112</f>
        <v>0</v>
      </c>
      <c r="O112" s="269">
        <f>+ก.ค.!O112+ส.ค.!O112+ก.ย.!O112</f>
        <v>0</v>
      </c>
      <c r="P112" s="269">
        <f>+ก.ค.!P112+ส.ค.!P112+ก.ย.!P112</f>
        <v>0</v>
      </c>
      <c r="Q112" s="269">
        <f>+ก.ค.!Q112+ส.ค.!Q112+ก.ย.!Q112</f>
        <v>0</v>
      </c>
      <c r="R112" s="269">
        <f>+ก.ค.!R112+ส.ค.!R112+ก.ย.!R112</f>
        <v>0</v>
      </c>
      <c r="S112" s="269">
        <f>+ก.ค.!S112+ส.ค.!S112+ก.ย.!S112</f>
        <v>0</v>
      </c>
      <c r="T112" s="269">
        <f>+ก.ค.!T112+ส.ค.!T112+ก.ย.!T112</f>
        <v>0</v>
      </c>
      <c r="U112" s="269">
        <f>+ก.ค.!U112+ส.ค.!U112+ก.ย.!U112</f>
        <v>0</v>
      </c>
      <c r="V112" s="269">
        <f>+ก.ค.!V112+ส.ค.!V112+ก.ย.!V112</f>
        <v>0</v>
      </c>
      <c r="X112" s="221"/>
    </row>
    <row r="113" spans="1:24" s="310" customFormat="1" ht="25.5" customHeight="1">
      <c r="A113" s="9"/>
      <c r="B113" s="187" t="s">
        <v>257</v>
      </c>
      <c r="C113" s="279">
        <v>2500</v>
      </c>
      <c r="D113" s="195"/>
      <c r="E113" s="269">
        <f>+ก.ค.!E113+ส.ค.!E113+ก.ย.!E113</f>
        <v>0</v>
      </c>
      <c r="F113" s="269">
        <f>+ก.ค.!F113+ส.ค.!F113+ก.ย.!F113</f>
        <v>0</v>
      </c>
      <c r="G113" s="269">
        <f>+ก.ค.!G113+ส.ค.!G113+ก.ย.!G113</f>
        <v>0</v>
      </c>
      <c r="H113" s="269">
        <f>+ก.ค.!H113+ส.ค.!H113+ก.ย.!H113</f>
        <v>0</v>
      </c>
      <c r="I113" s="269">
        <f>+ก.ค.!I113+ส.ค.!I113+ก.ย.!I113</f>
        <v>4500</v>
      </c>
      <c r="J113" s="269">
        <f>+ก.ค.!J113+ส.ค.!J113+ก.ย.!J113</f>
        <v>0</v>
      </c>
      <c r="K113" s="269">
        <f>+ก.ค.!K113+ส.ค.!K113+ก.ย.!K113</f>
        <v>0</v>
      </c>
      <c r="L113" s="269">
        <f>+ก.ค.!L113+ส.ค.!L113+ก.ย.!L113</f>
        <v>0</v>
      </c>
      <c r="M113" s="269">
        <f>+ก.ค.!M113+ส.ค.!M113+ก.ย.!M113</f>
        <v>0</v>
      </c>
      <c r="N113" s="269">
        <f>+ก.ค.!N113+ส.ค.!N113+ก.ย.!N113</f>
        <v>0</v>
      </c>
      <c r="O113" s="269">
        <f>+ก.ค.!O113+ส.ค.!O113+ก.ย.!O113</f>
        <v>0</v>
      </c>
      <c r="P113" s="269">
        <f>+ก.ค.!P113+ส.ค.!P113+ก.ย.!P113</f>
        <v>0</v>
      </c>
      <c r="Q113" s="269">
        <f>+ก.ค.!Q113+ส.ค.!Q113+ก.ย.!Q113</f>
        <v>0</v>
      </c>
      <c r="R113" s="269">
        <f>+ก.ค.!R113+ส.ค.!R113+ก.ย.!R113</f>
        <v>0</v>
      </c>
      <c r="S113" s="269">
        <f>+ก.ค.!S113+ส.ค.!S113+ก.ย.!S113</f>
        <v>0</v>
      </c>
      <c r="T113" s="269">
        <f>+ก.ค.!T113+ส.ค.!T113+ก.ย.!T113</f>
        <v>0</v>
      </c>
      <c r="U113" s="269">
        <f>+ก.ค.!U113+ส.ค.!U113+ก.ย.!U113</f>
        <v>0</v>
      </c>
      <c r="V113" s="269">
        <f>+ก.ค.!V113+ส.ค.!V113+ก.ย.!V113</f>
        <v>0</v>
      </c>
      <c r="X113" s="221"/>
    </row>
    <row r="114" spans="1:24" s="310" customFormat="1" ht="25.5" customHeight="1">
      <c r="A114" s="9"/>
      <c r="B114" s="187" t="s">
        <v>258</v>
      </c>
      <c r="C114" s="279">
        <v>2500</v>
      </c>
      <c r="D114" s="195"/>
      <c r="E114" s="269">
        <f>+ก.ค.!E114+ส.ค.!E114+ก.ย.!E114</f>
        <v>0</v>
      </c>
      <c r="F114" s="269">
        <f>+ก.ค.!F114+ส.ค.!F114+ก.ย.!F114</f>
        <v>0</v>
      </c>
      <c r="G114" s="269">
        <f>+ก.ค.!G114+ส.ค.!G114+ก.ย.!G114</f>
        <v>0</v>
      </c>
      <c r="H114" s="269">
        <f>+ก.ค.!H114+ส.ค.!H114+ก.ย.!H114</f>
        <v>0</v>
      </c>
      <c r="I114" s="269">
        <f>+ก.ค.!I114+ส.ค.!I114+ก.ย.!I114</f>
        <v>4500</v>
      </c>
      <c r="J114" s="269">
        <f>+ก.ค.!J114+ส.ค.!J114+ก.ย.!J114</f>
        <v>0</v>
      </c>
      <c r="K114" s="269">
        <f>+ก.ค.!K114+ส.ค.!K114+ก.ย.!K114</f>
        <v>0</v>
      </c>
      <c r="L114" s="269">
        <f>+ก.ค.!L114+ส.ค.!L114+ก.ย.!L114</f>
        <v>0</v>
      </c>
      <c r="M114" s="269">
        <f>+ก.ค.!M114+ส.ค.!M114+ก.ย.!M114</f>
        <v>0</v>
      </c>
      <c r="N114" s="269">
        <f>+ก.ค.!N114+ส.ค.!N114+ก.ย.!N114</f>
        <v>0</v>
      </c>
      <c r="O114" s="269">
        <f>+ก.ค.!O114+ส.ค.!O114+ก.ย.!O114</f>
        <v>0</v>
      </c>
      <c r="P114" s="269">
        <f>+ก.ค.!P114+ส.ค.!P114+ก.ย.!P114</f>
        <v>0</v>
      </c>
      <c r="Q114" s="269">
        <f>+ก.ค.!Q114+ส.ค.!Q114+ก.ย.!Q114</f>
        <v>0</v>
      </c>
      <c r="R114" s="269">
        <f>+ก.ค.!R114+ส.ค.!R114+ก.ย.!R114</f>
        <v>0</v>
      </c>
      <c r="S114" s="269">
        <f>+ก.ค.!S114+ส.ค.!S114+ก.ย.!S114</f>
        <v>0</v>
      </c>
      <c r="T114" s="269">
        <f>+ก.ค.!T114+ส.ค.!T114+ก.ย.!T114</f>
        <v>0</v>
      </c>
      <c r="U114" s="269">
        <f>+ก.ค.!U114+ส.ค.!U114+ก.ย.!U114</f>
        <v>0</v>
      </c>
      <c r="V114" s="269">
        <f>+ก.ค.!V114+ส.ค.!V114+ก.ย.!V114</f>
        <v>0</v>
      </c>
      <c r="X114" s="221"/>
    </row>
    <row r="115" spans="1:24" s="310" customFormat="1" ht="25.5" customHeight="1">
      <c r="A115" s="9"/>
      <c r="B115" s="187" t="s">
        <v>259</v>
      </c>
      <c r="C115" s="279">
        <v>1000</v>
      </c>
      <c r="D115" s="195"/>
      <c r="E115" s="269">
        <f>+ก.ค.!E115+ส.ค.!E115+ก.ย.!E115</f>
        <v>0</v>
      </c>
      <c r="F115" s="269">
        <f>+ก.ค.!F115+ส.ค.!F115+ก.ย.!F115</f>
        <v>0</v>
      </c>
      <c r="G115" s="269">
        <f>+ก.ค.!G115+ส.ค.!G115+ก.ย.!G115</f>
        <v>0</v>
      </c>
      <c r="H115" s="269">
        <f>+ก.ค.!H115+ส.ค.!H115+ก.ย.!H115</f>
        <v>0</v>
      </c>
      <c r="I115" s="269">
        <f>+ก.ค.!I115+ส.ค.!I115+ก.ย.!I115</f>
        <v>0</v>
      </c>
      <c r="J115" s="269">
        <f>+ก.ค.!J115+ส.ค.!J115+ก.ย.!J115</f>
        <v>0</v>
      </c>
      <c r="K115" s="269">
        <f>+ก.ค.!K115+ส.ค.!K115+ก.ย.!K115</f>
        <v>0</v>
      </c>
      <c r="L115" s="269">
        <f>+ก.ค.!L115+ส.ค.!L115+ก.ย.!L115</f>
        <v>0</v>
      </c>
      <c r="M115" s="269">
        <f>+ก.ค.!M115+ส.ค.!M115+ก.ย.!M115</f>
        <v>0</v>
      </c>
      <c r="N115" s="269">
        <f>+ก.ค.!N115+ส.ค.!N115+ก.ย.!N115</f>
        <v>0</v>
      </c>
      <c r="O115" s="269">
        <f>+ก.ค.!O115+ส.ค.!O115+ก.ย.!O115</f>
        <v>0</v>
      </c>
      <c r="P115" s="269">
        <f>+ก.ค.!P115+ส.ค.!P115+ก.ย.!P115</f>
        <v>0</v>
      </c>
      <c r="Q115" s="269">
        <f>+ก.ค.!Q115+ส.ค.!Q115+ก.ย.!Q115</f>
        <v>0</v>
      </c>
      <c r="R115" s="269">
        <f>+ก.ค.!R115+ส.ค.!R115+ก.ย.!R115</f>
        <v>0</v>
      </c>
      <c r="S115" s="269">
        <f>+ก.ค.!S115+ส.ค.!S115+ก.ย.!S115</f>
        <v>0</v>
      </c>
      <c r="T115" s="269">
        <f>+ก.ค.!T115+ส.ค.!T115+ก.ย.!T115</f>
        <v>0</v>
      </c>
      <c r="U115" s="269">
        <f>+ก.ค.!U115+ส.ค.!U115+ก.ย.!U115</f>
        <v>0</v>
      </c>
      <c r="V115" s="269">
        <f>+ก.ค.!V115+ส.ค.!V115+ก.ย.!V115</f>
        <v>0</v>
      </c>
      <c r="X115" s="221"/>
    </row>
    <row r="116" spans="1:24" s="310" customFormat="1" ht="25.5" customHeight="1">
      <c r="A116" s="9"/>
      <c r="B116" s="187" t="s">
        <v>260</v>
      </c>
      <c r="C116" s="279">
        <v>1000</v>
      </c>
      <c r="D116" s="195"/>
      <c r="E116" s="269">
        <f>+ก.ค.!E116+ส.ค.!E116+ก.ย.!E116</f>
        <v>0</v>
      </c>
      <c r="F116" s="269">
        <f>+ก.ค.!F116+ส.ค.!F116+ก.ย.!F116</f>
        <v>0</v>
      </c>
      <c r="G116" s="269">
        <f>+ก.ค.!G116+ส.ค.!G116+ก.ย.!G116</f>
        <v>0</v>
      </c>
      <c r="H116" s="269">
        <f>+ก.ค.!H116+ส.ค.!H116+ก.ย.!H116</f>
        <v>0</v>
      </c>
      <c r="I116" s="269">
        <f>+ก.ค.!I116+ส.ค.!I116+ก.ย.!I116</f>
        <v>0</v>
      </c>
      <c r="J116" s="269">
        <f>+ก.ค.!J116+ส.ค.!J116+ก.ย.!J116</f>
        <v>0</v>
      </c>
      <c r="K116" s="269">
        <f>+ก.ค.!K116+ส.ค.!K116+ก.ย.!K116</f>
        <v>0</v>
      </c>
      <c r="L116" s="269">
        <f>+ก.ค.!L116+ส.ค.!L116+ก.ย.!L116</f>
        <v>0</v>
      </c>
      <c r="M116" s="269">
        <f>+ก.ค.!M116+ส.ค.!M116+ก.ย.!M116</f>
        <v>0</v>
      </c>
      <c r="N116" s="269">
        <f>+ก.ค.!N116+ส.ค.!N116+ก.ย.!N116</f>
        <v>0</v>
      </c>
      <c r="O116" s="269">
        <f>+ก.ค.!O116+ส.ค.!O116+ก.ย.!O116</f>
        <v>0</v>
      </c>
      <c r="P116" s="269">
        <f>+ก.ค.!P116+ส.ค.!P116+ก.ย.!P116</f>
        <v>0</v>
      </c>
      <c r="Q116" s="269">
        <f>+ก.ค.!Q116+ส.ค.!Q116+ก.ย.!Q116</f>
        <v>0</v>
      </c>
      <c r="R116" s="269">
        <f>+ก.ค.!R116+ส.ค.!R116+ก.ย.!R116</f>
        <v>0</v>
      </c>
      <c r="S116" s="269">
        <f>+ก.ค.!S116+ส.ค.!S116+ก.ย.!S116</f>
        <v>0</v>
      </c>
      <c r="T116" s="269">
        <f>+ก.ค.!T116+ส.ค.!T116+ก.ย.!T116</f>
        <v>0</v>
      </c>
      <c r="U116" s="269">
        <f>+ก.ค.!U116+ส.ค.!U116+ก.ย.!U116</f>
        <v>0</v>
      </c>
      <c r="V116" s="269">
        <f>+ก.ค.!V116+ส.ค.!V116+ก.ย.!V116</f>
        <v>0</v>
      </c>
      <c r="X116" s="221"/>
    </row>
    <row r="117" spans="1:24" s="310" customFormat="1" ht="25.5" customHeight="1">
      <c r="A117" s="9"/>
      <c r="B117" s="187" t="s">
        <v>261</v>
      </c>
      <c r="C117" s="279">
        <v>1000</v>
      </c>
      <c r="D117" s="195"/>
      <c r="E117" s="269">
        <f>+ก.ค.!E117+ส.ค.!E117+ก.ย.!E117</f>
        <v>0</v>
      </c>
      <c r="F117" s="269">
        <f>+ก.ค.!F117+ส.ค.!F117+ก.ย.!F117</f>
        <v>0</v>
      </c>
      <c r="G117" s="269">
        <f>+ก.ค.!G117+ส.ค.!G117+ก.ย.!G117</f>
        <v>0</v>
      </c>
      <c r="H117" s="269">
        <f>+ก.ค.!H117+ส.ค.!H117+ก.ย.!H117</f>
        <v>0</v>
      </c>
      <c r="I117" s="269">
        <f>+ก.ค.!I117+ส.ค.!I117+ก.ย.!I117</f>
        <v>0</v>
      </c>
      <c r="J117" s="269">
        <f>+ก.ค.!J117+ส.ค.!J117+ก.ย.!J117</f>
        <v>0</v>
      </c>
      <c r="K117" s="269">
        <f>+ก.ค.!K117+ส.ค.!K117+ก.ย.!K117</f>
        <v>0</v>
      </c>
      <c r="L117" s="269">
        <f>+ก.ค.!L117+ส.ค.!L117+ก.ย.!L117</f>
        <v>0</v>
      </c>
      <c r="M117" s="269">
        <f>+ก.ค.!M117+ส.ค.!M117+ก.ย.!M117</f>
        <v>0</v>
      </c>
      <c r="N117" s="269">
        <f>+ก.ค.!N117+ส.ค.!N117+ก.ย.!N117</f>
        <v>0</v>
      </c>
      <c r="O117" s="269">
        <f>+ก.ค.!O117+ส.ค.!O117+ก.ย.!O117</f>
        <v>0</v>
      </c>
      <c r="P117" s="269">
        <f>+ก.ค.!P117+ส.ค.!P117+ก.ย.!P117</f>
        <v>0</v>
      </c>
      <c r="Q117" s="269">
        <f>+ก.ค.!Q117+ส.ค.!Q117+ก.ย.!Q117</f>
        <v>0</v>
      </c>
      <c r="R117" s="269">
        <f>+ก.ค.!R117+ส.ค.!R117+ก.ย.!R117</f>
        <v>0</v>
      </c>
      <c r="S117" s="269">
        <f>+ก.ค.!S117+ส.ค.!S117+ก.ย.!S117</f>
        <v>0</v>
      </c>
      <c r="T117" s="269">
        <f>+ก.ค.!T117+ส.ค.!T117+ก.ย.!T117</f>
        <v>0</v>
      </c>
      <c r="U117" s="269">
        <f>+ก.ค.!U117+ส.ค.!U117+ก.ย.!U117</f>
        <v>0</v>
      </c>
      <c r="V117" s="269">
        <f>+ก.ค.!V117+ส.ค.!V117+ก.ย.!V117</f>
        <v>0</v>
      </c>
      <c r="X117" s="221"/>
    </row>
    <row r="118" spans="1:24" s="310" customFormat="1" ht="25.5" customHeight="1">
      <c r="A118" s="9"/>
      <c r="B118" s="187" t="s">
        <v>262</v>
      </c>
      <c r="C118" s="279">
        <v>1000</v>
      </c>
      <c r="D118" s="195"/>
      <c r="E118" s="269">
        <f>+ก.ค.!E118+ส.ค.!E118+ก.ย.!E118</f>
        <v>0</v>
      </c>
      <c r="F118" s="269">
        <f>+ก.ค.!F118+ส.ค.!F118+ก.ย.!F118</f>
        <v>0</v>
      </c>
      <c r="G118" s="269">
        <f>+ก.ค.!G118+ส.ค.!G118+ก.ย.!G118</f>
        <v>0</v>
      </c>
      <c r="H118" s="269">
        <f>+ก.ค.!H118+ส.ค.!H118+ก.ย.!H118</f>
        <v>0</v>
      </c>
      <c r="I118" s="269">
        <f>+ก.ค.!I118+ส.ค.!I118+ก.ย.!I118</f>
        <v>1000</v>
      </c>
      <c r="J118" s="269">
        <f>+ก.ค.!J118+ส.ค.!J118+ก.ย.!J118</f>
        <v>0</v>
      </c>
      <c r="K118" s="269">
        <f>+ก.ค.!K118+ส.ค.!K118+ก.ย.!K118</f>
        <v>0</v>
      </c>
      <c r="L118" s="269">
        <f>+ก.ค.!L118+ส.ค.!L118+ก.ย.!L118</f>
        <v>0</v>
      </c>
      <c r="M118" s="269">
        <f>+ก.ค.!M118+ส.ค.!M118+ก.ย.!M118</f>
        <v>0</v>
      </c>
      <c r="N118" s="269">
        <f>+ก.ค.!N118+ส.ค.!N118+ก.ย.!N118</f>
        <v>0</v>
      </c>
      <c r="O118" s="269">
        <f>+ก.ค.!O118+ส.ค.!O118+ก.ย.!O118</f>
        <v>0</v>
      </c>
      <c r="P118" s="269">
        <f>+ก.ค.!P118+ส.ค.!P118+ก.ย.!P118</f>
        <v>0</v>
      </c>
      <c r="Q118" s="269">
        <f>+ก.ค.!Q118+ส.ค.!Q118+ก.ย.!Q118</f>
        <v>0</v>
      </c>
      <c r="R118" s="269">
        <f>+ก.ค.!R118+ส.ค.!R118+ก.ย.!R118</f>
        <v>0</v>
      </c>
      <c r="S118" s="269">
        <f>+ก.ค.!S118+ส.ค.!S118+ก.ย.!S118</f>
        <v>0</v>
      </c>
      <c r="T118" s="269">
        <f>+ก.ค.!T118+ส.ค.!T118+ก.ย.!T118</f>
        <v>0</v>
      </c>
      <c r="U118" s="269">
        <f>+ก.ค.!U118+ส.ค.!U118+ก.ย.!U118</f>
        <v>0</v>
      </c>
      <c r="V118" s="269">
        <f>+ก.ค.!V118+ส.ค.!V118+ก.ย.!V118</f>
        <v>0</v>
      </c>
      <c r="X118" s="221"/>
    </row>
    <row r="119" spans="1:24" s="310" customFormat="1" ht="25.5" customHeight="1">
      <c r="A119" s="9"/>
      <c r="B119" s="187" t="s">
        <v>211</v>
      </c>
      <c r="C119" s="279">
        <v>392000</v>
      </c>
      <c r="D119" s="195"/>
      <c r="E119" s="269">
        <f>+ก.ค.!E119+ส.ค.!E119+ก.ย.!E119</f>
        <v>0</v>
      </c>
      <c r="F119" s="269">
        <f>+ก.ค.!F119+ส.ค.!F119+ก.ย.!F119</f>
        <v>0</v>
      </c>
      <c r="G119" s="269">
        <f>+ก.ค.!G119+ส.ค.!G119+ก.ย.!G119</f>
        <v>0</v>
      </c>
      <c r="H119" s="269">
        <f>+ก.ค.!H119+ส.ค.!H119+ก.ย.!H119</f>
        <v>0</v>
      </c>
      <c r="I119" s="269">
        <f>+ก.ค.!I119+ส.ค.!I119+ก.ย.!I119</f>
        <v>81600</v>
      </c>
      <c r="J119" s="269">
        <f>+ก.ค.!J119+ส.ค.!J119+ก.ย.!J119</f>
        <v>0</v>
      </c>
      <c r="K119" s="269">
        <f>+ก.ค.!K119+ส.ค.!K119+ก.ย.!K119</f>
        <v>0</v>
      </c>
      <c r="L119" s="269">
        <f>+ก.ค.!L119+ส.ค.!L119+ก.ย.!L119</f>
        <v>0</v>
      </c>
      <c r="M119" s="269">
        <f>+ก.ค.!M119+ส.ค.!M119+ก.ย.!M119</f>
        <v>0</v>
      </c>
      <c r="N119" s="269">
        <f>+ก.ค.!N119+ส.ค.!N119+ก.ย.!N119</f>
        <v>0</v>
      </c>
      <c r="O119" s="269">
        <f>+ก.ค.!O119+ส.ค.!O119+ก.ย.!O119</f>
        <v>0</v>
      </c>
      <c r="P119" s="269">
        <f>+ก.ค.!P119+ส.ค.!P119+ก.ย.!P119</f>
        <v>0</v>
      </c>
      <c r="Q119" s="269">
        <f>+ก.ค.!Q119+ส.ค.!Q119+ก.ย.!Q119</f>
        <v>0</v>
      </c>
      <c r="R119" s="269">
        <f>+ก.ค.!R119+ส.ค.!R119+ก.ย.!R119</f>
        <v>0</v>
      </c>
      <c r="S119" s="269">
        <f>+ก.ค.!S119+ส.ค.!S119+ก.ย.!S119</f>
        <v>0</v>
      </c>
      <c r="T119" s="269">
        <f>+ก.ค.!T119+ส.ค.!T119+ก.ย.!T119</f>
        <v>0</v>
      </c>
      <c r="U119" s="269">
        <f>+ก.ค.!U119+ส.ค.!U119+ก.ย.!U119</f>
        <v>0</v>
      </c>
      <c r="V119" s="269">
        <f>+ก.ค.!V119+ส.ค.!V119+ก.ย.!V119</f>
        <v>0</v>
      </c>
      <c r="X119" s="221"/>
    </row>
    <row r="120" spans="1:24" s="310" customFormat="1" ht="25.5" customHeight="1">
      <c r="A120" s="9"/>
      <c r="B120" s="187" t="s">
        <v>263</v>
      </c>
      <c r="C120" s="279">
        <v>200900</v>
      </c>
      <c r="D120" s="195"/>
      <c r="E120" s="269">
        <f>+ก.ค.!E120+ส.ค.!E120+ก.ย.!E120</f>
        <v>0</v>
      </c>
      <c r="F120" s="269">
        <f>+ก.ค.!F120+ส.ค.!F120+ก.ย.!F120</f>
        <v>0</v>
      </c>
      <c r="G120" s="269">
        <f>+ก.ค.!G120+ส.ค.!G120+ก.ย.!G120</f>
        <v>0</v>
      </c>
      <c r="H120" s="269">
        <f>+ก.ค.!H120+ส.ค.!H120+ก.ย.!H120</f>
        <v>0</v>
      </c>
      <c r="I120" s="269">
        <f>+ก.ค.!I120+ส.ค.!I120+ก.ย.!I120</f>
        <v>49200</v>
      </c>
      <c r="J120" s="269">
        <f>+ก.ค.!J120+ส.ค.!J120+ก.ย.!J120</f>
        <v>0</v>
      </c>
      <c r="K120" s="269">
        <f>+ก.ค.!K120+ส.ค.!K120+ก.ย.!K120</f>
        <v>0</v>
      </c>
      <c r="L120" s="269">
        <f>+ก.ค.!L120+ส.ค.!L120+ก.ย.!L120</f>
        <v>0</v>
      </c>
      <c r="M120" s="269">
        <f>+ก.ค.!M120+ส.ค.!M120+ก.ย.!M120</f>
        <v>0</v>
      </c>
      <c r="N120" s="269">
        <f>+ก.ค.!N120+ส.ค.!N120+ก.ย.!N120</f>
        <v>0</v>
      </c>
      <c r="O120" s="269">
        <f>+ก.ค.!O120+ส.ค.!O120+ก.ย.!O120</f>
        <v>0</v>
      </c>
      <c r="P120" s="269">
        <f>+ก.ค.!P120+ส.ค.!P120+ก.ย.!P120</f>
        <v>0</v>
      </c>
      <c r="Q120" s="269">
        <f>+ก.ค.!Q120+ส.ค.!Q120+ก.ย.!Q120</f>
        <v>0</v>
      </c>
      <c r="R120" s="269">
        <f>+ก.ค.!R120+ส.ค.!R120+ก.ย.!R120</f>
        <v>0</v>
      </c>
      <c r="S120" s="269">
        <f>+ก.ค.!S120+ส.ค.!S120+ก.ย.!S120</f>
        <v>0</v>
      </c>
      <c r="T120" s="269">
        <f>+ก.ค.!T120+ส.ค.!T120+ก.ย.!T120</f>
        <v>0</v>
      </c>
      <c r="U120" s="269">
        <f>+ก.ค.!U120+ส.ค.!U120+ก.ย.!U120</f>
        <v>0</v>
      </c>
      <c r="V120" s="269">
        <f>+ก.ค.!V120+ส.ค.!V120+ก.ย.!V120</f>
        <v>0</v>
      </c>
      <c r="X120" s="221"/>
    </row>
    <row r="121" spans="1:24" s="310" customFormat="1" ht="25.5" customHeight="1">
      <c r="A121" s="9"/>
      <c r="B121" s="187" t="s">
        <v>315</v>
      </c>
      <c r="C121" s="279">
        <v>230300</v>
      </c>
      <c r="D121" s="195"/>
      <c r="E121" s="269">
        <f>+ก.ค.!E121+ส.ค.!E121+ก.ย.!E121</f>
        <v>0</v>
      </c>
      <c r="F121" s="269">
        <f>+ก.ค.!F121+ส.ค.!F121+ก.ย.!F121</f>
        <v>0</v>
      </c>
      <c r="G121" s="269">
        <f>+ก.ค.!G121+ส.ค.!G121+ก.ย.!G121</f>
        <v>0</v>
      </c>
      <c r="H121" s="269">
        <f>+ก.ค.!H121+ส.ค.!H121+ก.ย.!H121</f>
        <v>0</v>
      </c>
      <c r="I121" s="269">
        <f>+ก.ค.!I121+ส.ค.!I121+ก.ย.!I121</f>
        <v>60000</v>
      </c>
      <c r="J121" s="269">
        <f>+ก.ค.!J121+ส.ค.!J121+ก.ย.!J121</f>
        <v>0</v>
      </c>
      <c r="K121" s="269">
        <f>+ก.ค.!K121+ส.ค.!K121+ก.ย.!K121</f>
        <v>0</v>
      </c>
      <c r="L121" s="269">
        <f>+ก.ค.!L121+ส.ค.!L121+ก.ย.!L121</f>
        <v>0</v>
      </c>
      <c r="M121" s="269">
        <f>+ก.ค.!M121+ส.ค.!M121+ก.ย.!M121</f>
        <v>0</v>
      </c>
      <c r="N121" s="269">
        <f>+ก.ค.!N121+ส.ค.!N121+ก.ย.!N121</f>
        <v>0</v>
      </c>
      <c r="O121" s="269">
        <f>+ก.ค.!O121+ส.ค.!O121+ก.ย.!O121</f>
        <v>0</v>
      </c>
      <c r="P121" s="269">
        <f>+ก.ค.!P121+ส.ค.!P121+ก.ย.!P121</f>
        <v>0</v>
      </c>
      <c r="Q121" s="269">
        <f>+ก.ค.!Q121+ส.ค.!Q121+ก.ย.!Q121</f>
        <v>0</v>
      </c>
      <c r="R121" s="269">
        <f>+ก.ค.!R121+ส.ค.!R121+ก.ย.!R121</f>
        <v>0</v>
      </c>
      <c r="S121" s="269">
        <f>+ก.ค.!S121+ส.ค.!S121+ก.ย.!S121</f>
        <v>0</v>
      </c>
      <c r="T121" s="269">
        <f>+ก.ค.!T121+ส.ค.!T121+ก.ย.!T121</f>
        <v>0</v>
      </c>
      <c r="U121" s="269">
        <f>+ก.ค.!U121+ส.ค.!U121+ก.ย.!U121</f>
        <v>0</v>
      </c>
      <c r="V121" s="269">
        <f>+ก.ค.!V121+ส.ค.!V121+ก.ย.!V121</f>
        <v>0</v>
      </c>
      <c r="X121" s="221"/>
    </row>
    <row r="122" spans="1:24" s="310" customFormat="1" ht="25.5" customHeight="1">
      <c r="A122" s="9"/>
      <c r="B122" s="187" t="s">
        <v>212</v>
      </c>
      <c r="C122" s="279">
        <v>171500</v>
      </c>
      <c r="D122" s="195"/>
      <c r="E122" s="269">
        <f>+ก.ค.!E122+ส.ค.!E122+ก.ย.!E122</f>
        <v>0</v>
      </c>
      <c r="F122" s="269">
        <f>+ก.ค.!F122+ส.ค.!F122+ก.ย.!F122</f>
        <v>0</v>
      </c>
      <c r="G122" s="269">
        <f>+ก.ค.!G122+ส.ค.!G122+ก.ย.!G122</f>
        <v>0</v>
      </c>
      <c r="H122" s="269">
        <f>+ก.ค.!H122+ส.ค.!H122+ก.ย.!H122</f>
        <v>0</v>
      </c>
      <c r="I122" s="269">
        <f>+ก.ค.!I122+ส.ค.!I122+ก.ย.!I122</f>
        <v>36000</v>
      </c>
      <c r="J122" s="269">
        <f>+ก.ค.!J122+ส.ค.!J122+ก.ย.!J122</f>
        <v>0</v>
      </c>
      <c r="K122" s="269">
        <f>+ก.ค.!K122+ส.ค.!K122+ก.ย.!K122</f>
        <v>0</v>
      </c>
      <c r="L122" s="269">
        <f>+ก.ค.!L122+ส.ค.!L122+ก.ย.!L122</f>
        <v>0</v>
      </c>
      <c r="M122" s="269">
        <f>+ก.ค.!M122+ส.ค.!M122+ก.ย.!M122</f>
        <v>0</v>
      </c>
      <c r="N122" s="269">
        <f>+ก.ค.!N122+ส.ค.!N122+ก.ย.!N122</f>
        <v>0</v>
      </c>
      <c r="O122" s="269">
        <f>+ก.ค.!O122+ส.ค.!O122+ก.ย.!O122</f>
        <v>0</v>
      </c>
      <c r="P122" s="269">
        <f>+ก.ค.!P122+ส.ค.!P122+ก.ย.!P122</f>
        <v>0</v>
      </c>
      <c r="Q122" s="269">
        <f>+ก.ค.!Q122+ส.ค.!Q122+ก.ย.!Q122</f>
        <v>0</v>
      </c>
      <c r="R122" s="269">
        <f>+ก.ค.!R122+ส.ค.!R122+ก.ย.!R122</f>
        <v>0</v>
      </c>
      <c r="S122" s="269">
        <f>+ก.ค.!S122+ส.ค.!S122+ก.ย.!S122</f>
        <v>0</v>
      </c>
      <c r="T122" s="269">
        <f>+ก.ค.!T122+ส.ค.!T122+ก.ย.!T122</f>
        <v>0</v>
      </c>
      <c r="U122" s="269">
        <f>+ก.ค.!U122+ส.ค.!U122+ก.ย.!U122</f>
        <v>0</v>
      </c>
      <c r="V122" s="269">
        <f>+ก.ค.!V122+ส.ค.!V122+ก.ย.!V122</f>
        <v>0</v>
      </c>
      <c r="X122" s="221"/>
    </row>
    <row r="123" spans="1:24" s="310" customFormat="1" ht="25.5" customHeight="1">
      <c r="A123" s="9"/>
      <c r="B123" s="187" t="s">
        <v>140</v>
      </c>
      <c r="C123" s="279">
        <v>50000</v>
      </c>
      <c r="D123" s="195"/>
      <c r="E123" s="269">
        <f>+ก.ค.!E123+ส.ค.!E123+ก.ย.!E123</f>
        <v>0</v>
      </c>
      <c r="F123" s="269">
        <f>+ก.ค.!F123+ส.ค.!F123+ก.ย.!F123</f>
        <v>0</v>
      </c>
      <c r="G123" s="269">
        <f>+ก.ค.!G123+ส.ค.!G123+ก.ย.!G123</f>
        <v>0</v>
      </c>
      <c r="H123" s="269">
        <f>+ก.ค.!H123+ส.ค.!H123+ก.ย.!H123</f>
        <v>0</v>
      </c>
      <c r="I123" s="269">
        <f>+ก.ค.!I123+ส.ค.!I123+ก.ย.!I123</f>
        <v>0</v>
      </c>
      <c r="J123" s="269">
        <f>+ก.ค.!J123+ส.ค.!J123+ก.ย.!J123</f>
        <v>0</v>
      </c>
      <c r="K123" s="269">
        <f>+ก.ค.!K123+ส.ค.!K123+ก.ย.!K123</f>
        <v>0</v>
      </c>
      <c r="L123" s="269">
        <f>+ก.ค.!L123+ส.ค.!L123+ก.ย.!L123</f>
        <v>0</v>
      </c>
      <c r="M123" s="269">
        <f>+ก.ค.!M123+ส.ค.!M123+ก.ย.!M123</f>
        <v>0</v>
      </c>
      <c r="N123" s="269">
        <f>+ก.ค.!N123+ส.ค.!N123+ก.ย.!N123</f>
        <v>0</v>
      </c>
      <c r="O123" s="269">
        <f>+ก.ค.!O123+ส.ค.!O123+ก.ย.!O123</f>
        <v>0</v>
      </c>
      <c r="P123" s="269">
        <f>+ก.ค.!P123+ส.ค.!P123+ก.ย.!P123</f>
        <v>0</v>
      </c>
      <c r="Q123" s="269">
        <f>+ก.ค.!Q123+ส.ค.!Q123+ก.ย.!Q123</f>
        <v>0</v>
      </c>
      <c r="R123" s="269">
        <f>+ก.ค.!R123+ส.ค.!R123+ก.ย.!R123</f>
        <v>0</v>
      </c>
      <c r="S123" s="269">
        <f>+ก.ค.!S123+ส.ค.!S123+ก.ย.!S123</f>
        <v>0</v>
      </c>
      <c r="T123" s="269">
        <f>+ก.ค.!T123+ส.ค.!T123+ก.ย.!T123</f>
        <v>0</v>
      </c>
      <c r="U123" s="269">
        <f>+ก.ค.!U123+ส.ค.!U123+ก.ย.!U123</f>
        <v>0</v>
      </c>
      <c r="V123" s="269">
        <f>+ก.ค.!V123+ส.ค.!V123+ก.ย.!V123</f>
        <v>0</v>
      </c>
      <c r="X123" s="221"/>
    </row>
    <row r="124" spans="1:24" s="310" customFormat="1" ht="25.5" customHeight="1">
      <c r="A124" s="9"/>
      <c r="B124" s="187" t="s">
        <v>206</v>
      </c>
      <c r="C124" s="279">
        <v>20000</v>
      </c>
      <c r="D124" s="195"/>
      <c r="E124" s="269">
        <f>+ก.ค.!E124+ส.ค.!E124+ก.ย.!E124</f>
        <v>0</v>
      </c>
      <c r="F124" s="269">
        <f>+ก.ค.!F124+ส.ค.!F124+ก.ย.!F124</f>
        <v>0</v>
      </c>
      <c r="G124" s="269">
        <f>+ก.ค.!G124+ส.ค.!G124+ก.ย.!G124</f>
        <v>0</v>
      </c>
      <c r="H124" s="269">
        <f>+ก.ค.!H124+ส.ค.!H124+ก.ย.!H124</f>
        <v>0</v>
      </c>
      <c r="I124" s="269">
        <f>+ก.ค.!I124+ส.ค.!I124+ก.ย.!I124</f>
        <v>0</v>
      </c>
      <c r="J124" s="269">
        <f>+ก.ค.!J124+ส.ค.!J124+ก.ย.!J124</f>
        <v>39998</v>
      </c>
      <c r="K124" s="269">
        <f>+ก.ค.!K124+ส.ค.!K124+ก.ย.!K124</f>
        <v>0</v>
      </c>
      <c r="L124" s="269">
        <f>+ก.ค.!L124+ส.ค.!L124+ก.ย.!L124</f>
        <v>0</v>
      </c>
      <c r="M124" s="269">
        <f>+ก.ค.!M124+ส.ค.!M124+ก.ย.!M124</f>
        <v>0</v>
      </c>
      <c r="N124" s="269">
        <f>+ก.ค.!N124+ส.ค.!N124+ก.ย.!N124</f>
        <v>0</v>
      </c>
      <c r="O124" s="269">
        <f>+ก.ค.!O124+ส.ค.!O124+ก.ย.!O124</f>
        <v>0</v>
      </c>
      <c r="P124" s="269">
        <f>+ก.ค.!P124+ส.ค.!P124+ก.ย.!P124</f>
        <v>0</v>
      </c>
      <c r="Q124" s="269">
        <f>+ก.ค.!Q124+ส.ค.!Q124+ก.ย.!Q124</f>
        <v>0</v>
      </c>
      <c r="R124" s="269">
        <f>+ก.ค.!R124+ส.ค.!R124+ก.ย.!R124</f>
        <v>0</v>
      </c>
      <c r="S124" s="269">
        <f>+ก.ค.!S124+ส.ค.!S124+ก.ย.!S124</f>
        <v>0</v>
      </c>
      <c r="T124" s="269">
        <f>+ก.ค.!T124+ส.ค.!T124+ก.ย.!T124</f>
        <v>0</v>
      </c>
      <c r="U124" s="269">
        <f>+ก.ค.!U124+ส.ค.!U124+ก.ย.!U124</f>
        <v>0</v>
      </c>
      <c r="V124" s="269">
        <f>+ก.ค.!V124+ส.ค.!V124+ก.ย.!V124</f>
        <v>0</v>
      </c>
      <c r="X124" s="221"/>
    </row>
    <row r="125" spans="1:24" s="310" customFormat="1" ht="25.5" customHeight="1">
      <c r="A125" s="9"/>
      <c r="B125" s="187" t="s">
        <v>326</v>
      </c>
      <c r="C125" s="279">
        <v>5000</v>
      </c>
      <c r="D125" s="195"/>
      <c r="E125" s="269">
        <f>+ก.ค.!E125+ส.ค.!E125+ก.ย.!E125</f>
        <v>0</v>
      </c>
      <c r="F125" s="269">
        <f>+ก.ค.!F125+ส.ค.!F125+ก.ย.!F125</f>
        <v>0</v>
      </c>
      <c r="G125" s="269">
        <f>+ก.ค.!G125+ส.ค.!G125+ก.ย.!G125</f>
        <v>0</v>
      </c>
      <c r="H125" s="269">
        <f>+ก.ค.!H125+ส.ค.!H125+ก.ย.!H125</f>
        <v>0</v>
      </c>
      <c r="I125" s="269">
        <f>+ก.ค.!I125+ส.ค.!I125+ก.ย.!I125</f>
        <v>0</v>
      </c>
      <c r="J125" s="269">
        <f>+ก.ค.!J125+ส.ค.!J125+ก.ย.!J125</f>
        <v>0</v>
      </c>
      <c r="K125" s="269">
        <f>+ก.ค.!K125+ส.ค.!K125+ก.ย.!K125</f>
        <v>0</v>
      </c>
      <c r="L125" s="269">
        <f>+ก.ค.!L125+ส.ค.!L125+ก.ย.!L125</f>
        <v>0</v>
      </c>
      <c r="M125" s="269">
        <f>+ก.ค.!M125+ส.ค.!M125+ก.ย.!M125</f>
        <v>0</v>
      </c>
      <c r="N125" s="269">
        <f>+ก.ค.!N125+ส.ค.!N125+ก.ย.!N125</f>
        <v>0</v>
      </c>
      <c r="O125" s="269">
        <f>+ก.ค.!O125+ส.ค.!O125+ก.ย.!O125</f>
        <v>0</v>
      </c>
      <c r="P125" s="269">
        <f>+ก.ค.!P125+ส.ค.!P125+ก.ย.!P125</f>
        <v>0</v>
      </c>
      <c r="Q125" s="269">
        <f>+ก.ค.!Q125+ส.ค.!Q125+ก.ย.!Q125</f>
        <v>0</v>
      </c>
      <c r="R125" s="269">
        <f>+ก.ค.!R125+ส.ค.!R125+ก.ย.!R125</f>
        <v>0</v>
      </c>
      <c r="S125" s="269">
        <f>+ก.ค.!S125+ส.ค.!S125+ก.ย.!S125</f>
        <v>0</v>
      </c>
      <c r="T125" s="269">
        <f>+ก.ค.!T125+ส.ค.!T125+ก.ย.!T125</f>
        <v>0</v>
      </c>
      <c r="U125" s="269">
        <f>+ก.ค.!U125+ส.ค.!U125+ก.ย.!U125</f>
        <v>0</v>
      </c>
      <c r="V125" s="269">
        <f>+ก.ค.!V125+ส.ค.!V125+ก.ย.!V125</f>
        <v>0</v>
      </c>
      <c r="X125" s="221"/>
    </row>
    <row r="126" spans="1:24" s="310" customFormat="1" ht="25.5" customHeight="1">
      <c r="A126" s="9"/>
      <c r="B126" s="187" t="s">
        <v>327</v>
      </c>
      <c r="C126" s="279">
        <v>5000</v>
      </c>
      <c r="D126" s="195"/>
      <c r="E126" s="269">
        <f>+ก.ค.!E126+ส.ค.!E126+ก.ย.!E126</f>
        <v>0</v>
      </c>
      <c r="F126" s="269">
        <f>+ก.ค.!F126+ส.ค.!F126+ก.ย.!F126</f>
        <v>0</v>
      </c>
      <c r="G126" s="269">
        <f>+ก.ค.!G126+ส.ค.!G126+ก.ย.!G126</f>
        <v>0</v>
      </c>
      <c r="H126" s="269">
        <f>+ก.ค.!H126+ส.ค.!H126+ก.ย.!H126</f>
        <v>0</v>
      </c>
      <c r="I126" s="269">
        <f>+ก.ค.!I126+ส.ค.!I126+ก.ย.!I126</f>
        <v>0</v>
      </c>
      <c r="J126" s="269">
        <f>+ก.ค.!J126+ส.ค.!J126+ก.ย.!J126</f>
        <v>0</v>
      </c>
      <c r="K126" s="269">
        <f>+ก.ค.!K126+ส.ค.!K126+ก.ย.!K126</f>
        <v>0</v>
      </c>
      <c r="L126" s="269">
        <f>+ก.ค.!L126+ส.ค.!L126+ก.ย.!L126</f>
        <v>0</v>
      </c>
      <c r="M126" s="269">
        <f>+ก.ค.!M126+ส.ค.!M126+ก.ย.!M126</f>
        <v>0</v>
      </c>
      <c r="N126" s="269">
        <f>+ก.ค.!N126+ส.ค.!N126+ก.ย.!N126</f>
        <v>0</v>
      </c>
      <c r="O126" s="269">
        <f>+ก.ค.!O126+ส.ค.!O126+ก.ย.!O126</f>
        <v>0</v>
      </c>
      <c r="P126" s="269">
        <f>+ก.ค.!P126+ส.ค.!P126+ก.ย.!P126</f>
        <v>0</v>
      </c>
      <c r="Q126" s="269">
        <f>+ก.ค.!Q126+ส.ค.!Q126+ก.ย.!Q126</f>
        <v>0</v>
      </c>
      <c r="R126" s="269">
        <f>+ก.ค.!R126+ส.ค.!R126+ก.ย.!R126</f>
        <v>0</v>
      </c>
      <c r="S126" s="269">
        <f>+ก.ค.!S126+ส.ค.!S126+ก.ย.!S126</f>
        <v>0</v>
      </c>
      <c r="T126" s="269">
        <f>+ก.ค.!T126+ส.ค.!T126+ก.ย.!T126</f>
        <v>0</v>
      </c>
      <c r="U126" s="269">
        <f>+ก.ค.!U126+ส.ค.!U126+ก.ย.!U126</f>
        <v>0</v>
      </c>
      <c r="V126" s="269">
        <f>+ก.ค.!V126+ส.ค.!V126+ก.ย.!V126</f>
        <v>0</v>
      </c>
      <c r="X126" s="221"/>
    </row>
    <row r="127" spans="1:24" s="310" customFormat="1" ht="25.5" customHeight="1">
      <c r="A127" s="9"/>
      <c r="B127" s="187" t="s">
        <v>142</v>
      </c>
      <c r="C127" s="279">
        <v>20000</v>
      </c>
      <c r="D127" s="195"/>
      <c r="E127" s="269">
        <f>+ก.ค.!E127+ส.ค.!E127+ก.ย.!E127</f>
        <v>0</v>
      </c>
      <c r="F127" s="269">
        <f>+ก.ค.!F127+ส.ค.!F127+ก.ย.!F127</f>
        <v>0</v>
      </c>
      <c r="G127" s="269">
        <f>+ก.ค.!G127+ส.ค.!G127+ก.ย.!G127</f>
        <v>0</v>
      </c>
      <c r="H127" s="269">
        <f>+ก.ค.!H127+ส.ค.!H127+ก.ย.!H127</f>
        <v>0</v>
      </c>
      <c r="I127" s="269">
        <f>+ก.ค.!I127+ส.ค.!I127+ก.ย.!I127</f>
        <v>0</v>
      </c>
      <c r="J127" s="269">
        <f>+ก.ค.!J127+ส.ค.!J127+ก.ย.!J127</f>
        <v>0</v>
      </c>
      <c r="K127" s="269">
        <f>+ก.ค.!K127+ส.ค.!K127+ก.ย.!K127</f>
        <v>0</v>
      </c>
      <c r="L127" s="269">
        <f>+ก.ค.!L127+ส.ค.!L127+ก.ย.!L127</f>
        <v>0</v>
      </c>
      <c r="M127" s="269">
        <f>+ก.ค.!M127+ส.ค.!M127+ก.ย.!M127</f>
        <v>0</v>
      </c>
      <c r="N127" s="269">
        <f>+ก.ค.!N127+ส.ค.!N127+ก.ย.!N127</f>
        <v>0</v>
      </c>
      <c r="O127" s="269">
        <f>+ก.ค.!O127+ส.ค.!O127+ก.ย.!O127</f>
        <v>0</v>
      </c>
      <c r="P127" s="269">
        <f>+ก.ค.!P127+ส.ค.!P127+ก.ย.!P127</f>
        <v>0</v>
      </c>
      <c r="Q127" s="269">
        <f>+ก.ค.!Q127+ส.ค.!Q127+ก.ย.!Q127</f>
        <v>0</v>
      </c>
      <c r="R127" s="269">
        <f>+ก.ค.!R127+ส.ค.!R127+ก.ย.!R127</f>
        <v>0</v>
      </c>
      <c r="S127" s="269">
        <f>+ก.ค.!S127+ส.ค.!S127+ก.ย.!S127</f>
        <v>0</v>
      </c>
      <c r="T127" s="269">
        <f>+ก.ค.!T127+ส.ค.!T127+ก.ย.!T127</f>
        <v>0</v>
      </c>
      <c r="U127" s="269">
        <f>+ก.ค.!U127+ส.ค.!U127+ก.ย.!U127</f>
        <v>0</v>
      </c>
      <c r="V127" s="269">
        <f>+ก.ค.!V127+ส.ค.!V127+ก.ย.!V127</f>
        <v>0</v>
      </c>
      <c r="X127" s="221"/>
    </row>
    <row r="128" spans="1:24" s="310" customFormat="1" ht="25.5" customHeight="1">
      <c r="A128" s="9"/>
      <c r="B128" s="226" t="s">
        <v>328</v>
      </c>
      <c r="C128" s="279">
        <v>10000</v>
      </c>
      <c r="D128" s="195"/>
      <c r="E128" s="269">
        <f>+ก.ค.!E128+ส.ค.!E128+ก.ย.!E128</f>
        <v>0</v>
      </c>
      <c r="F128" s="269">
        <f>+ก.ค.!F128+ส.ค.!F128+ก.ย.!F128</f>
        <v>0</v>
      </c>
      <c r="G128" s="269">
        <f>+ก.ค.!G128+ส.ค.!G128+ก.ย.!G128</f>
        <v>0</v>
      </c>
      <c r="H128" s="269">
        <f>+ก.ค.!H128+ส.ค.!H128+ก.ย.!H128</f>
        <v>0</v>
      </c>
      <c r="I128" s="269">
        <f>+ก.ค.!I128+ส.ค.!I128+ก.ย.!I128</f>
        <v>0</v>
      </c>
      <c r="J128" s="269">
        <f>+ก.ค.!J128+ส.ค.!J128+ก.ย.!J128</f>
        <v>0</v>
      </c>
      <c r="K128" s="269">
        <f>+ก.ค.!K128+ส.ค.!K128+ก.ย.!K128</f>
        <v>0</v>
      </c>
      <c r="L128" s="269">
        <f>+ก.ค.!L128+ส.ค.!L128+ก.ย.!L128</f>
        <v>0</v>
      </c>
      <c r="M128" s="269">
        <f>+ก.ค.!M128+ส.ค.!M128+ก.ย.!M128</f>
        <v>0</v>
      </c>
      <c r="N128" s="269">
        <f>+ก.ค.!N128+ส.ค.!N128+ก.ย.!N128</f>
        <v>0</v>
      </c>
      <c r="O128" s="269">
        <f>+ก.ค.!O128+ส.ค.!O128+ก.ย.!O128</f>
        <v>0</v>
      </c>
      <c r="P128" s="269">
        <f>+ก.ค.!P128+ส.ค.!P128+ก.ย.!P128</f>
        <v>0</v>
      </c>
      <c r="Q128" s="269">
        <f>+ก.ค.!Q128+ส.ค.!Q128+ก.ย.!Q128</f>
        <v>0</v>
      </c>
      <c r="R128" s="269">
        <f>+ก.ค.!R128+ส.ค.!R128+ก.ย.!R128</f>
        <v>0</v>
      </c>
      <c r="S128" s="269">
        <f>+ก.ค.!S128+ส.ค.!S128+ก.ย.!S128</f>
        <v>0</v>
      </c>
      <c r="T128" s="269">
        <f>+ก.ค.!T128+ส.ค.!T128+ก.ย.!T128</f>
        <v>0</v>
      </c>
      <c r="U128" s="269">
        <f>+ก.ค.!U128+ส.ค.!U128+ก.ย.!U128</f>
        <v>0</v>
      </c>
      <c r="V128" s="269">
        <f>+ก.ค.!V128+ส.ค.!V128+ก.ย.!V128</f>
        <v>0</v>
      </c>
      <c r="X128" s="221"/>
    </row>
    <row r="129" spans="1:24" s="310" customFormat="1" ht="25.5" customHeight="1">
      <c r="A129" s="9"/>
      <c r="B129" s="226" t="s">
        <v>329</v>
      </c>
      <c r="C129" s="279">
        <v>10000</v>
      </c>
      <c r="D129" s="131"/>
      <c r="E129" s="269">
        <f>+ก.ค.!E129+ส.ค.!E129+ก.ย.!E129</f>
        <v>0</v>
      </c>
      <c r="F129" s="269">
        <f>+ก.ค.!F129+ส.ค.!F129+ก.ย.!F129</f>
        <v>0</v>
      </c>
      <c r="G129" s="269">
        <f>+ก.ค.!G129+ส.ค.!G129+ก.ย.!G129</f>
        <v>0</v>
      </c>
      <c r="H129" s="269">
        <f>+ก.ค.!H129+ส.ค.!H129+ก.ย.!H129</f>
        <v>0</v>
      </c>
      <c r="I129" s="269">
        <f>+ก.ค.!I129+ส.ค.!I129+ก.ย.!I129</f>
        <v>0</v>
      </c>
      <c r="J129" s="269">
        <f>+ก.ค.!J129+ส.ค.!J129+ก.ย.!J129</f>
        <v>0</v>
      </c>
      <c r="K129" s="269">
        <f>+ก.ค.!K129+ส.ค.!K129+ก.ย.!K129</f>
        <v>0</v>
      </c>
      <c r="L129" s="269">
        <f>+ก.ค.!L129+ส.ค.!L129+ก.ย.!L129</f>
        <v>0</v>
      </c>
      <c r="M129" s="269">
        <f>+ก.ค.!M129+ส.ค.!M129+ก.ย.!M129</f>
        <v>0</v>
      </c>
      <c r="N129" s="269">
        <f>+ก.ค.!N129+ส.ค.!N129+ก.ย.!N129</f>
        <v>0</v>
      </c>
      <c r="O129" s="269">
        <f>+ก.ค.!O129+ส.ค.!O129+ก.ย.!O129</f>
        <v>0</v>
      </c>
      <c r="P129" s="269">
        <f>+ก.ค.!P129+ส.ค.!P129+ก.ย.!P129</f>
        <v>0</v>
      </c>
      <c r="Q129" s="269">
        <f>+ก.ค.!Q129+ส.ค.!Q129+ก.ย.!Q129</f>
        <v>0</v>
      </c>
      <c r="R129" s="269">
        <f>+ก.ค.!R129+ส.ค.!R129+ก.ย.!R129</f>
        <v>0</v>
      </c>
      <c r="S129" s="269">
        <f>+ก.ค.!S129+ส.ค.!S129+ก.ย.!S129</f>
        <v>0</v>
      </c>
      <c r="T129" s="269">
        <f>+ก.ค.!T129+ส.ค.!T129+ก.ย.!T129</f>
        <v>0</v>
      </c>
      <c r="U129" s="269">
        <f>+ก.ค.!U129+ส.ค.!U129+ก.ย.!U129</f>
        <v>0</v>
      </c>
      <c r="V129" s="269">
        <f>+ก.ค.!V129+ส.ค.!V129+ก.ย.!V129</f>
        <v>0</v>
      </c>
      <c r="X129" s="221"/>
    </row>
    <row r="130" spans="1:24" s="310" customFormat="1" ht="25.5" customHeight="1">
      <c r="A130" s="9"/>
      <c r="B130" s="226" t="s">
        <v>330</v>
      </c>
      <c r="C130" s="279">
        <v>10000</v>
      </c>
      <c r="D130" s="195"/>
      <c r="E130" s="269">
        <f>+ก.ค.!E130+ส.ค.!E130+ก.ย.!E130</f>
        <v>0</v>
      </c>
      <c r="F130" s="269">
        <f>+ก.ค.!F130+ส.ค.!F130+ก.ย.!F130</f>
        <v>0</v>
      </c>
      <c r="G130" s="269">
        <f>+ก.ค.!G130+ส.ค.!G130+ก.ย.!G130</f>
        <v>0</v>
      </c>
      <c r="H130" s="269">
        <f>+ก.ค.!H130+ส.ค.!H130+ก.ย.!H130</f>
        <v>0</v>
      </c>
      <c r="I130" s="269">
        <f>+ก.ค.!I130+ส.ค.!I130+ก.ย.!I130</f>
        <v>0</v>
      </c>
      <c r="J130" s="269">
        <f>+ก.ค.!J130+ส.ค.!J130+ก.ย.!J130</f>
        <v>0</v>
      </c>
      <c r="K130" s="269">
        <f>+ก.ค.!K130+ส.ค.!K130+ก.ย.!K130</f>
        <v>1490.32</v>
      </c>
      <c r="L130" s="269">
        <f>+ก.ค.!L130+ส.ค.!L130+ก.ย.!L130</f>
        <v>0</v>
      </c>
      <c r="M130" s="269">
        <f>+ก.ค.!M130+ส.ค.!M130+ก.ย.!M130</f>
        <v>0</v>
      </c>
      <c r="N130" s="269">
        <f>+ก.ค.!N130+ส.ค.!N130+ก.ย.!N130</f>
        <v>0</v>
      </c>
      <c r="O130" s="269">
        <f>+ก.ค.!O130+ส.ค.!O130+ก.ย.!O130</f>
        <v>0</v>
      </c>
      <c r="P130" s="269">
        <f>+ก.ค.!P130+ส.ค.!P130+ก.ย.!P130</f>
        <v>0</v>
      </c>
      <c r="Q130" s="269">
        <f>+ก.ค.!Q130+ส.ค.!Q130+ก.ย.!Q130</f>
        <v>0</v>
      </c>
      <c r="R130" s="269">
        <f>+ก.ค.!R130+ส.ค.!R130+ก.ย.!R130</f>
        <v>0</v>
      </c>
      <c r="S130" s="269">
        <f>+ก.ค.!S130+ส.ค.!S130+ก.ย.!S130</f>
        <v>0</v>
      </c>
      <c r="T130" s="269">
        <f>+ก.ค.!T130+ส.ค.!T130+ก.ย.!T130</f>
        <v>0</v>
      </c>
      <c r="U130" s="269">
        <f>+ก.ค.!U130+ส.ค.!U130+ก.ย.!U130</f>
        <v>0</v>
      </c>
      <c r="V130" s="269">
        <f>+ก.ค.!V130+ส.ค.!V130+ก.ย.!V130</f>
        <v>0</v>
      </c>
      <c r="X130" s="221"/>
    </row>
    <row r="131" spans="1:24" s="310" customFormat="1" ht="25.5" customHeight="1">
      <c r="A131" s="9"/>
      <c r="B131" s="226" t="s">
        <v>331</v>
      </c>
      <c r="C131" s="279">
        <f>10000-10000</f>
        <v>0</v>
      </c>
      <c r="D131" s="195"/>
      <c r="E131" s="269">
        <f>+ก.ค.!E131+ส.ค.!E131+ก.ย.!E131</f>
        <v>0</v>
      </c>
      <c r="F131" s="269">
        <f>+ก.ค.!F131+ส.ค.!F131+ก.ย.!F131</f>
        <v>0</v>
      </c>
      <c r="G131" s="269">
        <f>+ก.ค.!G131+ส.ค.!G131+ก.ย.!G131</f>
        <v>0</v>
      </c>
      <c r="H131" s="269">
        <f>+ก.ค.!H131+ส.ค.!H131+ก.ย.!H131</f>
        <v>0</v>
      </c>
      <c r="I131" s="269">
        <f>+ก.ค.!I131+ส.ค.!I131+ก.ย.!I131</f>
        <v>0</v>
      </c>
      <c r="J131" s="269">
        <f>+ก.ค.!J131+ส.ค.!J131+ก.ย.!J131</f>
        <v>0</v>
      </c>
      <c r="K131" s="269">
        <f>+ก.ค.!K131+ส.ค.!K131+ก.ย.!K131</f>
        <v>0</v>
      </c>
      <c r="L131" s="269">
        <f>+ก.ค.!L131+ส.ค.!L131+ก.ย.!L131</f>
        <v>0</v>
      </c>
      <c r="M131" s="269">
        <f>+ก.ค.!M131+ส.ค.!M131+ก.ย.!M131</f>
        <v>0</v>
      </c>
      <c r="N131" s="269">
        <f>+ก.ค.!N131+ส.ค.!N131+ก.ย.!N131</f>
        <v>0</v>
      </c>
      <c r="O131" s="269">
        <f>+ก.ค.!O131+ส.ค.!O131+ก.ย.!O131</f>
        <v>0</v>
      </c>
      <c r="P131" s="269">
        <f>+ก.ค.!P131+ส.ค.!P131+ก.ย.!P131</f>
        <v>0</v>
      </c>
      <c r="Q131" s="269">
        <f>+ก.ค.!Q131+ส.ค.!Q131+ก.ย.!Q131</f>
        <v>0</v>
      </c>
      <c r="R131" s="269">
        <f>+ก.ค.!R131+ส.ค.!R131+ก.ย.!R131</f>
        <v>0</v>
      </c>
      <c r="S131" s="269">
        <f>+ก.ค.!S131+ส.ค.!S131+ก.ย.!S131</f>
        <v>0</v>
      </c>
      <c r="T131" s="269">
        <f>+ก.ค.!T131+ส.ค.!T131+ก.ย.!T131</f>
        <v>0</v>
      </c>
      <c r="U131" s="269">
        <f>+ก.ค.!U131+ส.ค.!U131+ก.ย.!U131</f>
        <v>0</v>
      </c>
      <c r="V131" s="269">
        <f>+ก.ค.!V131+ส.ค.!V131+ก.ย.!V131</f>
        <v>0</v>
      </c>
      <c r="X131" s="221"/>
    </row>
    <row r="132" spans="1:24" s="310" customFormat="1" ht="25.5" customHeight="1">
      <c r="A132" s="9"/>
      <c r="B132" s="226" t="s">
        <v>333</v>
      </c>
      <c r="C132" s="279">
        <v>15000</v>
      </c>
      <c r="D132" s="195"/>
      <c r="E132" s="269">
        <f>+ก.ค.!E132+ส.ค.!E132+ก.ย.!E132</f>
        <v>0</v>
      </c>
      <c r="F132" s="269">
        <f>+ก.ค.!F132+ส.ค.!F132+ก.ย.!F132</f>
        <v>0</v>
      </c>
      <c r="G132" s="269">
        <f>+ก.ค.!G132+ส.ค.!G132+ก.ย.!G132</f>
        <v>0</v>
      </c>
      <c r="H132" s="269">
        <f>+ก.ค.!H132+ส.ค.!H132+ก.ย.!H132</f>
        <v>0</v>
      </c>
      <c r="I132" s="269">
        <f>+ก.ค.!I132+ส.ค.!I132+ก.ย.!I132</f>
        <v>0</v>
      </c>
      <c r="J132" s="269">
        <f>+ก.ค.!J132+ส.ค.!J132+ก.ย.!J132</f>
        <v>0</v>
      </c>
      <c r="K132" s="269">
        <f>+ก.ค.!K132+ส.ค.!K132+ก.ย.!K132</f>
        <v>0</v>
      </c>
      <c r="L132" s="269">
        <f>+ก.ค.!L132+ส.ค.!L132+ก.ย.!L132</f>
        <v>0</v>
      </c>
      <c r="M132" s="269">
        <f>+ก.ค.!M132+ส.ค.!M132+ก.ย.!M132</f>
        <v>0</v>
      </c>
      <c r="N132" s="269">
        <f>+ก.ค.!N132+ส.ค.!N132+ก.ย.!N132</f>
        <v>0</v>
      </c>
      <c r="O132" s="269">
        <f>+ก.ค.!O132+ส.ค.!O132+ก.ย.!O132</f>
        <v>0</v>
      </c>
      <c r="P132" s="269">
        <f>+ก.ค.!P132+ส.ค.!P132+ก.ย.!P132</f>
        <v>0</v>
      </c>
      <c r="Q132" s="269">
        <f>+ก.ค.!Q132+ส.ค.!Q132+ก.ย.!Q132</f>
        <v>0</v>
      </c>
      <c r="R132" s="269">
        <f>+ก.ค.!R132+ส.ค.!R132+ก.ย.!R132</f>
        <v>0</v>
      </c>
      <c r="S132" s="269">
        <f>+ก.ค.!S132+ส.ค.!S132+ก.ย.!S132</f>
        <v>0</v>
      </c>
      <c r="T132" s="269">
        <f>+ก.ค.!T132+ส.ค.!T132+ก.ย.!T132</f>
        <v>0</v>
      </c>
      <c r="U132" s="269">
        <f>+ก.ค.!U132+ส.ค.!U132+ก.ย.!U132</f>
        <v>0</v>
      </c>
      <c r="V132" s="269">
        <f>+ก.ค.!V132+ส.ค.!V132+ก.ย.!V132</f>
        <v>0</v>
      </c>
      <c r="X132" s="221"/>
    </row>
    <row r="133" spans="1:24" s="310" customFormat="1" ht="25.5" customHeight="1">
      <c r="A133" s="9"/>
      <c r="B133" s="226" t="s">
        <v>157</v>
      </c>
      <c r="C133" s="279">
        <f>10000+8000</f>
        <v>18000</v>
      </c>
      <c r="D133" s="195"/>
      <c r="E133" s="269">
        <f>+ก.ค.!E133+ส.ค.!E133+ก.ย.!E133</f>
        <v>0</v>
      </c>
      <c r="F133" s="269">
        <f>+ก.ค.!F133+ส.ค.!F133+ก.ย.!F133</f>
        <v>0</v>
      </c>
      <c r="G133" s="269">
        <f>+ก.ค.!G133+ส.ค.!G133+ก.ย.!G133</f>
        <v>0</v>
      </c>
      <c r="H133" s="269">
        <f>+ก.ค.!H133+ส.ค.!H133+ก.ย.!H133</f>
        <v>0</v>
      </c>
      <c r="I133" s="269">
        <f>+ก.ค.!I133+ส.ค.!I133+ก.ย.!I133</f>
        <v>0</v>
      </c>
      <c r="J133" s="269">
        <f>+ก.ค.!J133+ส.ค.!J133+ก.ย.!J133</f>
        <v>0</v>
      </c>
      <c r="K133" s="269">
        <f>+ก.ค.!K133+ส.ค.!K133+ก.ย.!K133</f>
        <v>0</v>
      </c>
      <c r="L133" s="269">
        <f>+ก.ค.!L133+ส.ค.!L133+ก.ย.!L133</f>
        <v>0</v>
      </c>
      <c r="M133" s="269">
        <f>+ก.ค.!M133+ส.ค.!M133+ก.ย.!M133</f>
        <v>0</v>
      </c>
      <c r="N133" s="269">
        <f>+ก.ค.!N133+ส.ค.!N133+ก.ย.!N133</f>
        <v>0</v>
      </c>
      <c r="O133" s="269">
        <f>+ก.ค.!O133+ส.ค.!O133+ก.ย.!O133</f>
        <v>0</v>
      </c>
      <c r="P133" s="269">
        <f>+ก.ค.!P133+ส.ค.!P133+ก.ย.!P133</f>
        <v>14395</v>
      </c>
      <c r="Q133" s="269">
        <f>+ก.ค.!Q133+ส.ค.!Q133+ก.ย.!Q133</f>
        <v>0</v>
      </c>
      <c r="R133" s="269">
        <f>+ก.ค.!R133+ส.ค.!R133+ก.ย.!R133</f>
        <v>0</v>
      </c>
      <c r="S133" s="269">
        <f>+ก.ค.!S133+ส.ค.!S133+ก.ย.!S133</f>
        <v>0</v>
      </c>
      <c r="T133" s="269">
        <f>+ก.ค.!T133+ส.ค.!T133+ก.ย.!T133</f>
        <v>0</v>
      </c>
      <c r="U133" s="269">
        <f>+ก.ค.!U133+ส.ค.!U133+ก.ย.!U133</f>
        <v>0</v>
      </c>
      <c r="V133" s="269">
        <f>+ก.ค.!V133+ส.ค.!V133+ก.ย.!V133</f>
        <v>0</v>
      </c>
      <c r="X133" s="221"/>
    </row>
    <row r="134" spans="1:24" s="310" customFormat="1" ht="25.5" customHeight="1">
      <c r="A134" s="9"/>
      <c r="B134" s="226" t="s">
        <v>158</v>
      </c>
      <c r="C134" s="279">
        <f>10000-8000</f>
        <v>2000</v>
      </c>
      <c r="D134" s="195"/>
      <c r="E134" s="269">
        <f>+ก.ค.!E134+ส.ค.!E134+ก.ย.!E134</f>
        <v>0</v>
      </c>
      <c r="F134" s="269">
        <f>+ก.ค.!F134+ส.ค.!F134+ก.ย.!F134</f>
        <v>0</v>
      </c>
      <c r="G134" s="269">
        <f>+ก.ค.!G134+ส.ค.!G134+ก.ย.!G134</f>
        <v>0</v>
      </c>
      <c r="H134" s="269">
        <f>+ก.ค.!H134+ส.ค.!H134+ก.ย.!H134</f>
        <v>0</v>
      </c>
      <c r="I134" s="269">
        <f>+ก.ค.!I134+ส.ค.!I134+ก.ย.!I134</f>
        <v>0</v>
      </c>
      <c r="J134" s="269">
        <f>+ก.ค.!J134+ส.ค.!J134+ก.ย.!J134</f>
        <v>0</v>
      </c>
      <c r="K134" s="269">
        <f>+ก.ค.!K134+ส.ค.!K134+ก.ย.!K134</f>
        <v>0</v>
      </c>
      <c r="L134" s="269">
        <f>+ก.ค.!L134+ส.ค.!L134+ก.ย.!L134</f>
        <v>0</v>
      </c>
      <c r="M134" s="269">
        <f>+ก.ค.!M134+ส.ค.!M134+ก.ย.!M134</f>
        <v>0</v>
      </c>
      <c r="N134" s="269">
        <f>+ก.ค.!N134+ส.ค.!N134+ก.ย.!N134</f>
        <v>0</v>
      </c>
      <c r="O134" s="269">
        <f>+ก.ค.!O134+ส.ค.!O134+ก.ย.!O134</f>
        <v>0</v>
      </c>
      <c r="P134" s="269">
        <f>+ก.ค.!P134+ส.ค.!P134+ก.ย.!P134</f>
        <v>0</v>
      </c>
      <c r="Q134" s="269">
        <f>+ก.ค.!Q134+ส.ค.!Q134+ก.ย.!Q134</f>
        <v>0</v>
      </c>
      <c r="R134" s="269">
        <f>+ก.ค.!R134+ส.ค.!R134+ก.ย.!R134</f>
        <v>0</v>
      </c>
      <c r="S134" s="269">
        <f>+ก.ค.!S134+ส.ค.!S134+ก.ย.!S134</f>
        <v>0</v>
      </c>
      <c r="T134" s="269">
        <f>+ก.ค.!T134+ส.ค.!T134+ก.ย.!T134</f>
        <v>0</v>
      </c>
      <c r="U134" s="269">
        <f>+ก.ค.!U134+ส.ค.!U134+ก.ย.!U134</f>
        <v>0</v>
      </c>
      <c r="V134" s="269">
        <f>+ก.ค.!V134+ส.ค.!V134+ก.ย.!V134</f>
        <v>0</v>
      </c>
      <c r="X134" s="221"/>
    </row>
    <row r="135" spans="1:24" s="310" customFormat="1" ht="25.5" customHeight="1">
      <c r="A135" s="9"/>
      <c r="B135" s="226" t="s">
        <v>352</v>
      </c>
      <c r="C135" s="279">
        <f>10000+10000-20000</f>
        <v>0</v>
      </c>
      <c r="D135" s="195"/>
      <c r="E135" s="269">
        <f>+ก.ค.!E135+ส.ค.!E135+ก.ย.!E135</f>
        <v>0</v>
      </c>
      <c r="F135" s="269">
        <f>+ก.ค.!F135+ส.ค.!F135+ก.ย.!F135</f>
        <v>0</v>
      </c>
      <c r="G135" s="269">
        <f>+ก.ค.!G135+ส.ค.!G135+ก.ย.!G135</f>
        <v>0</v>
      </c>
      <c r="H135" s="269">
        <f>+ก.ค.!H135+ส.ค.!H135+ก.ย.!H135</f>
        <v>0</v>
      </c>
      <c r="I135" s="269">
        <f>+ก.ค.!I135+ส.ค.!I135+ก.ย.!I135</f>
        <v>0</v>
      </c>
      <c r="J135" s="269">
        <f>+ก.ค.!J135+ส.ค.!J135+ก.ย.!J135</f>
        <v>0</v>
      </c>
      <c r="K135" s="269">
        <f>+ก.ค.!K135+ส.ค.!K135+ก.ย.!K135</f>
        <v>0</v>
      </c>
      <c r="L135" s="269">
        <f>+ก.ค.!L135+ส.ค.!L135+ก.ย.!L135</f>
        <v>0</v>
      </c>
      <c r="M135" s="269">
        <f>+ก.ค.!M135+ส.ค.!M135+ก.ย.!M135</f>
        <v>0</v>
      </c>
      <c r="N135" s="269">
        <f>+ก.ค.!N135+ส.ค.!N135+ก.ย.!N135</f>
        <v>0</v>
      </c>
      <c r="O135" s="269">
        <f>+ก.ค.!O135+ส.ค.!O135+ก.ย.!O135</f>
        <v>0</v>
      </c>
      <c r="P135" s="269">
        <f>+ก.ค.!P135+ส.ค.!P135+ก.ย.!P135</f>
        <v>0</v>
      </c>
      <c r="Q135" s="269">
        <f>+ก.ค.!Q135+ส.ค.!Q135+ก.ย.!Q135</f>
        <v>0</v>
      </c>
      <c r="R135" s="269">
        <f>+ก.ค.!R135+ส.ค.!R135+ก.ย.!R135</f>
        <v>0</v>
      </c>
      <c r="S135" s="269">
        <f>+ก.ค.!S135+ส.ค.!S135+ก.ย.!S135</f>
        <v>0</v>
      </c>
      <c r="T135" s="269">
        <f>+ก.ค.!T135+ส.ค.!T135+ก.ย.!T135</f>
        <v>0</v>
      </c>
      <c r="U135" s="269">
        <f>+ก.ค.!U135+ส.ค.!U135+ก.ย.!U135</f>
        <v>0</v>
      </c>
      <c r="V135" s="269">
        <f>+ก.ค.!V135+ส.ค.!V135+ก.ย.!V135</f>
        <v>0</v>
      </c>
      <c r="X135" s="221"/>
    </row>
    <row r="136" spans="1:24" s="310" customFormat="1" ht="25.5" customHeight="1">
      <c r="A136" s="9"/>
      <c r="B136" s="226" t="s">
        <v>213</v>
      </c>
      <c r="C136" s="279">
        <v>15000</v>
      </c>
      <c r="D136" s="195"/>
      <c r="E136" s="269">
        <f>+ก.ค.!E136+ส.ค.!E136+ก.ย.!E136</f>
        <v>0</v>
      </c>
      <c r="F136" s="269">
        <f>+ก.ค.!F136+ส.ค.!F136+ก.ย.!F136</f>
        <v>0</v>
      </c>
      <c r="G136" s="269">
        <f>+ก.ค.!G136+ส.ค.!G136+ก.ย.!G136</f>
        <v>0</v>
      </c>
      <c r="H136" s="269">
        <f>+ก.ค.!H136+ส.ค.!H136+ก.ย.!H136</f>
        <v>0</v>
      </c>
      <c r="I136" s="269">
        <f>+ก.ค.!I136+ส.ค.!I136+ก.ย.!I136</f>
        <v>0</v>
      </c>
      <c r="J136" s="269">
        <f>+ก.ค.!J136+ส.ค.!J136+ก.ย.!J136</f>
        <v>0</v>
      </c>
      <c r="K136" s="269">
        <f>+ก.ค.!K136+ส.ค.!K136+ก.ย.!K136</f>
        <v>0</v>
      </c>
      <c r="L136" s="269">
        <f>+ก.ค.!L136+ส.ค.!L136+ก.ย.!L136</f>
        <v>0</v>
      </c>
      <c r="M136" s="269">
        <f>+ก.ค.!M136+ส.ค.!M136+ก.ย.!M136</f>
        <v>0</v>
      </c>
      <c r="N136" s="269">
        <f>+ก.ค.!N136+ส.ค.!N136+ก.ย.!N136</f>
        <v>0</v>
      </c>
      <c r="O136" s="269">
        <f>+ก.ค.!O136+ส.ค.!O136+ก.ย.!O136</f>
        <v>0</v>
      </c>
      <c r="P136" s="269">
        <f>+ก.ค.!P136+ส.ค.!P136+ก.ย.!P136</f>
        <v>0</v>
      </c>
      <c r="Q136" s="269">
        <f>+ก.ค.!Q136+ส.ค.!Q136+ก.ย.!Q136</f>
        <v>0</v>
      </c>
      <c r="R136" s="269">
        <f>+ก.ค.!R136+ส.ค.!R136+ก.ย.!R136</f>
        <v>0</v>
      </c>
      <c r="S136" s="269">
        <f>+ก.ค.!S136+ส.ค.!S136+ก.ย.!S136</f>
        <v>0</v>
      </c>
      <c r="T136" s="269">
        <f>+ก.ค.!T136+ส.ค.!T136+ก.ย.!T136</f>
        <v>0</v>
      </c>
      <c r="U136" s="269">
        <f>+ก.ค.!U136+ส.ค.!U136+ก.ย.!U136</f>
        <v>0</v>
      </c>
      <c r="V136" s="269">
        <f>+ก.ค.!V136+ส.ค.!V136+ก.ย.!V136</f>
        <v>0</v>
      </c>
      <c r="X136" s="221"/>
    </row>
    <row r="137" spans="1:24" s="310" customFormat="1" ht="25.5" customHeight="1">
      <c r="A137" s="9"/>
      <c r="B137" s="226" t="s">
        <v>265</v>
      </c>
      <c r="C137" s="279">
        <f>20000-20000</f>
        <v>0</v>
      </c>
      <c r="D137" s="195"/>
      <c r="E137" s="269">
        <f>+ก.ค.!E137+ส.ค.!E137+ก.ย.!E137</f>
        <v>0</v>
      </c>
      <c r="F137" s="269">
        <f>+ก.ค.!F137+ส.ค.!F137+ก.ย.!F137</f>
        <v>0</v>
      </c>
      <c r="G137" s="269">
        <f>+ก.ค.!G137+ส.ค.!G137+ก.ย.!G137</f>
        <v>0</v>
      </c>
      <c r="H137" s="269">
        <f>+ก.ค.!H137+ส.ค.!H137+ก.ย.!H137</f>
        <v>0</v>
      </c>
      <c r="I137" s="269">
        <f>+ก.ค.!I137+ส.ค.!I137+ก.ย.!I137</f>
        <v>0</v>
      </c>
      <c r="J137" s="269">
        <f>+ก.ค.!J137+ส.ค.!J137+ก.ย.!J137</f>
        <v>0</v>
      </c>
      <c r="K137" s="269">
        <f>+ก.ค.!K137+ส.ค.!K137+ก.ย.!K137</f>
        <v>0</v>
      </c>
      <c r="L137" s="269">
        <f>+ก.ค.!L137+ส.ค.!L137+ก.ย.!L137</f>
        <v>0</v>
      </c>
      <c r="M137" s="269">
        <f>+ก.ค.!M137+ส.ค.!M137+ก.ย.!M137</f>
        <v>0</v>
      </c>
      <c r="N137" s="269">
        <f>+ก.ค.!N137+ส.ค.!N137+ก.ย.!N137</f>
        <v>0</v>
      </c>
      <c r="O137" s="269">
        <f>+ก.ค.!O137+ส.ค.!O137+ก.ย.!O137</f>
        <v>0</v>
      </c>
      <c r="P137" s="269">
        <f>+ก.ค.!P137+ส.ค.!P137+ก.ย.!P137</f>
        <v>0</v>
      </c>
      <c r="Q137" s="269">
        <f>+ก.ค.!Q137+ส.ค.!Q137+ก.ย.!Q137</f>
        <v>0</v>
      </c>
      <c r="R137" s="269">
        <f>+ก.ค.!R137+ส.ค.!R137+ก.ย.!R137</f>
        <v>0</v>
      </c>
      <c r="S137" s="269">
        <f>+ก.ค.!S137+ส.ค.!S137+ก.ย.!S137</f>
        <v>0</v>
      </c>
      <c r="T137" s="269">
        <f>+ก.ค.!T137+ส.ค.!T137+ก.ย.!T137</f>
        <v>0</v>
      </c>
      <c r="U137" s="269">
        <f>+ก.ค.!U137+ส.ค.!U137+ก.ย.!U137</f>
        <v>0</v>
      </c>
      <c r="V137" s="269">
        <f>+ก.ค.!V137+ส.ค.!V137+ก.ย.!V137</f>
        <v>0</v>
      </c>
      <c r="X137" s="221"/>
    </row>
    <row r="138" spans="1:24" s="310" customFormat="1" ht="25.5" customHeight="1">
      <c r="A138" s="9"/>
      <c r="B138" s="226" t="s">
        <v>353</v>
      </c>
      <c r="C138" s="279">
        <v>5000</v>
      </c>
      <c r="D138" s="195"/>
      <c r="E138" s="269">
        <f>+ก.ค.!E138+ส.ค.!E138+ก.ย.!E138</f>
        <v>0</v>
      </c>
      <c r="F138" s="269">
        <f>+ก.ค.!F138+ส.ค.!F138+ก.ย.!F138</f>
        <v>0</v>
      </c>
      <c r="G138" s="269">
        <f>+ก.ค.!G138+ส.ค.!G138+ก.ย.!G138</f>
        <v>0</v>
      </c>
      <c r="H138" s="269">
        <f>+ก.ค.!H138+ส.ค.!H138+ก.ย.!H138</f>
        <v>0</v>
      </c>
      <c r="I138" s="269">
        <f>+ก.ค.!I138+ส.ค.!I138+ก.ย.!I138</f>
        <v>0</v>
      </c>
      <c r="J138" s="269">
        <f>+ก.ค.!J138+ส.ค.!J138+ก.ย.!J138</f>
        <v>0</v>
      </c>
      <c r="K138" s="269">
        <f>+ก.ค.!K138+ส.ค.!K138+ก.ย.!K138</f>
        <v>0</v>
      </c>
      <c r="L138" s="269">
        <f>+ก.ค.!L138+ส.ค.!L138+ก.ย.!L138</f>
        <v>0</v>
      </c>
      <c r="M138" s="269">
        <f>+ก.ค.!M138+ส.ค.!M138+ก.ย.!M138</f>
        <v>0</v>
      </c>
      <c r="N138" s="269">
        <f>+ก.ค.!N138+ส.ค.!N138+ก.ย.!N138</f>
        <v>0</v>
      </c>
      <c r="O138" s="269">
        <f>+ก.ค.!O138+ส.ค.!O138+ก.ย.!O138</f>
        <v>0</v>
      </c>
      <c r="P138" s="269">
        <f>+ก.ค.!P138+ส.ค.!P138+ก.ย.!P138</f>
        <v>0</v>
      </c>
      <c r="Q138" s="269">
        <f>+ก.ค.!Q138+ส.ค.!Q138+ก.ย.!Q138</f>
        <v>0</v>
      </c>
      <c r="R138" s="269">
        <f>+ก.ค.!R138+ส.ค.!R138+ก.ย.!R138</f>
        <v>0</v>
      </c>
      <c r="S138" s="269">
        <f>+ก.ค.!S138+ส.ค.!S138+ก.ย.!S138</f>
        <v>0</v>
      </c>
      <c r="T138" s="269">
        <f>+ก.ค.!T138+ส.ค.!T138+ก.ย.!T138</f>
        <v>0</v>
      </c>
      <c r="U138" s="269">
        <f>+ก.ค.!U138+ส.ค.!U138+ก.ย.!U138</f>
        <v>0</v>
      </c>
      <c r="V138" s="269">
        <f>+ก.ค.!V138+ส.ค.!V138+ก.ย.!V138</f>
        <v>0</v>
      </c>
      <c r="X138" s="221"/>
    </row>
    <row r="139" spans="1:24" s="310" customFormat="1" ht="25.5" customHeight="1">
      <c r="A139" s="9"/>
      <c r="B139" s="226" t="s">
        <v>354</v>
      </c>
      <c r="C139" s="279">
        <v>10000</v>
      </c>
      <c r="D139" s="195"/>
      <c r="E139" s="269">
        <f>+ก.ค.!E139+ส.ค.!E139+ก.ย.!E139</f>
        <v>0</v>
      </c>
      <c r="F139" s="269">
        <f>+ก.ค.!F139+ส.ค.!F139+ก.ย.!F139</f>
        <v>0</v>
      </c>
      <c r="G139" s="269">
        <f>+ก.ค.!G139+ส.ค.!G139+ก.ย.!G139</f>
        <v>0</v>
      </c>
      <c r="H139" s="269">
        <f>+ก.ค.!H139+ส.ค.!H139+ก.ย.!H139</f>
        <v>0</v>
      </c>
      <c r="I139" s="269">
        <f>+ก.ค.!I139+ส.ค.!I139+ก.ย.!I139</f>
        <v>0</v>
      </c>
      <c r="J139" s="269">
        <f>+ก.ค.!J139+ส.ค.!J139+ก.ย.!J139</f>
        <v>0</v>
      </c>
      <c r="K139" s="269">
        <f>+ก.ค.!K139+ส.ค.!K139+ก.ย.!K139</f>
        <v>0</v>
      </c>
      <c r="L139" s="269">
        <f>+ก.ค.!L139+ส.ค.!L139+ก.ย.!L139</f>
        <v>0</v>
      </c>
      <c r="M139" s="269">
        <f>+ก.ค.!M139+ส.ค.!M139+ก.ย.!M139</f>
        <v>0</v>
      </c>
      <c r="N139" s="269">
        <f>+ก.ค.!N139+ส.ค.!N139+ก.ย.!N139</f>
        <v>0</v>
      </c>
      <c r="O139" s="269">
        <f>+ก.ค.!O139+ส.ค.!O139+ก.ย.!O139</f>
        <v>0</v>
      </c>
      <c r="P139" s="269">
        <f>+ก.ค.!P139+ส.ค.!P139+ก.ย.!P139</f>
        <v>0</v>
      </c>
      <c r="Q139" s="269">
        <f>+ก.ค.!Q139+ส.ค.!Q139+ก.ย.!Q139</f>
        <v>0</v>
      </c>
      <c r="R139" s="269">
        <f>+ก.ค.!R139+ส.ค.!R139+ก.ย.!R139</f>
        <v>0</v>
      </c>
      <c r="S139" s="269">
        <f>+ก.ค.!S139+ส.ค.!S139+ก.ย.!S139</f>
        <v>0</v>
      </c>
      <c r="T139" s="269">
        <f>+ก.ค.!T139+ส.ค.!T139+ก.ย.!T139</f>
        <v>0</v>
      </c>
      <c r="U139" s="269">
        <f>+ก.ค.!U139+ส.ค.!U139+ก.ย.!U139</f>
        <v>0</v>
      </c>
      <c r="V139" s="269">
        <f>+ก.ค.!V139+ส.ค.!V139+ก.ย.!V139</f>
        <v>0</v>
      </c>
      <c r="X139" s="221"/>
    </row>
    <row r="140" spans="1:24" s="310" customFormat="1" ht="25.5" customHeight="1">
      <c r="A140" s="9"/>
      <c r="B140" s="187" t="s">
        <v>355</v>
      </c>
      <c r="C140" s="279">
        <v>20000</v>
      </c>
      <c r="D140" s="195"/>
      <c r="E140" s="269">
        <f>+ก.ค.!E140+ส.ค.!E140+ก.ย.!E140</f>
        <v>0</v>
      </c>
      <c r="F140" s="269">
        <f>+ก.ค.!F140+ส.ค.!F140+ก.ย.!F140</f>
        <v>0</v>
      </c>
      <c r="G140" s="269">
        <f>+ก.ค.!G140+ส.ค.!G140+ก.ย.!G140</f>
        <v>0</v>
      </c>
      <c r="H140" s="269">
        <f>+ก.ค.!H140+ส.ค.!H140+ก.ย.!H140</f>
        <v>0</v>
      </c>
      <c r="I140" s="269">
        <f>+ก.ค.!I140+ส.ค.!I140+ก.ย.!I140</f>
        <v>0</v>
      </c>
      <c r="J140" s="269">
        <f>+ก.ค.!J140+ส.ค.!J140+ก.ย.!J140</f>
        <v>0</v>
      </c>
      <c r="K140" s="269">
        <f>+ก.ค.!K140+ส.ค.!K140+ก.ย.!K140</f>
        <v>0</v>
      </c>
      <c r="L140" s="269">
        <f>+ก.ค.!L140+ส.ค.!L140+ก.ย.!L140</f>
        <v>0</v>
      </c>
      <c r="M140" s="269">
        <f>+ก.ค.!M140+ส.ค.!M140+ก.ย.!M140</f>
        <v>0</v>
      </c>
      <c r="N140" s="269">
        <f>+ก.ค.!N140+ส.ค.!N140+ก.ย.!N140</f>
        <v>0</v>
      </c>
      <c r="O140" s="269">
        <f>+ก.ค.!O140+ส.ค.!O140+ก.ย.!O140</f>
        <v>0</v>
      </c>
      <c r="P140" s="269">
        <f>+ก.ค.!P140+ส.ค.!P140+ก.ย.!P140</f>
        <v>0</v>
      </c>
      <c r="Q140" s="269">
        <f>+ก.ค.!Q140+ส.ค.!Q140+ก.ย.!Q140</f>
        <v>0</v>
      </c>
      <c r="R140" s="269">
        <f>+ก.ค.!R140+ส.ค.!R140+ก.ย.!R140</f>
        <v>0</v>
      </c>
      <c r="S140" s="269">
        <f>+ก.ค.!S140+ส.ค.!S140+ก.ย.!S140</f>
        <v>0</v>
      </c>
      <c r="T140" s="269">
        <f>+ก.ค.!T140+ส.ค.!T140+ก.ย.!T140</f>
        <v>0</v>
      </c>
      <c r="U140" s="269">
        <f>+ก.ค.!U140+ส.ค.!U140+ก.ย.!U140</f>
        <v>0</v>
      </c>
      <c r="V140" s="269">
        <f>+ก.ค.!V140+ส.ค.!V140+ก.ย.!V140</f>
        <v>0</v>
      </c>
      <c r="X140" s="221"/>
    </row>
    <row r="141" spans="1:24" s="310" customFormat="1" ht="25.5" customHeight="1">
      <c r="A141" s="9"/>
      <c r="B141" s="187" t="s">
        <v>356</v>
      </c>
      <c r="C141" s="279">
        <v>20000</v>
      </c>
      <c r="D141" s="195"/>
      <c r="E141" s="269">
        <f>+ก.ค.!E141+ส.ค.!E141+ก.ย.!E141</f>
        <v>0</v>
      </c>
      <c r="F141" s="269">
        <f>+ก.ค.!F141+ส.ค.!F141+ก.ย.!F141</f>
        <v>0</v>
      </c>
      <c r="G141" s="269">
        <f>+ก.ค.!G141+ส.ค.!G141+ก.ย.!G141</f>
        <v>0</v>
      </c>
      <c r="H141" s="269">
        <f>+ก.ค.!H141+ส.ค.!H141+ก.ย.!H141</f>
        <v>0</v>
      </c>
      <c r="I141" s="269">
        <f>+ก.ค.!I141+ส.ค.!I141+ก.ย.!I141</f>
        <v>0</v>
      </c>
      <c r="J141" s="269">
        <f>+ก.ค.!J141+ส.ค.!J141+ก.ย.!J141</f>
        <v>0</v>
      </c>
      <c r="K141" s="269">
        <f>+ก.ค.!K141+ส.ค.!K141+ก.ย.!K141</f>
        <v>0</v>
      </c>
      <c r="L141" s="269">
        <f>+ก.ค.!L141+ส.ค.!L141+ก.ย.!L141</f>
        <v>0</v>
      </c>
      <c r="M141" s="269">
        <f>+ก.ค.!M141+ส.ค.!M141+ก.ย.!M141</f>
        <v>0</v>
      </c>
      <c r="N141" s="269">
        <f>+ก.ค.!N141+ส.ค.!N141+ก.ย.!N141</f>
        <v>0</v>
      </c>
      <c r="O141" s="269">
        <f>+ก.ค.!O141+ส.ค.!O141+ก.ย.!O141</f>
        <v>0</v>
      </c>
      <c r="P141" s="269">
        <f>+ก.ค.!P141+ส.ค.!P141+ก.ย.!P141</f>
        <v>0</v>
      </c>
      <c r="Q141" s="269">
        <f>+ก.ค.!Q141+ส.ค.!Q141+ก.ย.!Q141</f>
        <v>0</v>
      </c>
      <c r="R141" s="269">
        <f>+ก.ค.!R141+ส.ค.!R141+ก.ย.!R141</f>
        <v>0</v>
      </c>
      <c r="S141" s="269">
        <f>+ก.ค.!S141+ส.ค.!S141+ก.ย.!S141</f>
        <v>0</v>
      </c>
      <c r="T141" s="269">
        <f>+ก.ค.!T141+ส.ค.!T141+ก.ย.!T141</f>
        <v>0</v>
      </c>
      <c r="U141" s="269">
        <f>+ก.ค.!U141+ส.ค.!U141+ก.ย.!U141</f>
        <v>0</v>
      </c>
      <c r="V141" s="269">
        <f>+ก.ค.!V141+ส.ค.!V141+ก.ย.!V141</f>
        <v>0</v>
      </c>
      <c r="X141" s="221"/>
    </row>
    <row r="142" spans="1:24" s="310" customFormat="1" ht="25.5" customHeight="1">
      <c r="A142" s="9"/>
      <c r="B142" s="187" t="s">
        <v>357</v>
      </c>
      <c r="C142" s="279">
        <v>10000</v>
      </c>
      <c r="D142" s="195"/>
      <c r="E142" s="269">
        <f>+ก.ค.!E142+ส.ค.!E142+ก.ย.!E142</f>
        <v>0</v>
      </c>
      <c r="F142" s="269">
        <f>+ก.ค.!F142+ส.ค.!F142+ก.ย.!F142</f>
        <v>0</v>
      </c>
      <c r="G142" s="269">
        <f>+ก.ค.!G142+ส.ค.!G142+ก.ย.!G142</f>
        <v>0</v>
      </c>
      <c r="H142" s="269">
        <f>+ก.ค.!H142+ส.ค.!H142+ก.ย.!H142</f>
        <v>0</v>
      </c>
      <c r="I142" s="269">
        <f>+ก.ค.!I142+ส.ค.!I142+ก.ย.!I142</f>
        <v>0</v>
      </c>
      <c r="J142" s="269">
        <f>+ก.ค.!J142+ส.ค.!J142+ก.ย.!J142</f>
        <v>0</v>
      </c>
      <c r="K142" s="269">
        <f>+ก.ค.!K142+ส.ค.!K142+ก.ย.!K142</f>
        <v>0</v>
      </c>
      <c r="L142" s="269">
        <f>+ก.ค.!L142+ส.ค.!L142+ก.ย.!L142</f>
        <v>0</v>
      </c>
      <c r="M142" s="269">
        <f>+ก.ค.!M142+ส.ค.!M142+ก.ย.!M142</f>
        <v>0</v>
      </c>
      <c r="N142" s="269">
        <f>+ก.ค.!N142+ส.ค.!N142+ก.ย.!N142</f>
        <v>0</v>
      </c>
      <c r="O142" s="269">
        <f>+ก.ค.!O142+ส.ค.!O142+ก.ย.!O142</f>
        <v>0</v>
      </c>
      <c r="P142" s="269">
        <f>+ก.ค.!P142+ส.ค.!P142+ก.ย.!P142</f>
        <v>0</v>
      </c>
      <c r="Q142" s="269">
        <f>+ก.ค.!Q142+ส.ค.!Q142+ก.ย.!Q142</f>
        <v>0</v>
      </c>
      <c r="R142" s="269">
        <f>+ก.ค.!R142+ส.ค.!R142+ก.ย.!R142</f>
        <v>0</v>
      </c>
      <c r="S142" s="269">
        <f>+ก.ค.!S142+ส.ค.!S142+ก.ย.!S142</f>
        <v>0</v>
      </c>
      <c r="T142" s="269">
        <f>+ก.ค.!T142+ส.ค.!T142+ก.ย.!T142</f>
        <v>0</v>
      </c>
      <c r="U142" s="269">
        <f>+ก.ค.!U142+ส.ค.!U142+ก.ย.!U142</f>
        <v>0</v>
      </c>
      <c r="V142" s="269">
        <f>+ก.ค.!V142+ส.ค.!V142+ก.ย.!V142</f>
        <v>0</v>
      </c>
      <c r="X142" s="221"/>
    </row>
    <row r="143" spans="1:24" s="310" customFormat="1" ht="25.5" customHeight="1">
      <c r="A143" s="9"/>
      <c r="B143" s="187" t="s">
        <v>358</v>
      </c>
      <c r="C143" s="279">
        <v>10000</v>
      </c>
      <c r="D143" s="195"/>
      <c r="E143" s="269">
        <f>+ก.ค.!E143+ส.ค.!E143+ก.ย.!E143</f>
        <v>0</v>
      </c>
      <c r="F143" s="269">
        <f>+ก.ค.!F143+ส.ค.!F143+ก.ย.!F143</f>
        <v>0</v>
      </c>
      <c r="G143" s="269">
        <f>+ก.ค.!G143+ส.ค.!G143+ก.ย.!G143</f>
        <v>0</v>
      </c>
      <c r="H143" s="269">
        <f>+ก.ค.!H143+ส.ค.!H143+ก.ย.!H143</f>
        <v>0</v>
      </c>
      <c r="I143" s="269">
        <f>+ก.ค.!I143+ส.ค.!I143+ก.ย.!I143</f>
        <v>0</v>
      </c>
      <c r="J143" s="269">
        <f>+ก.ค.!J143+ส.ค.!J143+ก.ย.!J143</f>
        <v>0</v>
      </c>
      <c r="K143" s="269">
        <f>+ก.ค.!K143+ส.ค.!K143+ก.ย.!K143</f>
        <v>0</v>
      </c>
      <c r="L143" s="269">
        <f>+ก.ค.!L143+ส.ค.!L143+ก.ย.!L143</f>
        <v>0</v>
      </c>
      <c r="M143" s="269">
        <f>+ก.ค.!M143+ส.ค.!M143+ก.ย.!M143</f>
        <v>0</v>
      </c>
      <c r="N143" s="269">
        <f>+ก.ค.!N143+ส.ค.!N143+ก.ย.!N143</f>
        <v>0</v>
      </c>
      <c r="O143" s="269">
        <f>+ก.ค.!O143+ส.ค.!O143+ก.ย.!O143</f>
        <v>0</v>
      </c>
      <c r="P143" s="269">
        <f>+ก.ค.!P143+ส.ค.!P143+ก.ย.!P143</f>
        <v>0</v>
      </c>
      <c r="Q143" s="269">
        <f>+ก.ค.!Q143+ส.ค.!Q143+ก.ย.!Q143</f>
        <v>0</v>
      </c>
      <c r="R143" s="269">
        <f>+ก.ค.!R143+ส.ค.!R143+ก.ย.!R143</f>
        <v>0</v>
      </c>
      <c r="S143" s="269">
        <f>+ก.ค.!S143+ส.ค.!S143+ก.ย.!S143</f>
        <v>0</v>
      </c>
      <c r="T143" s="269">
        <f>+ก.ค.!T143+ส.ค.!T143+ก.ย.!T143</f>
        <v>0</v>
      </c>
      <c r="U143" s="269">
        <f>+ก.ค.!U143+ส.ค.!U143+ก.ย.!U143</f>
        <v>0</v>
      </c>
      <c r="V143" s="269">
        <f>+ก.ค.!V143+ส.ค.!V143+ก.ย.!V143</f>
        <v>0</v>
      </c>
      <c r="X143" s="221"/>
    </row>
    <row r="144" spans="1:24" s="310" customFormat="1" ht="25.5" customHeight="1">
      <c r="A144" s="9"/>
      <c r="B144" s="187" t="s">
        <v>359</v>
      </c>
      <c r="C144" s="279">
        <v>5000</v>
      </c>
      <c r="D144" s="195"/>
      <c r="E144" s="269">
        <f>+ก.ค.!E144+ส.ค.!E144+ก.ย.!E144</f>
        <v>0</v>
      </c>
      <c r="F144" s="269">
        <f>+ก.ค.!F144+ส.ค.!F144+ก.ย.!F144</f>
        <v>0</v>
      </c>
      <c r="G144" s="269">
        <f>+ก.ค.!G144+ส.ค.!G144+ก.ย.!G144</f>
        <v>0</v>
      </c>
      <c r="H144" s="269">
        <f>+ก.ค.!H144+ส.ค.!H144+ก.ย.!H144</f>
        <v>0</v>
      </c>
      <c r="I144" s="269">
        <f>+ก.ค.!I144+ส.ค.!I144+ก.ย.!I144</f>
        <v>0</v>
      </c>
      <c r="J144" s="269">
        <f>+ก.ค.!J144+ส.ค.!J144+ก.ย.!J144</f>
        <v>0</v>
      </c>
      <c r="K144" s="269">
        <f>+ก.ค.!K144+ส.ค.!K144+ก.ย.!K144</f>
        <v>0</v>
      </c>
      <c r="L144" s="269">
        <f>+ก.ค.!L144+ส.ค.!L144+ก.ย.!L144</f>
        <v>0</v>
      </c>
      <c r="M144" s="269">
        <f>+ก.ค.!M144+ส.ค.!M144+ก.ย.!M144</f>
        <v>0</v>
      </c>
      <c r="N144" s="269">
        <f>+ก.ค.!N144+ส.ค.!N144+ก.ย.!N144</f>
        <v>0</v>
      </c>
      <c r="O144" s="269">
        <f>+ก.ค.!O144+ส.ค.!O144+ก.ย.!O144</f>
        <v>0</v>
      </c>
      <c r="P144" s="269">
        <f>+ก.ค.!P144+ส.ค.!P144+ก.ย.!P144</f>
        <v>0</v>
      </c>
      <c r="Q144" s="269">
        <f>+ก.ค.!Q144+ส.ค.!Q144+ก.ย.!Q144</f>
        <v>0</v>
      </c>
      <c r="R144" s="269">
        <f>+ก.ค.!R144+ส.ค.!R144+ก.ย.!R144</f>
        <v>0</v>
      </c>
      <c r="S144" s="269">
        <f>+ก.ค.!S144+ส.ค.!S144+ก.ย.!S144</f>
        <v>0</v>
      </c>
      <c r="T144" s="269">
        <f>+ก.ค.!T144+ส.ค.!T144+ก.ย.!T144</f>
        <v>0</v>
      </c>
      <c r="U144" s="269">
        <f>+ก.ค.!U144+ส.ค.!U144+ก.ย.!U144</f>
        <v>0</v>
      </c>
      <c r="V144" s="269">
        <f>+ก.ค.!V144+ส.ค.!V144+ก.ย.!V144</f>
        <v>0</v>
      </c>
      <c r="X144" s="221"/>
    </row>
    <row r="145" spans="1:24" s="310" customFormat="1" ht="25.5" customHeight="1">
      <c r="A145" s="9"/>
      <c r="B145" s="187" t="s">
        <v>360</v>
      </c>
      <c r="C145" s="279">
        <v>5000</v>
      </c>
      <c r="D145" s="195"/>
      <c r="E145" s="269">
        <f>+ก.ค.!E145+ส.ค.!E145+ก.ย.!E145</f>
        <v>0</v>
      </c>
      <c r="F145" s="269">
        <f>+ก.ค.!F145+ส.ค.!F145+ก.ย.!F145</f>
        <v>0</v>
      </c>
      <c r="G145" s="269">
        <f>+ก.ค.!G145+ส.ค.!G145+ก.ย.!G145</f>
        <v>0</v>
      </c>
      <c r="H145" s="269">
        <f>+ก.ค.!H145+ส.ค.!H145+ก.ย.!H145</f>
        <v>0</v>
      </c>
      <c r="I145" s="269">
        <f>+ก.ค.!I145+ส.ค.!I145+ก.ย.!I145</f>
        <v>0</v>
      </c>
      <c r="J145" s="269">
        <f>+ก.ค.!J145+ส.ค.!J145+ก.ย.!J145</f>
        <v>0</v>
      </c>
      <c r="K145" s="269">
        <f>+ก.ค.!K145+ส.ค.!K145+ก.ย.!K145</f>
        <v>0</v>
      </c>
      <c r="L145" s="269">
        <f>+ก.ค.!L145+ส.ค.!L145+ก.ย.!L145</f>
        <v>0</v>
      </c>
      <c r="M145" s="269">
        <f>+ก.ค.!M145+ส.ค.!M145+ก.ย.!M145</f>
        <v>0</v>
      </c>
      <c r="N145" s="269">
        <f>+ก.ค.!N145+ส.ค.!N145+ก.ย.!N145</f>
        <v>0</v>
      </c>
      <c r="O145" s="269">
        <f>+ก.ค.!O145+ส.ค.!O145+ก.ย.!O145</f>
        <v>0</v>
      </c>
      <c r="P145" s="269">
        <f>+ก.ค.!P145+ส.ค.!P145+ก.ย.!P145</f>
        <v>0</v>
      </c>
      <c r="Q145" s="269">
        <f>+ก.ค.!Q145+ส.ค.!Q145+ก.ย.!Q145</f>
        <v>0</v>
      </c>
      <c r="R145" s="269">
        <f>+ก.ค.!R145+ส.ค.!R145+ก.ย.!R145</f>
        <v>0</v>
      </c>
      <c r="S145" s="269">
        <f>+ก.ค.!S145+ส.ค.!S145+ก.ย.!S145</f>
        <v>0</v>
      </c>
      <c r="T145" s="269">
        <f>+ก.ค.!T145+ส.ค.!T145+ก.ย.!T145</f>
        <v>0</v>
      </c>
      <c r="U145" s="269">
        <f>+ก.ค.!U145+ส.ค.!U145+ก.ย.!U145</f>
        <v>0</v>
      </c>
      <c r="V145" s="269">
        <f>+ก.ค.!V145+ส.ค.!V145+ก.ย.!V145</f>
        <v>0</v>
      </c>
      <c r="X145" s="221"/>
    </row>
    <row r="146" spans="1:24" s="310" customFormat="1" ht="25.5" customHeight="1">
      <c r="A146" s="9"/>
      <c r="B146" s="187" t="s">
        <v>361</v>
      </c>
      <c r="C146" s="279">
        <v>5000</v>
      </c>
      <c r="D146" s="195"/>
      <c r="E146" s="269">
        <f>+ก.ค.!E146+ส.ค.!E146+ก.ย.!E146</f>
        <v>0</v>
      </c>
      <c r="F146" s="269">
        <f>+ก.ค.!F146+ส.ค.!F146+ก.ย.!F146</f>
        <v>0</v>
      </c>
      <c r="G146" s="269">
        <f>+ก.ค.!G146+ส.ค.!G146+ก.ย.!G146</f>
        <v>0</v>
      </c>
      <c r="H146" s="269">
        <f>+ก.ค.!H146+ส.ค.!H146+ก.ย.!H146</f>
        <v>0</v>
      </c>
      <c r="I146" s="269">
        <f>+ก.ค.!I146+ส.ค.!I146+ก.ย.!I146</f>
        <v>0</v>
      </c>
      <c r="J146" s="269">
        <f>+ก.ค.!J146+ส.ค.!J146+ก.ย.!J146</f>
        <v>0</v>
      </c>
      <c r="K146" s="269">
        <f>+ก.ค.!K146+ส.ค.!K146+ก.ย.!K146</f>
        <v>0</v>
      </c>
      <c r="L146" s="269">
        <f>+ก.ค.!L146+ส.ค.!L146+ก.ย.!L146</f>
        <v>0</v>
      </c>
      <c r="M146" s="269">
        <f>+ก.ค.!M146+ส.ค.!M146+ก.ย.!M146</f>
        <v>0</v>
      </c>
      <c r="N146" s="269">
        <f>+ก.ค.!N146+ส.ค.!N146+ก.ย.!N146</f>
        <v>0</v>
      </c>
      <c r="O146" s="269">
        <f>+ก.ค.!O146+ส.ค.!O146+ก.ย.!O146</f>
        <v>0</v>
      </c>
      <c r="P146" s="269">
        <f>+ก.ค.!P146+ส.ค.!P146+ก.ย.!P146</f>
        <v>0</v>
      </c>
      <c r="Q146" s="269">
        <f>+ก.ค.!Q146+ส.ค.!Q146+ก.ย.!Q146</f>
        <v>0</v>
      </c>
      <c r="R146" s="269">
        <f>+ก.ค.!R146+ส.ค.!R146+ก.ย.!R146</f>
        <v>0</v>
      </c>
      <c r="S146" s="269">
        <f>+ก.ค.!S146+ส.ค.!S146+ก.ย.!S146</f>
        <v>0</v>
      </c>
      <c r="T146" s="269">
        <f>+ก.ค.!T146+ส.ค.!T146+ก.ย.!T146</f>
        <v>0</v>
      </c>
      <c r="U146" s="269">
        <f>+ก.ค.!U146+ส.ค.!U146+ก.ย.!U146</f>
        <v>0</v>
      </c>
      <c r="V146" s="269">
        <f>+ก.ค.!V146+ส.ค.!V146+ก.ย.!V146</f>
        <v>0</v>
      </c>
      <c r="X146" s="221"/>
    </row>
    <row r="147" spans="1:24" s="310" customFormat="1" ht="25.5" customHeight="1">
      <c r="A147" s="9"/>
      <c r="B147" s="187" t="s">
        <v>362</v>
      </c>
      <c r="C147" s="279">
        <v>5000</v>
      </c>
      <c r="D147" s="195"/>
      <c r="E147" s="269">
        <f>+ก.ค.!E147+ส.ค.!E147+ก.ย.!E147</f>
        <v>0</v>
      </c>
      <c r="F147" s="269">
        <f>+ก.ค.!F147+ส.ค.!F147+ก.ย.!F147</f>
        <v>0</v>
      </c>
      <c r="G147" s="269">
        <f>+ก.ค.!G147+ส.ค.!G147+ก.ย.!G147</f>
        <v>0</v>
      </c>
      <c r="H147" s="269">
        <f>+ก.ค.!H147+ส.ค.!H147+ก.ย.!H147</f>
        <v>0</v>
      </c>
      <c r="I147" s="269">
        <f>+ก.ค.!I147+ส.ค.!I147+ก.ย.!I147</f>
        <v>0</v>
      </c>
      <c r="J147" s="269">
        <f>+ก.ค.!J147+ส.ค.!J147+ก.ย.!J147</f>
        <v>0</v>
      </c>
      <c r="K147" s="269">
        <f>+ก.ค.!K147+ส.ค.!K147+ก.ย.!K147</f>
        <v>0</v>
      </c>
      <c r="L147" s="269">
        <f>+ก.ค.!L147+ส.ค.!L147+ก.ย.!L147</f>
        <v>0</v>
      </c>
      <c r="M147" s="269">
        <f>+ก.ค.!M147+ส.ค.!M147+ก.ย.!M147</f>
        <v>0</v>
      </c>
      <c r="N147" s="269">
        <f>+ก.ค.!N147+ส.ค.!N147+ก.ย.!N147</f>
        <v>0</v>
      </c>
      <c r="O147" s="269">
        <f>+ก.ค.!O147+ส.ค.!O147+ก.ย.!O147</f>
        <v>0</v>
      </c>
      <c r="P147" s="269">
        <f>+ก.ค.!P147+ส.ค.!P147+ก.ย.!P147</f>
        <v>0</v>
      </c>
      <c r="Q147" s="269">
        <f>+ก.ค.!Q147+ส.ค.!Q147+ก.ย.!Q147</f>
        <v>0</v>
      </c>
      <c r="R147" s="269">
        <f>+ก.ค.!R147+ส.ค.!R147+ก.ย.!R147</f>
        <v>0</v>
      </c>
      <c r="S147" s="269">
        <f>+ก.ค.!S147+ส.ค.!S147+ก.ย.!S147</f>
        <v>0</v>
      </c>
      <c r="T147" s="269">
        <f>+ก.ค.!T147+ส.ค.!T147+ก.ย.!T147</f>
        <v>0</v>
      </c>
      <c r="U147" s="269">
        <f>+ก.ค.!U147+ส.ค.!U147+ก.ย.!U147</f>
        <v>0</v>
      </c>
      <c r="V147" s="269">
        <f>+ก.ค.!V147+ส.ค.!V147+ก.ย.!V147</f>
        <v>0</v>
      </c>
      <c r="X147" s="221"/>
    </row>
    <row r="148" spans="1:24" s="310" customFormat="1" ht="25.5" customHeight="1">
      <c r="A148" s="9"/>
      <c r="B148" s="187" t="s">
        <v>363</v>
      </c>
      <c r="C148" s="279">
        <v>5000</v>
      </c>
      <c r="D148" s="131"/>
      <c r="E148" s="269">
        <f>+ก.ค.!E148+ส.ค.!E148+ก.ย.!E148</f>
        <v>0</v>
      </c>
      <c r="F148" s="269">
        <f>+ก.ค.!F148+ส.ค.!F148+ก.ย.!F148</f>
        <v>0</v>
      </c>
      <c r="G148" s="269">
        <f>+ก.ค.!G148+ส.ค.!G148+ก.ย.!G148</f>
        <v>0</v>
      </c>
      <c r="H148" s="269">
        <f>+ก.ค.!H148+ส.ค.!H148+ก.ย.!H148</f>
        <v>0</v>
      </c>
      <c r="I148" s="269">
        <f>+ก.ค.!I148+ส.ค.!I148+ก.ย.!I148</f>
        <v>0</v>
      </c>
      <c r="J148" s="269">
        <f>+ก.ค.!J148+ส.ค.!J148+ก.ย.!J148</f>
        <v>0</v>
      </c>
      <c r="K148" s="269">
        <f>+ก.ค.!K148+ส.ค.!K148+ก.ย.!K148</f>
        <v>0</v>
      </c>
      <c r="L148" s="269">
        <f>+ก.ค.!L148+ส.ค.!L148+ก.ย.!L148</f>
        <v>0</v>
      </c>
      <c r="M148" s="269">
        <f>+ก.ค.!M148+ส.ค.!M148+ก.ย.!M148</f>
        <v>0</v>
      </c>
      <c r="N148" s="269">
        <f>+ก.ค.!N148+ส.ค.!N148+ก.ย.!N148</f>
        <v>0</v>
      </c>
      <c r="O148" s="269">
        <f>+ก.ค.!O148+ส.ค.!O148+ก.ย.!O148</f>
        <v>0</v>
      </c>
      <c r="P148" s="269">
        <f>+ก.ค.!P148+ส.ค.!P148+ก.ย.!P148</f>
        <v>0</v>
      </c>
      <c r="Q148" s="269">
        <f>+ก.ค.!Q148+ส.ค.!Q148+ก.ย.!Q148</f>
        <v>0</v>
      </c>
      <c r="R148" s="269">
        <f>+ก.ค.!R148+ส.ค.!R148+ก.ย.!R148</f>
        <v>0</v>
      </c>
      <c r="S148" s="269">
        <f>+ก.ค.!S148+ส.ค.!S148+ก.ย.!S148</f>
        <v>0</v>
      </c>
      <c r="T148" s="269">
        <f>+ก.ค.!T148+ส.ค.!T148+ก.ย.!T148</f>
        <v>0</v>
      </c>
      <c r="U148" s="269">
        <f>+ก.ค.!U148+ส.ค.!U148+ก.ย.!U148</f>
        <v>0</v>
      </c>
      <c r="V148" s="269">
        <f>+ก.ค.!V148+ส.ค.!V148+ก.ย.!V148</f>
        <v>0</v>
      </c>
      <c r="X148" s="221"/>
    </row>
    <row r="149" spans="1:24" s="310" customFormat="1" ht="25.5" customHeight="1">
      <c r="A149" s="9"/>
      <c r="B149" s="187" t="s">
        <v>364</v>
      </c>
      <c r="C149" s="279">
        <v>5000</v>
      </c>
      <c r="D149" s="131"/>
      <c r="E149" s="269">
        <f>+ก.ค.!E149+ส.ค.!E149+ก.ย.!E149</f>
        <v>0</v>
      </c>
      <c r="F149" s="269">
        <f>+ก.ค.!F149+ส.ค.!F149+ก.ย.!F149</f>
        <v>0</v>
      </c>
      <c r="G149" s="269">
        <f>+ก.ค.!G149+ส.ค.!G149+ก.ย.!G149</f>
        <v>0</v>
      </c>
      <c r="H149" s="269">
        <f>+ก.ค.!H149+ส.ค.!H149+ก.ย.!H149</f>
        <v>0</v>
      </c>
      <c r="I149" s="269">
        <f>+ก.ค.!I149+ส.ค.!I149+ก.ย.!I149</f>
        <v>0</v>
      </c>
      <c r="J149" s="269">
        <f>+ก.ค.!J149+ส.ค.!J149+ก.ย.!J149</f>
        <v>0</v>
      </c>
      <c r="K149" s="269">
        <f>+ก.ค.!K149+ส.ค.!K149+ก.ย.!K149</f>
        <v>0</v>
      </c>
      <c r="L149" s="269">
        <f>+ก.ค.!L149+ส.ค.!L149+ก.ย.!L149</f>
        <v>0</v>
      </c>
      <c r="M149" s="269">
        <f>+ก.ค.!M149+ส.ค.!M149+ก.ย.!M149</f>
        <v>0</v>
      </c>
      <c r="N149" s="269">
        <f>+ก.ค.!N149+ส.ค.!N149+ก.ย.!N149</f>
        <v>0</v>
      </c>
      <c r="O149" s="269">
        <f>+ก.ค.!O149+ส.ค.!O149+ก.ย.!O149</f>
        <v>0</v>
      </c>
      <c r="P149" s="269">
        <f>+ก.ค.!P149+ส.ค.!P149+ก.ย.!P149</f>
        <v>0</v>
      </c>
      <c r="Q149" s="269">
        <f>+ก.ค.!Q149+ส.ค.!Q149+ก.ย.!Q149</f>
        <v>0</v>
      </c>
      <c r="R149" s="269">
        <f>+ก.ค.!R149+ส.ค.!R149+ก.ย.!R149</f>
        <v>0</v>
      </c>
      <c r="S149" s="269">
        <f>+ก.ค.!S149+ส.ค.!S149+ก.ย.!S149</f>
        <v>0</v>
      </c>
      <c r="T149" s="269">
        <f>+ก.ค.!T149+ส.ค.!T149+ก.ย.!T149</f>
        <v>0</v>
      </c>
      <c r="U149" s="269">
        <f>+ก.ค.!U149+ส.ค.!U149+ก.ย.!U149</f>
        <v>0</v>
      </c>
      <c r="V149" s="269">
        <f>+ก.ค.!V149+ส.ค.!V149+ก.ย.!V149</f>
        <v>0</v>
      </c>
      <c r="X149" s="221"/>
    </row>
    <row r="150" spans="1:24" s="310" customFormat="1" ht="25.5" customHeight="1">
      <c r="A150" s="9"/>
      <c r="B150" s="187" t="s">
        <v>365</v>
      </c>
      <c r="C150" s="279">
        <v>5000</v>
      </c>
      <c r="D150" s="131"/>
      <c r="E150" s="269">
        <f>+ก.ค.!E150+ส.ค.!E150+ก.ย.!E150</f>
        <v>0</v>
      </c>
      <c r="F150" s="269">
        <f>+ก.ค.!F150+ส.ค.!F150+ก.ย.!F150</f>
        <v>0</v>
      </c>
      <c r="G150" s="269">
        <f>+ก.ค.!G150+ส.ค.!G150+ก.ย.!G150</f>
        <v>0</v>
      </c>
      <c r="H150" s="269">
        <f>+ก.ค.!H150+ส.ค.!H150+ก.ย.!H150</f>
        <v>0</v>
      </c>
      <c r="I150" s="269">
        <f>+ก.ค.!I150+ส.ค.!I150+ก.ย.!I150</f>
        <v>0</v>
      </c>
      <c r="J150" s="269">
        <f>+ก.ค.!J150+ส.ค.!J150+ก.ย.!J150</f>
        <v>0</v>
      </c>
      <c r="K150" s="269">
        <f>+ก.ค.!K150+ส.ค.!K150+ก.ย.!K150</f>
        <v>0</v>
      </c>
      <c r="L150" s="269">
        <f>+ก.ค.!L150+ส.ค.!L150+ก.ย.!L150</f>
        <v>0</v>
      </c>
      <c r="M150" s="269">
        <f>+ก.ค.!M150+ส.ค.!M150+ก.ย.!M150</f>
        <v>0</v>
      </c>
      <c r="N150" s="269">
        <f>+ก.ค.!N150+ส.ค.!N150+ก.ย.!N150</f>
        <v>0</v>
      </c>
      <c r="O150" s="269">
        <f>+ก.ค.!O150+ส.ค.!O150+ก.ย.!O150</f>
        <v>0</v>
      </c>
      <c r="P150" s="269">
        <f>+ก.ค.!P150+ส.ค.!P150+ก.ย.!P150</f>
        <v>0</v>
      </c>
      <c r="Q150" s="269">
        <f>+ก.ค.!Q150+ส.ค.!Q150+ก.ย.!Q150</f>
        <v>0</v>
      </c>
      <c r="R150" s="269">
        <f>+ก.ค.!R150+ส.ค.!R150+ก.ย.!R150</f>
        <v>0</v>
      </c>
      <c r="S150" s="269">
        <f>+ก.ค.!S150+ส.ค.!S150+ก.ย.!S150</f>
        <v>0</v>
      </c>
      <c r="T150" s="269">
        <f>+ก.ค.!T150+ส.ค.!T150+ก.ย.!T150</f>
        <v>0</v>
      </c>
      <c r="U150" s="269">
        <f>+ก.ค.!U150+ส.ค.!U150+ก.ย.!U150</f>
        <v>0</v>
      </c>
      <c r="V150" s="269">
        <f>+ก.ค.!V150+ส.ค.!V150+ก.ย.!V150</f>
        <v>0</v>
      </c>
      <c r="X150" s="221"/>
    </row>
    <row r="151" spans="1:24" s="310" customFormat="1" ht="25.5" customHeight="1">
      <c r="A151" s="9"/>
      <c r="B151" s="187" t="s">
        <v>366</v>
      </c>
      <c r="C151" s="279">
        <v>5000</v>
      </c>
      <c r="D151" s="131"/>
      <c r="E151" s="269">
        <f>+ก.ค.!E151+ส.ค.!E151+ก.ย.!E151</f>
        <v>0</v>
      </c>
      <c r="F151" s="269">
        <f>+ก.ค.!F151+ส.ค.!F151+ก.ย.!F151</f>
        <v>0</v>
      </c>
      <c r="G151" s="269">
        <f>+ก.ค.!G151+ส.ค.!G151+ก.ย.!G151</f>
        <v>0</v>
      </c>
      <c r="H151" s="269">
        <f>+ก.ค.!H151+ส.ค.!H151+ก.ย.!H151</f>
        <v>0</v>
      </c>
      <c r="I151" s="269">
        <f>+ก.ค.!I151+ส.ค.!I151+ก.ย.!I151</f>
        <v>0</v>
      </c>
      <c r="J151" s="269">
        <f>+ก.ค.!J151+ส.ค.!J151+ก.ย.!J151</f>
        <v>0</v>
      </c>
      <c r="K151" s="269">
        <f>+ก.ค.!K151+ส.ค.!K151+ก.ย.!K151</f>
        <v>0</v>
      </c>
      <c r="L151" s="269">
        <f>+ก.ค.!L151+ส.ค.!L151+ก.ย.!L151</f>
        <v>0</v>
      </c>
      <c r="M151" s="269">
        <f>+ก.ค.!M151+ส.ค.!M151+ก.ย.!M151</f>
        <v>0</v>
      </c>
      <c r="N151" s="269">
        <f>+ก.ค.!N151+ส.ค.!N151+ก.ย.!N151</f>
        <v>0</v>
      </c>
      <c r="O151" s="269">
        <f>+ก.ค.!O151+ส.ค.!O151+ก.ย.!O151</f>
        <v>0</v>
      </c>
      <c r="P151" s="269">
        <f>+ก.ค.!P151+ส.ค.!P151+ก.ย.!P151</f>
        <v>0</v>
      </c>
      <c r="Q151" s="269">
        <f>+ก.ค.!Q151+ส.ค.!Q151+ก.ย.!Q151</f>
        <v>0</v>
      </c>
      <c r="R151" s="269">
        <f>+ก.ค.!R151+ส.ค.!R151+ก.ย.!R151</f>
        <v>0</v>
      </c>
      <c r="S151" s="269">
        <f>+ก.ค.!S151+ส.ค.!S151+ก.ย.!S151</f>
        <v>0</v>
      </c>
      <c r="T151" s="269">
        <f>+ก.ค.!T151+ส.ค.!T151+ก.ย.!T151</f>
        <v>0</v>
      </c>
      <c r="U151" s="269">
        <f>+ก.ค.!U151+ส.ค.!U151+ก.ย.!U151</f>
        <v>0</v>
      </c>
      <c r="V151" s="269">
        <f>+ก.ค.!V151+ส.ค.!V151+ก.ย.!V151</f>
        <v>0</v>
      </c>
      <c r="X151" s="221"/>
    </row>
    <row r="152" spans="1:24" s="310" customFormat="1" ht="25.5" customHeight="1">
      <c r="A152" s="9"/>
      <c r="B152" s="187" t="s">
        <v>367</v>
      </c>
      <c r="C152" s="279">
        <v>5000</v>
      </c>
      <c r="D152" s="131"/>
      <c r="E152" s="269">
        <f>+ก.ค.!E152+ส.ค.!E152+ก.ย.!E152</f>
        <v>0</v>
      </c>
      <c r="F152" s="269">
        <f>+ก.ค.!F152+ส.ค.!F152+ก.ย.!F152</f>
        <v>0</v>
      </c>
      <c r="G152" s="269">
        <f>+ก.ค.!G152+ส.ค.!G152+ก.ย.!G152</f>
        <v>0</v>
      </c>
      <c r="H152" s="269">
        <f>+ก.ค.!H152+ส.ค.!H152+ก.ย.!H152</f>
        <v>0</v>
      </c>
      <c r="I152" s="269">
        <f>+ก.ค.!I152+ส.ค.!I152+ก.ย.!I152</f>
        <v>0</v>
      </c>
      <c r="J152" s="269">
        <f>+ก.ค.!J152+ส.ค.!J152+ก.ย.!J152</f>
        <v>0</v>
      </c>
      <c r="K152" s="269">
        <f>+ก.ค.!K152+ส.ค.!K152+ก.ย.!K152</f>
        <v>0</v>
      </c>
      <c r="L152" s="269">
        <f>+ก.ค.!L152+ส.ค.!L152+ก.ย.!L152</f>
        <v>0</v>
      </c>
      <c r="M152" s="269">
        <f>+ก.ค.!M152+ส.ค.!M152+ก.ย.!M152</f>
        <v>0</v>
      </c>
      <c r="N152" s="269">
        <f>+ก.ค.!N152+ส.ค.!N152+ก.ย.!N152</f>
        <v>0</v>
      </c>
      <c r="O152" s="269">
        <f>+ก.ค.!O152+ส.ค.!O152+ก.ย.!O152</f>
        <v>0</v>
      </c>
      <c r="P152" s="269">
        <f>+ก.ค.!P152+ส.ค.!P152+ก.ย.!P152</f>
        <v>0</v>
      </c>
      <c r="Q152" s="269">
        <f>+ก.ค.!Q152+ส.ค.!Q152+ก.ย.!Q152</f>
        <v>0</v>
      </c>
      <c r="R152" s="269">
        <f>+ก.ค.!R152+ส.ค.!R152+ก.ย.!R152</f>
        <v>0</v>
      </c>
      <c r="S152" s="269">
        <f>+ก.ค.!S152+ส.ค.!S152+ก.ย.!S152</f>
        <v>0</v>
      </c>
      <c r="T152" s="269">
        <f>+ก.ค.!T152+ส.ค.!T152+ก.ย.!T152</f>
        <v>0</v>
      </c>
      <c r="U152" s="269">
        <f>+ก.ค.!U152+ส.ค.!U152+ก.ย.!U152</f>
        <v>0</v>
      </c>
      <c r="V152" s="269">
        <f>+ก.ค.!V152+ส.ค.!V152+ก.ย.!V152</f>
        <v>0</v>
      </c>
      <c r="X152" s="221"/>
    </row>
    <row r="153" spans="1:24" s="310" customFormat="1" ht="25.5" customHeight="1">
      <c r="A153" s="9"/>
      <c r="B153" s="187" t="s">
        <v>368</v>
      </c>
      <c r="C153" s="279">
        <v>5000</v>
      </c>
      <c r="D153" s="131"/>
      <c r="E153" s="269">
        <f>+ก.ค.!E153+ส.ค.!E153+ก.ย.!E153</f>
        <v>0</v>
      </c>
      <c r="F153" s="269">
        <f>+ก.ค.!F153+ส.ค.!F153+ก.ย.!F153</f>
        <v>0</v>
      </c>
      <c r="G153" s="269">
        <f>+ก.ค.!G153+ส.ค.!G153+ก.ย.!G153</f>
        <v>0</v>
      </c>
      <c r="H153" s="269">
        <f>+ก.ค.!H153+ส.ค.!H153+ก.ย.!H153</f>
        <v>0</v>
      </c>
      <c r="I153" s="269">
        <f>+ก.ค.!I153+ส.ค.!I153+ก.ย.!I153</f>
        <v>0</v>
      </c>
      <c r="J153" s="269">
        <f>+ก.ค.!J153+ส.ค.!J153+ก.ย.!J153</f>
        <v>0</v>
      </c>
      <c r="K153" s="269">
        <f>+ก.ค.!K153+ส.ค.!K153+ก.ย.!K153</f>
        <v>0</v>
      </c>
      <c r="L153" s="269">
        <f>+ก.ค.!L153+ส.ค.!L153+ก.ย.!L153</f>
        <v>0</v>
      </c>
      <c r="M153" s="269">
        <f>+ก.ค.!M153+ส.ค.!M153+ก.ย.!M153</f>
        <v>0</v>
      </c>
      <c r="N153" s="269">
        <f>+ก.ค.!N153+ส.ค.!N153+ก.ย.!N153</f>
        <v>0</v>
      </c>
      <c r="O153" s="269">
        <f>+ก.ค.!O153+ส.ค.!O153+ก.ย.!O153</f>
        <v>0</v>
      </c>
      <c r="P153" s="269">
        <f>+ก.ค.!P153+ส.ค.!P153+ก.ย.!P153</f>
        <v>0</v>
      </c>
      <c r="Q153" s="269">
        <f>+ก.ค.!Q153+ส.ค.!Q153+ก.ย.!Q153</f>
        <v>0</v>
      </c>
      <c r="R153" s="269">
        <f>+ก.ค.!R153+ส.ค.!R153+ก.ย.!R153</f>
        <v>0</v>
      </c>
      <c r="S153" s="269">
        <f>+ก.ค.!S153+ส.ค.!S153+ก.ย.!S153</f>
        <v>0</v>
      </c>
      <c r="T153" s="269">
        <f>+ก.ค.!T153+ส.ค.!T153+ก.ย.!T153</f>
        <v>0</v>
      </c>
      <c r="U153" s="269">
        <f>+ก.ค.!U153+ส.ค.!U153+ก.ย.!U153</f>
        <v>0</v>
      </c>
      <c r="V153" s="269">
        <f>+ก.ค.!V153+ส.ค.!V153+ก.ย.!V153</f>
        <v>0</v>
      </c>
      <c r="X153" s="221"/>
    </row>
    <row r="154" spans="1:24" s="310" customFormat="1" ht="25.5" customHeight="1">
      <c r="A154" s="9"/>
      <c r="B154" s="187" t="s">
        <v>369</v>
      </c>
      <c r="C154" s="279">
        <f>10000-10000</f>
        <v>0</v>
      </c>
      <c r="D154" s="131"/>
      <c r="E154" s="269">
        <f>+ก.ค.!E154+ส.ค.!E154+ก.ย.!E154</f>
        <v>0</v>
      </c>
      <c r="F154" s="269">
        <f>+ก.ค.!F154+ส.ค.!F154+ก.ย.!F154</f>
        <v>0</v>
      </c>
      <c r="G154" s="269">
        <f>+ก.ค.!G154+ส.ค.!G154+ก.ย.!G154</f>
        <v>0</v>
      </c>
      <c r="H154" s="269">
        <f>+ก.ค.!H154+ส.ค.!H154+ก.ย.!H154</f>
        <v>0</v>
      </c>
      <c r="I154" s="269">
        <f>+ก.ค.!I154+ส.ค.!I154+ก.ย.!I154</f>
        <v>0</v>
      </c>
      <c r="J154" s="269">
        <f>+ก.ค.!J154+ส.ค.!J154+ก.ย.!J154</f>
        <v>0</v>
      </c>
      <c r="K154" s="269">
        <f>+ก.ค.!K154+ส.ค.!K154+ก.ย.!K154</f>
        <v>0</v>
      </c>
      <c r="L154" s="269">
        <f>+ก.ค.!L154+ส.ค.!L154+ก.ย.!L154</f>
        <v>0</v>
      </c>
      <c r="M154" s="269">
        <f>+ก.ค.!M154+ส.ค.!M154+ก.ย.!M154</f>
        <v>0</v>
      </c>
      <c r="N154" s="269">
        <f>+ก.ค.!N154+ส.ค.!N154+ก.ย.!N154</f>
        <v>0</v>
      </c>
      <c r="O154" s="269">
        <f>+ก.ค.!O154+ส.ค.!O154+ก.ย.!O154</f>
        <v>0</v>
      </c>
      <c r="P154" s="269">
        <f>+ก.ค.!P154+ส.ค.!P154+ก.ย.!P154</f>
        <v>0</v>
      </c>
      <c r="Q154" s="269">
        <f>+ก.ค.!Q154+ส.ค.!Q154+ก.ย.!Q154</f>
        <v>0</v>
      </c>
      <c r="R154" s="269">
        <f>+ก.ค.!R154+ส.ค.!R154+ก.ย.!R154</f>
        <v>0</v>
      </c>
      <c r="S154" s="269">
        <f>+ก.ค.!S154+ส.ค.!S154+ก.ย.!S154</f>
        <v>0</v>
      </c>
      <c r="T154" s="269">
        <f>+ก.ค.!T154+ส.ค.!T154+ก.ย.!T154</f>
        <v>0</v>
      </c>
      <c r="U154" s="269">
        <f>+ก.ค.!U154+ส.ค.!U154+ก.ย.!U154</f>
        <v>0</v>
      </c>
      <c r="V154" s="269">
        <f>+ก.ค.!V154+ส.ค.!V154+ก.ย.!V154</f>
        <v>0</v>
      </c>
      <c r="X154" s="221"/>
    </row>
    <row r="155" spans="1:24" s="310" customFormat="1" ht="25.5" customHeight="1">
      <c r="A155" s="9"/>
      <c r="B155" s="187" t="s">
        <v>370</v>
      </c>
      <c r="C155" s="279">
        <v>10000</v>
      </c>
      <c r="D155" s="131"/>
      <c r="E155" s="269">
        <f>+ก.ค.!E155+ส.ค.!E155+ก.ย.!E155</f>
        <v>0</v>
      </c>
      <c r="F155" s="269">
        <f>+ก.ค.!F155+ส.ค.!F155+ก.ย.!F155</f>
        <v>0</v>
      </c>
      <c r="G155" s="269">
        <f>+ก.ค.!G155+ส.ค.!G155+ก.ย.!G155</f>
        <v>0</v>
      </c>
      <c r="H155" s="269">
        <f>+ก.ค.!H155+ส.ค.!H155+ก.ย.!H155</f>
        <v>0</v>
      </c>
      <c r="I155" s="269">
        <f>+ก.ค.!I155+ส.ค.!I155+ก.ย.!I155</f>
        <v>0</v>
      </c>
      <c r="J155" s="269">
        <f>+ก.ค.!J155+ส.ค.!J155+ก.ย.!J155</f>
        <v>0</v>
      </c>
      <c r="K155" s="269">
        <f>+ก.ค.!K155+ส.ค.!K155+ก.ย.!K155</f>
        <v>0</v>
      </c>
      <c r="L155" s="269">
        <f>+ก.ค.!L155+ส.ค.!L155+ก.ย.!L155</f>
        <v>0</v>
      </c>
      <c r="M155" s="269">
        <f>+ก.ค.!M155+ส.ค.!M155+ก.ย.!M155</f>
        <v>0</v>
      </c>
      <c r="N155" s="269">
        <f>+ก.ค.!N155+ส.ค.!N155+ก.ย.!N155</f>
        <v>0</v>
      </c>
      <c r="O155" s="269">
        <f>+ก.ค.!O155+ส.ค.!O155+ก.ย.!O155</f>
        <v>0</v>
      </c>
      <c r="P155" s="269">
        <f>+ก.ค.!P155+ส.ค.!P155+ก.ย.!P155</f>
        <v>0</v>
      </c>
      <c r="Q155" s="269">
        <f>+ก.ค.!Q155+ส.ค.!Q155+ก.ย.!Q155</f>
        <v>0</v>
      </c>
      <c r="R155" s="269">
        <f>+ก.ค.!R155+ส.ค.!R155+ก.ย.!R155</f>
        <v>0</v>
      </c>
      <c r="S155" s="269">
        <f>+ก.ค.!S155+ส.ค.!S155+ก.ย.!S155</f>
        <v>0</v>
      </c>
      <c r="T155" s="269">
        <f>+ก.ค.!T155+ส.ค.!T155+ก.ย.!T155</f>
        <v>0</v>
      </c>
      <c r="U155" s="269">
        <f>+ก.ค.!U155+ส.ค.!U155+ก.ย.!U155</f>
        <v>0</v>
      </c>
      <c r="V155" s="269">
        <f>+ก.ค.!V155+ส.ค.!V155+ก.ย.!V155</f>
        <v>0</v>
      </c>
      <c r="X155" s="221"/>
    </row>
    <row r="156" spans="1:24" s="310" customFormat="1" ht="25.5" customHeight="1">
      <c r="A156" s="9"/>
      <c r="B156" s="187" t="s">
        <v>163</v>
      </c>
      <c r="C156" s="279">
        <f>350000-156000-153000-11000-10000-20000</f>
        <v>0</v>
      </c>
      <c r="D156" s="131"/>
      <c r="E156" s="269">
        <f>+ก.ค.!E156+ส.ค.!E156+ก.ย.!E156</f>
        <v>0</v>
      </c>
      <c r="F156" s="269">
        <f>+ก.ค.!F156+ส.ค.!F156+ก.ย.!F156</f>
        <v>0</v>
      </c>
      <c r="G156" s="269">
        <f>+ก.ค.!G156+ส.ค.!G156+ก.ย.!G156</f>
        <v>0</v>
      </c>
      <c r="H156" s="269">
        <f>+ก.ค.!H156+ส.ค.!H156+ก.ย.!H156</f>
        <v>0</v>
      </c>
      <c r="I156" s="269">
        <f>+ก.ค.!I156+ส.ค.!I156+ก.ย.!I156</f>
        <v>0</v>
      </c>
      <c r="J156" s="269">
        <f>+ก.ค.!J156+ส.ค.!J156+ก.ย.!J156</f>
        <v>0</v>
      </c>
      <c r="K156" s="269">
        <f>+ก.ค.!K156+ส.ค.!K156+ก.ย.!K156</f>
        <v>0</v>
      </c>
      <c r="L156" s="269">
        <f>+ก.ค.!L156+ส.ค.!L156+ก.ย.!L156</f>
        <v>0</v>
      </c>
      <c r="M156" s="269">
        <f>+ก.ค.!M156+ส.ค.!M156+ก.ย.!M156</f>
        <v>0</v>
      </c>
      <c r="N156" s="269">
        <f>+ก.ค.!N156+ส.ค.!N156+ก.ย.!N156</f>
        <v>0</v>
      </c>
      <c r="O156" s="269">
        <f>+ก.ค.!O156+ส.ค.!O156+ก.ย.!O156</f>
        <v>0</v>
      </c>
      <c r="P156" s="269">
        <f>+ก.ค.!P156+ส.ค.!P156+ก.ย.!P156</f>
        <v>0</v>
      </c>
      <c r="Q156" s="269">
        <f>+ก.ค.!Q156+ส.ค.!Q156+ก.ย.!Q156</f>
        <v>0</v>
      </c>
      <c r="R156" s="269">
        <f>+ก.ค.!R156+ส.ค.!R156+ก.ย.!R156</f>
        <v>0</v>
      </c>
      <c r="S156" s="269">
        <f>+ก.ค.!S156+ส.ค.!S156+ก.ย.!S156</f>
        <v>0</v>
      </c>
      <c r="T156" s="269">
        <f>+ก.ค.!T156+ส.ค.!T156+ก.ย.!T156</f>
        <v>0</v>
      </c>
      <c r="U156" s="269">
        <f>+ก.ค.!U156+ส.ค.!U156+ก.ย.!U156</f>
        <v>0</v>
      </c>
      <c r="V156" s="269">
        <f>+ก.ค.!V156+ส.ค.!V156+ก.ย.!V156</f>
        <v>0</v>
      </c>
      <c r="X156" s="221"/>
    </row>
    <row r="157" spans="1:24" s="310" customFormat="1" ht="25.5" customHeight="1">
      <c r="A157" s="9"/>
      <c r="B157" s="187" t="s">
        <v>214</v>
      </c>
      <c r="C157" s="279">
        <v>25000</v>
      </c>
      <c r="D157" s="131"/>
      <c r="E157" s="269">
        <f>+ก.ค.!E157+ส.ค.!E157+ก.ย.!E157</f>
        <v>0</v>
      </c>
      <c r="F157" s="269">
        <f>+ก.ค.!F157+ส.ค.!F157+ก.ย.!F157</f>
        <v>0</v>
      </c>
      <c r="G157" s="269">
        <f>+ก.ค.!G157+ส.ค.!G157+ก.ย.!G157</f>
        <v>0</v>
      </c>
      <c r="H157" s="269">
        <f>+ก.ค.!H157+ส.ค.!H157+ก.ย.!H157</f>
        <v>0</v>
      </c>
      <c r="I157" s="269">
        <f>+ก.ค.!I157+ส.ค.!I157+ก.ย.!I157</f>
        <v>0</v>
      </c>
      <c r="J157" s="269">
        <f>+ก.ค.!J157+ส.ค.!J157+ก.ย.!J157</f>
        <v>0</v>
      </c>
      <c r="K157" s="269">
        <f>+ก.ค.!K157+ส.ค.!K157+ก.ย.!K157</f>
        <v>0</v>
      </c>
      <c r="L157" s="269">
        <f>+ก.ค.!L157+ส.ค.!L157+ก.ย.!L157</f>
        <v>0</v>
      </c>
      <c r="M157" s="269">
        <f>+ก.ค.!M157+ส.ค.!M157+ก.ย.!M157</f>
        <v>0</v>
      </c>
      <c r="N157" s="269">
        <f>+ก.ค.!N157+ส.ค.!N157+ก.ย.!N157</f>
        <v>0</v>
      </c>
      <c r="O157" s="269">
        <f>+ก.ค.!O157+ส.ค.!O157+ก.ย.!O157</f>
        <v>0</v>
      </c>
      <c r="P157" s="269">
        <f>+ก.ค.!P157+ส.ค.!P157+ก.ย.!P157</f>
        <v>0</v>
      </c>
      <c r="Q157" s="269">
        <f>+ก.ค.!Q157+ส.ค.!Q157+ก.ย.!Q157</f>
        <v>0</v>
      </c>
      <c r="R157" s="269">
        <f>+ก.ค.!R157+ส.ค.!R157+ก.ย.!R157</f>
        <v>0</v>
      </c>
      <c r="S157" s="269">
        <f>+ก.ค.!S157+ส.ค.!S157+ก.ย.!S157</f>
        <v>0</v>
      </c>
      <c r="T157" s="269">
        <f>+ก.ค.!T157+ส.ค.!T157+ก.ย.!T157</f>
        <v>0</v>
      </c>
      <c r="U157" s="269">
        <f>+ก.ค.!U157+ส.ค.!U157+ก.ย.!U157</f>
        <v>0</v>
      </c>
      <c r="V157" s="269">
        <f>+ก.ค.!V157+ส.ค.!V157+ก.ย.!V157</f>
        <v>0</v>
      </c>
      <c r="X157" s="221"/>
    </row>
    <row r="158" spans="1:24" s="310" customFormat="1" ht="25.5" customHeight="1">
      <c r="A158" s="9"/>
      <c r="B158" s="187" t="s">
        <v>167</v>
      </c>
      <c r="C158" s="279">
        <f>30000-30000</f>
        <v>0</v>
      </c>
      <c r="D158" s="131"/>
      <c r="E158" s="269">
        <f>+ก.ค.!E158+ส.ค.!E158+ก.ย.!E158</f>
        <v>0</v>
      </c>
      <c r="F158" s="269">
        <f>+ก.ค.!F158+ส.ค.!F158+ก.ย.!F158</f>
        <v>0</v>
      </c>
      <c r="G158" s="269">
        <f>+ก.ค.!G158+ส.ค.!G158+ก.ย.!G158</f>
        <v>0</v>
      </c>
      <c r="H158" s="269">
        <f>+ก.ค.!H158+ส.ค.!H158+ก.ย.!H158</f>
        <v>0</v>
      </c>
      <c r="I158" s="269">
        <f>+ก.ค.!I158+ส.ค.!I158+ก.ย.!I158</f>
        <v>0</v>
      </c>
      <c r="J158" s="269">
        <f>+ก.ค.!J158+ส.ค.!J158+ก.ย.!J158</f>
        <v>0</v>
      </c>
      <c r="K158" s="269">
        <f>+ก.ค.!K158+ส.ค.!K158+ก.ย.!K158</f>
        <v>0</v>
      </c>
      <c r="L158" s="269">
        <f>+ก.ค.!L158+ส.ค.!L158+ก.ย.!L158</f>
        <v>0</v>
      </c>
      <c r="M158" s="269">
        <f>+ก.ค.!M158+ส.ค.!M158+ก.ย.!M158</f>
        <v>0</v>
      </c>
      <c r="N158" s="269">
        <f>+ก.ค.!N158+ส.ค.!N158+ก.ย.!N158</f>
        <v>0</v>
      </c>
      <c r="O158" s="269">
        <f>+ก.ค.!O158+ส.ค.!O158+ก.ย.!O158</f>
        <v>0</v>
      </c>
      <c r="P158" s="269">
        <f>+ก.ค.!P158+ส.ค.!P158+ก.ย.!P158</f>
        <v>0</v>
      </c>
      <c r="Q158" s="269">
        <f>+ก.ค.!Q158+ส.ค.!Q158+ก.ย.!Q158</f>
        <v>0</v>
      </c>
      <c r="R158" s="269">
        <f>+ก.ค.!R158+ส.ค.!R158+ก.ย.!R158</f>
        <v>0</v>
      </c>
      <c r="S158" s="269">
        <f>+ก.ค.!S158+ส.ค.!S158+ก.ย.!S158</f>
        <v>0</v>
      </c>
      <c r="T158" s="269">
        <f>+ก.ค.!T158+ส.ค.!T158+ก.ย.!T158</f>
        <v>0</v>
      </c>
      <c r="U158" s="269">
        <f>+ก.ค.!U158+ส.ค.!U158+ก.ย.!U158</f>
        <v>0</v>
      </c>
      <c r="V158" s="269">
        <f>+ก.ค.!V158+ส.ค.!V158+ก.ย.!V158</f>
        <v>0</v>
      </c>
      <c r="X158" s="221"/>
    </row>
    <row r="159" spans="1:24" s="310" customFormat="1" ht="25.5" customHeight="1">
      <c r="A159" s="9"/>
      <c r="B159" s="187" t="s">
        <v>371</v>
      </c>
      <c r="C159" s="279">
        <v>30000</v>
      </c>
      <c r="D159" s="131"/>
      <c r="E159" s="269">
        <f>+ก.ค.!E159+ส.ค.!E159+ก.ย.!E159</f>
        <v>0</v>
      </c>
      <c r="F159" s="269">
        <f>+ก.ค.!F159+ส.ค.!F159+ก.ย.!F159</f>
        <v>0</v>
      </c>
      <c r="G159" s="269">
        <f>+ก.ค.!G159+ส.ค.!G159+ก.ย.!G159</f>
        <v>0</v>
      </c>
      <c r="H159" s="269">
        <f>+ก.ค.!H159+ส.ค.!H159+ก.ย.!H159</f>
        <v>0</v>
      </c>
      <c r="I159" s="269">
        <f>+ก.ค.!I159+ส.ค.!I159+ก.ย.!I159</f>
        <v>0</v>
      </c>
      <c r="J159" s="269">
        <f>+ก.ค.!J159+ส.ค.!J159+ก.ย.!J159</f>
        <v>0</v>
      </c>
      <c r="K159" s="269">
        <f>+ก.ค.!K159+ส.ค.!K159+ก.ย.!K159</f>
        <v>0</v>
      </c>
      <c r="L159" s="269">
        <f>+ก.ค.!L159+ส.ค.!L159+ก.ย.!L159</f>
        <v>0</v>
      </c>
      <c r="M159" s="269">
        <f>+ก.ค.!M159+ส.ค.!M159+ก.ย.!M159</f>
        <v>0</v>
      </c>
      <c r="N159" s="269">
        <f>+ก.ค.!N159+ส.ค.!N159+ก.ย.!N159</f>
        <v>0</v>
      </c>
      <c r="O159" s="269">
        <f>+ก.ค.!O159+ส.ค.!O159+ก.ย.!O159</f>
        <v>0</v>
      </c>
      <c r="P159" s="269">
        <f>+ก.ค.!P159+ส.ค.!P159+ก.ย.!P159</f>
        <v>0</v>
      </c>
      <c r="Q159" s="269">
        <f>+ก.ค.!Q159+ส.ค.!Q159+ก.ย.!Q159</f>
        <v>0</v>
      </c>
      <c r="R159" s="269">
        <f>+ก.ค.!R159+ส.ค.!R159+ก.ย.!R159</f>
        <v>0</v>
      </c>
      <c r="S159" s="269">
        <f>+ก.ค.!S159+ส.ค.!S159+ก.ย.!S159</f>
        <v>0</v>
      </c>
      <c r="T159" s="269">
        <f>+ก.ค.!T159+ส.ค.!T159+ก.ย.!T159</f>
        <v>0</v>
      </c>
      <c r="U159" s="269">
        <f>+ก.ค.!U159+ส.ค.!U159+ก.ย.!U159</f>
        <v>0</v>
      </c>
      <c r="V159" s="269">
        <f>+ก.ค.!V159+ส.ค.!V159+ก.ย.!V159</f>
        <v>0</v>
      </c>
      <c r="X159" s="221"/>
    </row>
    <row r="160" spans="1:24" s="310" customFormat="1" ht="25.5" customHeight="1">
      <c r="A160" s="9"/>
      <c r="B160" s="187" t="s">
        <v>170</v>
      </c>
      <c r="C160" s="279">
        <v>40000</v>
      </c>
      <c r="D160" s="131"/>
      <c r="E160" s="269">
        <f>+ก.ค.!E160+ส.ค.!E160+ก.ย.!E160</f>
        <v>0</v>
      </c>
      <c r="F160" s="269">
        <f>+ก.ค.!F160+ส.ค.!F160+ก.ย.!F160</f>
        <v>0</v>
      </c>
      <c r="G160" s="269">
        <f>+ก.ค.!G160+ส.ค.!G160+ก.ย.!G160</f>
        <v>0</v>
      </c>
      <c r="H160" s="269">
        <f>+ก.ค.!H160+ส.ค.!H160+ก.ย.!H160</f>
        <v>0</v>
      </c>
      <c r="I160" s="269">
        <f>+ก.ค.!I160+ส.ค.!I160+ก.ย.!I160</f>
        <v>0</v>
      </c>
      <c r="J160" s="269">
        <f>+ก.ค.!J160+ส.ค.!J160+ก.ย.!J160</f>
        <v>0</v>
      </c>
      <c r="K160" s="269">
        <f>+ก.ค.!K160+ส.ค.!K160+ก.ย.!K160</f>
        <v>0</v>
      </c>
      <c r="L160" s="269">
        <f>+ก.ค.!L160+ส.ค.!L160+ก.ย.!L160</f>
        <v>0</v>
      </c>
      <c r="M160" s="269">
        <f>+ก.ค.!M160+ส.ค.!M160+ก.ย.!M160</f>
        <v>0</v>
      </c>
      <c r="N160" s="269">
        <f>+ก.ค.!N160+ส.ค.!N160+ก.ย.!N160</f>
        <v>0</v>
      </c>
      <c r="O160" s="269">
        <f>+ก.ค.!O160+ส.ค.!O160+ก.ย.!O160</f>
        <v>0</v>
      </c>
      <c r="P160" s="269">
        <f>+ก.ค.!P160+ส.ค.!P160+ก.ย.!P160</f>
        <v>0</v>
      </c>
      <c r="Q160" s="269">
        <f>+ก.ค.!Q160+ส.ค.!Q160+ก.ย.!Q160</f>
        <v>0</v>
      </c>
      <c r="R160" s="269">
        <f>+ก.ค.!R160+ส.ค.!R160+ก.ย.!R160</f>
        <v>0</v>
      </c>
      <c r="S160" s="269">
        <f>+ก.ค.!S160+ส.ค.!S160+ก.ย.!S160</f>
        <v>0</v>
      </c>
      <c r="T160" s="269">
        <f>+ก.ค.!T160+ส.ค.!T160+ก.ย.!T160</f>
        <v>0</v>
      </c>
      <c r="U160" s="269">
        <f>+ก.ค.!U160+ส.ค.!U160+ก.ย.!U160</f>
        <v>0</v>
      </c>
      <c r="V160" s="269">
        <f>+ก.ค.!V160+ส.ค.!V160+ก.ย.!V160</f>
        <v>0</v>
      </c>
      <c r="X160" s="221"/>
    </row>
    <row r="161" spans="1:26" s="310" customFormat="1" ht="25.5" customHeight="1">
      <c r="A161" s="9"/>
      <c r="B161" s="187" t="s">
        <v>266</v>
      </c>
      <c r="C161" s="279">
        <v>15000</v>
      </c>
      <c r="D161" s="131"/>
      <c r="E161" s="269">
        <f>+ก.ค.!E161+ส.ค.!E161+ก.ย.!E161</f>
        <v>0</v>
      </c>
      <c r="F161" s="269">
        <f>+ก.ค.!F161+ส.ค.!F161+ก.ย.!F161</f>
        <v>0</v>
      </c>
      <c r="G161" s="269">
        <f>+ก.ค.!G161+ส.ค.!G161+ก.ย.!G161</f>
        <v>0</v>
      </c>
      <c r="H161" s="269">
        <f>+ก.ค.!H161+ส.ค.!H161+ก.ย.!H161</f>
        <v>0</v>
      </c>
      <c r="I161" s="269">
        <f>+ก.ค.!I161+ส.ค.!I161+ก.ย.!I161</f>
        <v>0</v>
      </c>
      <c r="J161" s="269">
        <f>+ก.ค.!J161+ส.ค.!J161+ก.ย.!J161</f>
        <v>0</v>
      </c>
      <c r="K161" s="269">
        <f>+ก.ค.!K161+ส.ค.!K161+ก.ย.!K161</f>
        <v>0</v>
      </c>
      <c r="L161" s="269">
        <f>+ก.ค.!L161+ส.ค.!L161+ก.ย.!L161</f>
        <v>0</v>
      </c>
      <c r="M161" s="269">
        <f>+ก.ค.!M161+ส.ค.!M161+ก.ย.!M161</f>
        <v>0</v>
      </c>
      <c r="N161" s="269">
        <f>+ก.ค.!N161+ส.ค.!N161+ก.ย.!N161</f>
        <v>0</v>
      </c>
      <c r="O161" s="269">
        <f>+ก.ค.!O161+ส.ค.!O161+ก.ย.!O161</f>
        <v>0</v>
      </c>
      <c r="P161" s="269">
        <f>+ก.ค.!P161+ส.ค.!P161+ก.ย.!P161</f>
        <v>0</v>
      </c>
      <c r="Q161" s="269">
        <f>+ก.ค.!Q161+ส.ค.!Q161+ก.ย.!Q161</f>
        <v>0</v>
      </c>
      <c r="R161" s="269">
        <f>+ก.ค.!R161+ส.ค.!R161+ก.ย.!R161</f>
        <v>0</v>
      </c>
      <c r="S161" s="269">
        <f>+ก.ค.!S161+ส.ค.!S161+ก.ย.!S161</f>
        <v>14984</v>
      </c>
      <c r="T161" s="269">
        <f>+ก.ค.!T161+ส.ค.!T161+ก.ย.!T161</f>
        <v>0</v>
      </c>
      <c r="U161" s="269">
        <f>+ก.ค.!U161+ส.ค.!U161+ก.ย.!U161</f>
        <v>0</v>
      </c>
      <c r="V161" s="269">
        <f>+ก.ค.!V161+ส.ค.!V161+ก.ย.!V161</f>
        <v>0</v>
      </c>
      <c r="X161" s="221"/>
    </row>
    <row r="162" spans="1:26" s="310" customFormat="1" ht="25.5" customHeight="1">
      <c r="A162" s="9"/>
      <c r="B162" s="187" t="s">
        <v>372</v>
      </c>
      <c r="C162" s="279">
        <v>65000</v>
      </c>
      <c r="D162" s="131"/>
      <c r="E162" s="269">
        <f>+ก.ค.!E162+ส.ค.!E162+ก.ย.!E162</f>
        <v>0</v>
      </c>
      <c r="F162" s="269">
        <f>+ก.ค.!F162+ส.ค.!F162+ก.ย.!F162</f>
        <v>0</v>
      </c>
      <c r="G162" s="269">
        <f>+ก.ค.!G162+ส.ค.!G162+ก.ย.!G162</f>
        <v>0</v>
      </c>
      <c r="H162" s="269">
        <f>+ก.ค.!H162+ส.ค.!H162+ก.ย.!H162</f>
        <v>0</v>
      </c>
      <c r="I162" s="269">
        <f>+ก.ค.!I162+ส.ค.!I162+ก.ย.!I162</f>
        <v>0</v>
      </c>
      <c r="J162" s="269">
        <f>+ก.ค.!J162+ส.ค.!J162+ก.ย.!J162</f>
        <v>0</v>
      </c>
      <c r="K162" s="269">
        <f>+ก.ค.!K162+ส.ค.!K162+ก.ย.!K162</f>
        <v>0</v>
      </c>
      <c r="L162" s="269">
        <f>+ก.ค.!L162+ส.ค.!L162+ก.ย.!L162</f>
        <v>0</v>
      </c>
      <c r="M162" s="269">
        <f>+ก.ค.!M162+ส.ค.!M162+ก.ย.!M162</f>
        <v>0</v>
      </c>
      <c r="N162" s="269">
        <f>+ก.ค.!N162+ส.ค.!N162+ก.ย.!N162</f>
        <v>0</v>
      </c>
      <c r="O162" s="269">
        <f>+ก.ค.!O162+ส.ค.!O162+ก.ย.!O162</f>
        <v>0</v>
      </c>
      <c r="P162" s="269">
        <f>+ก.ค.!P162+ส.ค.!P162+ก.ย.!P162</f>
        <v>0</v>
      </c>
      <c r="Q162" s="269">
        <f>+ก.ค.!Q162+ส.ค.!Q162+ก.ย.!Q162</f>
        <v>0</v>
      </c>
      <c r="R162" s="269">
        <f>+ก.ค.!R162+ส.ค.!R162+ก.ย.!R162</f>
        <v>0</v>
      </c>
      <c r="S162" s="269">
        <f>+ก.ค.!S162+ส.ค.!S162+ก.ย.!S162</f>
        <v>0</v>
      </c>
      <c r="T162" s="269">
        <f>+ก.ค.!T162+ส.ค.!T162+ก.ย.!T162</f>
        <v>0</v>
      </c>
      <c r="U162" s="269">
        <f>+ก.ค.!U162+ส.ค.!U162+ก.ย.!U162</f>
        <v>0</v>
      </c>
      <c r="V162" s="269">
        <f>+ก.ค.!V162+ส.ค.!V162+ก.ย.!V162</f>
        <v>0</v>
      </c>
      <c r="X162" s="221"/>
    </row>
    <row r="163" spans="1:26" ht="25.5" customHeight="1">
      <c r="A163" s="9"/>
      <c r="B163" s="187" t="s">
        <v>373</v>
      </c>
      <c r="C163" s="279">
        <f>65000-65000</f>
        <v>0</v>
      </c>
      <c r="D163" s="131"/>
      <c r="E163" s="269">
        <f>+ก.ค.!E163+ส.ค.!E163+ก.ย.!E163</f>
        <v>0</v>
      </c>
      <c r="F163" s="269">
        <f>+ก.ค.!F163+ส.ค.!F163+ก.ย.!F163</f>
        <v>0</v>
      </c>
      <c r="G163" s="269">
        <f>+ก.ค.!G163+ส.ค.!G163+ก.ย.!G163</f>
        <v>0</v>
      </c>
      <c r="H163" s="269">
        <f>+ก.ค.!H163+ส.ค.!H163+ก.ย.!H163</f>
        <v>0</v>
      </c>
      <c r="I163" s="269">
        <f>+ก.ค.!I163+ส.ค.!I163+ก.ย.!I163</f>
        <v>0</v>
      </c>
      <c r="J163" s="269">
        <f>+ก.ค.!J163+ส.ค.!J163+ก.ย.!J163</f>
        <v>0</v>
      </c>
      <c r="K163" s="269">
        <f>+ก.ค.!K163+ส.ค.!K163+ก.ย.!K163</f>
        <v>0</v>
      </c>
      <c r="L163" s="269">
        <f>+ก.ค.!L163+ส.ค.!L163+ก.ย.!L163</f>
        <v>0</v>
      </c>
      <c r="M163" s="269">
        <f>+ก.ค.!M163+ส.ค.!M163+ก.ย.!M163</f>
        <v>0</v>
      </c>
      <c r="N163" s="269">
        <f>+ก.ค.!N163+ส.ค.!N163+ก.ย.!N163</f>
        <v>0</v>
      </c>
      <c r="O163" s="269">
        <f>+ก.ค.!O163+ส.ค.!O163+ก.ย.!O163</f>
        <v>0</v>
      </c>
      <c r="P163" s="269">
        <f>+ก.ค.!P163+ส.ค.!P163+ก.ย.!P163</f>
        <v>0</v>
      </c>
      <c r="Q163" s="269">
        <f>+ก.ค.!Q163+ส.ค.!Q163+ก.ย.!Q163</f>
        <v>0</v>
      </c>
      <c r="R163" s="269">
        <f>+ก.ค.!R163+ส.ค.!R163+ก.ย.!R163</f>
        <v>0</v>
      </c>
      <c r="S163" s="269">
        <f>+ก.ค.!S163+ส.ค.!S163+ก.ย.!S163</f>
        <v>0</v>
      </c>
      <c r="T163" s="269">
        <f>+ก.ค.!T163+ส.ค.!T163+ก.ย.!T163</f>
        <v>0</v>
      </c>
      <c r="U163" s="269">
        <f>+ก.ค.!U163+ส.ค.!U163+ก.ย.!U163</f>
        <v>0</v>
      </c>
      <c r="V163" s="269">
        <f>+ก.ค.!V163+ส.ค.!V163+ก.ย.!V163</f>
        <v>0</v>
      </c>
    </row>
    <row r="164" spans="1:26" ht="25.5" customHeight="1">
      <c r="A164" s="9"/>
      <c r="B164" s="187" t="s">
        <v>374</v>
      </c>
      <c r="C164" s="279">
        <v>20000</v>
      </c>
      <c r="D164" s="131"/>
      <c r="E164" s="269">
        <f>+ก.ค.!E164+ส.ค.!E164+ก.ย.!E164</f>
        <v>0</v>
      </c>
      <c r="F164" s="269">
        <f>+ก.ค.!F164+ส.ค.!F164+ก.ย.!F164</f>
        <v>0</v>
      </c>
      <c r="G164" s="269">
        <f>+ก.ค.!G164+ส.ค.!G164+ก.ย.!G164</f>
        <v>0</v>
      </c>
      <c r="H164" s="269">
        <f>+ก.ค.!H164+ส.ค.!H164+ก.ย.!H164</f>
        <v>0</v>
      </c>
      <c r="I164" s="269">
        <f>+ก.ค.!I164+ส.ค.!I164+ก.ย.!I164</f>
        <v>0</v>
      </c>
      <c r="J164" s="269">
        <f>+ก.ค.!J164+ส.ค.!J164+ก.ย.!J164</f>
        <v>0</v>
      </c>
      <c r="K164" s="269">
        <f>+ก.ค.!K164+ส.ค.!K164+ก.ย.!K164</f>
        <v>0</v>
      </c>
      <c r="L164" s="269">
        <f>+ก.ค.!L164+ส.ค.!L164+ก.ย.!L164</f>
        <v>0</v>
      </c>
      <c r="M164" s="269">
        <f>+ก.ค.!M164+ส.ค.!M164+ก.ย.!M164</f>
        <v>0</v>
      </c>
      <c r="N164" s="269">
        <f>+ก.ค.!N164+ส.ค.!N164+ก.ย.!N164</f>
        <v>0</v>
      </c>
      <c r="O164" s="269">
        <f>+ก.ค.!O164+ส.ค.!O164+ก.ย.!O164</f>
        <v>0</v>
      </c>
      <c r="P164" s="269">
        <f>+ก.ค.!P164+ส.ค.!P164+ก.ย.!P164</f>
        <v>0</v>
      </c>
      <c r="Q164" s="269">
        <f>+ก.ค.!Q164+ส.ค.!Q164+ก.ย.!Q164</f>
        <v>0</v>
      </c>
      <c r="R164" s="269">
        <f>+ก.ค.!R164+ส.ค.!R164+ก.ย.!R164</f>
        <v>0</v>
      </c>
      <c r="S164" s="269">
        <f>+ก.ค.!S164+ส.ค.!S164+ก.ย.!S164</f>
        <v>0</v>
      </c>
      <c r="T164" s="269">
        <f>+ก.ค.!T164+ส.ค.!T164+ก.ย.!T164</f>
        <v>0</v>
      </c>
      <c r="U164" s="269">
        <f>+ก.ค.!U164+ส.ค.!U164+ก.ย.!U164</f>
        <v>0</v>
      </c>
      <c r="V164" s="269">
        <f>+ก.ค.!V164+ส.ค.!V164+ก.ย.!V164</f>
        <v>0</v>
      </c>
    </row>
    <row r="165" spans="1:26" ht="25.5" customHeight="1">
      <c r="A165" s="9"/>
      <c r="B165" s="187" t="s">
        <v>375</v>
      </c>
      <c r="C165" s="279">
        <v>20000</v>
      </c>
      <c r="D165" s="131"/>
      <c r="E165" s="269">
        <f>+ก.ค.!E165+ส.ค.!E165+ก.ย.!E165</f>
        <v>0</v>
      </c>
      <c r="F165" s="269">
        <f>+ก.ค.!F165+ส.ค.!F165+ก.ย.!F165</f>
        <v>0</v>
      </c>
      <c r="G165" s="269">
        <f>+ก.ค.!G165+ส.ค.!G165+ก.ย.!G165</f>
        <v>0</v>
      </c>
      <c r="H165" s="269">
        <f>+ก.ค.!H165+ส.ค.!H165+ก.ย.!H165</f>
        <v>0</v>
      </c>
      <c r="I165" s="269">
        <f>+ก.ค.!I165+ส.ค.!I165+ก.ย.!I165</f>
        <v>0</v>
      </c>
      <c r="J165" s="269">
        <f>+ก.ค.!J165+ส.ค.!J165+ก.ย.!J165</f>
        <v>0</v>
      </c>
      <c r="K165" s="269">
        <f>+ก.ค.!K165+ส.ค.!K165+ก.ย.!K165</f>
        <v>0</v>
      </c>
      <c r="L165" s="269">
        <f>+ก.ค.!L165+ส.ค.!L165+ก.ย.!L165</f>
        <v>0</v>
      </c>
      <c r="M165" s="269">
        <f>+ก.ค.!M165+ส.ค.!M165+ก.ย.!M165</f>
        <v>0</v>
      </c>
      <c r="N165" s="269">
        <f>+ก.ค.!N165+ส.ค.!N165+ก.ย.!N165</f>
        <v>0</v>
      </c>
      <c r="O165" s="269">
        <f>+ก.ค.!O165+ส.ค.!O165+ก.ย.!O165</f>
        <v>0</v>
      </c>
      <c r="P165" s="269">
        <f>+ก.ค.!P165+ส.ค.!P165+ก.ย.!P165</f>
        <v>0</v>
      </c>
      <c r="Q165" s="269">
        <f>+ก.ค.!Q165+ส.ค.!Q165+ก.ย.!Q165</f>
        <v>0</v>
      </c>
      <c r="R165" s="269">
        <f>+ก.ค.!R165+ส.ค.!R165+ก.ย.!R165</f>
        <v>0</v>
      </c>
      <c r="S165" s="269">
        <f>+ก.ค.!S165+ส.ค.!S165+ก.ย.!S165</f>
        <v>16000</v>
      </c>
      <c r="T165" s="269">
        <f>+ก.ค.!T165+ส.ค.!T165+ก.ย.!T165</f>
        <v>0</v>
      </c>
      <c r="U165" s="269">
        <f>+ก.ค.!U165+ส.ค.!U165+ก.ย.!U165</f>
        <v>0</v>
      </c>
      <c r="V165" s="269">
        <f>+ก.ค.!V165+ส.ค.!V165+ก.ย.!V165</f>
        <v>0</v>
      </c>
    </row>
    <row r="166" spans="1:26" ht="25.5" customHeight="1">
      <c r="A166" s="9"/>
      <c r="B166" s="187" t="s">
        <v>376</v>
      </c>
      <c r="C166" s="279">
        <v>25000</v>
      </c>
      <c r="D166" s="131"/>
      <c r="E166" s="269">
        <f>+ก.ค.!E166+ส.ค.!E166+ก.ย.!E166</f>
        <v>0</v>
      </c>
      <c r="F166" s="269">
        <f>+ก.ค.!F166+ส.ค.!F166+ก.ย.!F166</f>
        <v>0</v>
      </c>
      <c r="G166" s="269">
        <f>+ก.ค.!G166+ส.ค.!G166+ก.ย.!G166</f>
        <v>0</v>
      </c>
      <c r="H166" s="269">
        <f>+ก.ค.!H166+ส.ค.!H166+ก.ย.!H166</f>
        <v>0</v>
      </c>
      <c r="I166" s="269">
        <f>+ก.ค.!I166+ส.ค.!I166+ก.ย.!I166</f>
        <v>0</v>
      </c>
      <c r="J166" s="269">
        <f>+ก.ค.!J166+ส.ค.!J166+ก.ย.!J166</f>
        <v>0</v>
      </c>
      <c r="K166" s="269">
        <f>+ก.ค.!K166+ส.ค.!K166+ก.ย.!K166</f>
        <v>0</v>
      </c>
      <c r="L166" s="269">
        <f>+ก.ค.!L166+ส.ค.!L166+ก.ย.!L166</f>
        <v>0</v>
      </c>
      <c r="M166" s="269">
        <f>+ก.ค.!M166+ส.ค.!M166+ก.ย.!M166</f>
        <v>0</v>
      </c>
      <c r="N166" s="269">
        <f>+ก.ค.!N166+ส.ค.!N166+ก.ย.!N166</f>
        <v>0</v>
      </c>
      <c r="O166" s="269">
        <f>+ก.ค.!O166+ส.ค.!O166+ก.ย.!O166</f>
        <v>0</v>
      </c>
      <c r="P166" s="269">
        <f>+ก.ค.!P166+ส.ค.!P166+ก.ย.!P166</f>
        <v>0</v>
      </c>
      <c r="Q166" s="269">
        <f>+ก.ค.!Q166+ส.ค.!Q166+ก.ย.!Q166</f>
        <v>0</v>
      </c>
      <c r="R166" s="269">
        <f>+ก.ค.!R166+ส.ค.!R166+ก.ย.!R166</f>
        <v>0</v>
      </c>
      <c r="S166" s="269">
        <f>+ก.ค.!S166+ส.ค.!S166+ก.ย.!S166</f>
        <v>0</v>
      </c>
      <c r="T166" s="269">
        <f>+ก.ค.!T166+ส.ค.!T166+ก.ย.!T166</f>
        <v>0</v>
      </c>
      <c r="U166" s="269">
        <f>+ก.ค.!U166+ส.ค.!U166+ก.ย.!U166</f>
        <v>0</v>
      </c>
      <c r="V166" s="269">
        <f>+ก.ค.!V166+ส.ค.!V166+ก.ย.!V166</f>
        <v>0</v>
      </c>
    </row>
    <row r="167" spans="1:26" ht="25.5" customHeight="1">
      <c r="A167" s="9"/>
      <c r="B167" s="187" t="s">
        <v>377</v>
      </c>
      <c r="C167" s="279">
        <v>20000</v>
      </c>
      <c r="D167" s="131"/>
      <c r="E167" s="269">
        <f>+ก.ค.!E167+ส.ค.!E167+ก.ย.!E167</f>
        <v>0</v>
      </c>
      <c r="F167" s="269">
        <f>+ก.ค.!F167+ส.ค.!F167+ก.ย.!F167</f>
        <v>0</v>
      </c>
      <c r="G167" s="269">
        <f>+ก.ค.!G167+ส.ค.!G167+ก.ย.!G167</f>
        <v>0</v>
      </c>
      <c r="H167" s="269">
        <f>+ก.ค.!H167+ส.ค.!H167+ก.ย.!H167</f>
        <v>0</v>
      </c>
      <c r="I167" s="269">
        <f>+ก.ค.!I167+ส.ค.!I167+ก.ย.!I167</f>
        <v>0</v>
      </c>
      <c r="J167" s="269">
        <f>+ก.ค.!J167+ส.ค.!J167+ก.ย.!J167</f>
        <v>0</v>
      </c>
      <c r="K167" s="269">
        <f>+ก.ค.!K167+ส.ค.!K167+ก.ย.!K167</f>
        <v>0</v>
      </c>
      <c r="L167" s="269">
        <f>+ก.ค.!L167+ส.ค.!L167+ก.ย.!L167</f>
        <v>0</v>
      </c>
      <c r="M167" s="269">
        <f>+ก.ค.!M167+ส.ค.!M167+ก.ย.!M167</f>
        <v>0</v>
      </c>
      <c r="N167" s="269">
        <f>+ก.ค.!N167+ส.ค.!N167+ก.ย.!N167</f>
        <v>0</v>
      </c>
      <c r="O167" s="269">
        <f>+ก.ค.!O167+ส.ค.!O167+ก.ย.!O167</f>
        <v>0</v>
      </c>
      <c r="P167" s="269">
        <f>+ก.ค.!P167+ส.ค.!P167+ก.ย.!P167</f>
        <v>0</v>
      </c>
      <c r="Q167" s="269">
        <f>+ก.ค.!Q167+ส.ค.!Q167+ก.ย.!Q167</f>
        <v>0</v>
      </c>
      <c r="R167" s="269">
        <f>+ก.ค.!R167+ส.ค.!R167+ก.ย.!R167</f>
        <v>0</v>
      </c>
      <c r="S167" s="269">
        <f>+ก.ค.!S167+ส.ค.!S167+ก.ย.!S167</f>
        <v>0</v>
      </c>
      <c r="T167" s="269">
        <f>+ก.ค.!T167+ส.ค.!T167+ก.ย.!T167</f>
        <v>18000</v>
      </c>
      <c r="U167" s="269">
        <f>+ก.ค.!U167+ส.ค.!U167+ก.ย.!U167</f>
        <v>0</v>
      </c>
      <c r="V167" s="269">
        <f>+ก.ค.!V167+ส.ค.!V167+ก.ย.!V167</f>
        <v>0</v>
      </c>
    </row>
    <row r="168" spans="1:26" ht="25.5" customHeight="1">
      <c r="A168" s="9"/>
      <c r="B168" s="187" t="s">
        <v>267</v>
      </c>
      <c r="C168" s="279">
        <v>15000</v>
      </c>
      <c r="D168" s="131"/>
      <c r="E168" s="269">
        <f>+ก.ค.!E168+ส.ค.!E168+ก.ย.!E168</f>
        <v>0</v>
      </c>
      <c r="F168" s="269">
        <f>+ก.ค.!F168+ส.ค.!F168+ก.ย.!F168</f>
        <v>0</v>
      </c>
      <c r="G168" s="269">
        <f>+ก.ค.!G168+ส.ค.!G168+ก.ย.!G168</f>
        <v>0</v>
      </c>
      <c r="H168" s="269">
        <f>+ก.ค.!H168+ส.ค.!H168+ก.ย.!H168</f>
        <v>0</v>
      </c>
      <c r="I168" s="269">
        <f>+ก.ค.!I168+ส.ค.!I168+ก.ย.!I168</f>
        <v>0</v>
      </c>
      <c r="J168" s="269">
        <f>+ก.ค.!J168+ส.ค.!J168+ก.ย.!J168</f>
        <v>0</v>
      </c>
      <c r="K168" s="269">
        <f>+ก.ค.!K168+ส.ค.!K168+ก.ย.!K168</f>
        <v>0</v>
      </c>
      <c r="L168" s="269">
        <f>+ก.ค.!L168+ส.ค.!L168+ก.ย.!L168</f>
        <v>0</v>
      </c>
      <c r="M168" s="269">
        <f>+ก.ค.!M168+ส.ค.!M168+ก.ย.!M168</f>
        <v>0</v>
      </c>
      <c r="N168" s="269">
        <f>+ก.ค.!N168+ส.ค.!N168+ก.ย.!N168</f>
        <v>0</v>
      </c>
      <c r="O168" s="269">
        <f>+ก.ค.!O168+ส.ค.!O168+ก.ย.!O168</f>
        <v>0</v>
      </c>
      <c r="P168" s="269">
        <f>+ก.ค.!P168+ส.ค.!P168+ก.ย.!P168</f>
        <v>0</v>
      </c>
      <c r="Q168" s="269">
        <f>+ก.ค.!Q168+ส.ค.!Q168+ก.ย.!Q168</f>
        <v>0</v>
      </c>
      <c r="R168" s="269">
        <f>+ก.ค.!R168+ส.ค.!R168+ก.ย.!R168</f>
        <v>0</v>
      </c>
      <c r="S168" s="269">
        <f>+ก.ค.!S168+ส.ค.!S168+ก.ย.!S168</f>
        <v>0</v>
      </c>
      <c r="T168" s="269">
        <f>+ก.ค.!T168+ส.ค.!T168+ก.ย.!T168</f>
        <v>0</v>
      </c>
      <c r="U168" s="269">
        <f>+ก.ค.!U168+ส.ค.!U168+ก.ย.!U168</f>
        <v>0</v>
      </c>
      <c r="V168" s="269">
        <f>+ก.ค.!V168+ส.ค.!V168+ก.ย.!V168</f>
        <v>0</v>
      </c>
    </row>
    <row r="169" spans="1:26" ht="25.5" customHeight="1">
      <c r="A169" s="9"/>
      <c r="B169" s="187" t="s">
        <v>215</v>
      </c>
      <c r="C169" s="279">
        <v>10000</v>
      </c>
      <c r="D169" s="131"/>
      <c r="E169" s="269">
        <f>+ก.ค.!E169+ส.ค.!E169+ก.ย.!E169</f>
        <v>0</v>
      </c>
      <c r="F169" s="269">
        <f>+ก.ค.!F169+ส.ค.!F169+ก.ย.!F169</f>
        <v>0</v>
      </c>
      <c r="G169" s="269">
        <f>+ก.ค.!G169+ส.ค.!G169+ก.ย.!G169</f>
        <v>0</v>
      </c>
      <c r="H169" s="269">
        <f>+ก.ค.!H169+ส.ค.!H169+ก.ย.!H169</f>
        <v>0</v>
      </c>
      <c r="I169" s="269">
        <f>+ก.ค.!I169+ส.ค.!I169+ก.ย.!I169</f>
        <v>0</v>
      </c>
      <c r="J169" s="269">
        <f>+ก.ค.!J169+ส.ค.!J169+ก.ย.!J169</f>
        <v>0</v>
      </c>
      <c r="K169" s="269">
        <f>+ก.ค.!K169+ส.ค.!K169+ก.ย.!K169</f>
        <v>0</v>
      </c>
      <c r="L169" s="269">
        <f>+ก.ค.!L169+ส.ค.!L169+ก.ย.!L169</f>
        <v>0</v>
      </c>
      <c r="M169" s="269">
        <f>+ก.ค.!M169+ส.ค.!M169+ก.ย.!M169</f>
        <v>0</v>
      </c>
      <c r="N169" s="269">
        <f>+ก.ค.!N169+ส.ค.!N169+ก.ย.!N169</f>
        <v>0</v>
      </c>
      <c r="O169" s="269">
        <f>+ก.ค.!O169+ส.ค.!O169+ก.ย.!O169</f>
        <v>0</v>
      </c>
      <c r="P169" s="269">
        <f>+ก.ค.!P169+ส.ค.!P169+ก.ย.!P169</f>
        <v>0</v>
      </c>
      <c r="Q169" s="269">
        <f>+ก.ค.!Q169+ส.ค.!Q169+ก.ย.!Q169</f>
        <v>0</v>
      </c>
      <c r="R169" s="269">
        <f>+ก.ค.!R169+ส.ค.!R169+ก.ย.!R169</f>
        <v>0</v>
      </c>
      <c r="S169" s="269">
        <f>+ก.ค.!S169+ส.ค.!S169+ก.ย.!S169</f>
        <v>0</v>
      </c>
      <c r="T169" s="269">
        <f>+ก.ค.!T169+ส.ค.!T169+ก.ย.!T169</f>
        <v>0</v>
      </c>
      <c r="U169" s="269">
        <f>+ก.ค.!U169+ส.ค.!U169+ก.ย.!U169</f>
        <v>0</v>
      </c>
      <c r="V169" s="269">
        <f>+ก.ค.!V169+ส.ค.!V169+ก.ย.!V169</f>
        <v>10000</v>
      </c>
      <c r="W169" s="528"/>
    </row>
    <row r="170" spans="1:26" ht="25.5" customHeight="1">
      <c r="A170" s="9"/>
      <c r="B170" s="187" t="s">
        <v>268</v>
      </c>
      <c r="C170" s="279">
        <v>5000</v>
      </c>
      <c r="D170" s="131"/>
      <c r="E170" s="269">
        <f>+ก.ค.!E170+ส.ค.!E170+ก.ย.!E170</f>
        <v>0</v>
      </c>
      <c r="F170" s="269">
        <f>+ก.ค.!F170+ส.ค.!F170+ก.ย.!F170</f>
        <v>0</v>
      </c>
      <c r="G170" s="269">
        <f>+ก.ค.!G170+ส.ค.!G170+ก.ย.!G170</f>
        <v>0</v>
      </c>
      <c r="H170" s="269">
        <f>+ก.ค.!H170+ส.ค.!H170+ก.ย.!H170</f>
        <v>0</v>
      </c>
      <c r="I170" s="269">
        <f>+ก.ค.!I170+ส.ค.!I170+ก.ย.!I170</f>
        <v>0</v>
      </c>
      <c r="J170" s="269">
        <f>+ก.ค.!J170+ส.ค.!J170+ก.ย.!J170</f>
        <v>0</v>
      </c>
      <c r="K170" s="269">
        <f>+ก.ค.!K170+ส.ค.!K170+ก.ย.!K170</f>
        <v>0</v>
      </c>
      <c r="L170" s="269">
        <f>+ก.ค.!L170+ส.ค.!L170+ก.ย.!L170</f>
        <v>0</v>
      </c>
      <c r="M170" s="269">
        <f>+ก.ค.!M170+ส.ค.!M170+ก.ย.!M170</f>
        <v>0</v>
      </c>
      <c r="N170" s="269">
        <f>+ก.ค.!N170+ส.ค.!N170+ก.ย.!N170</f>
        <v>0</v>
      </c>
      <c r="O170" s="269">
        <f>+ก.ค.!O170+ส.ค.!O170+ก.ย.!O170</f>
        <v>0</v>
      </c>
      <c r="P170" s="269">
        <f>+ก.ค.!P170+ส.ค.!P170+ก.ย.!P170</f>
        <v>0</v>
      </c>
      <c r="Q170" s="269">
        <f>+ก.ค.!Q170+ส.ค.!Q170+ก.ย.!Q170</f>
        <v>0</v>
      </c>
      <c r="R170" s="269">
        <f>+ก.ค.!R170+ส.ค.!R170+ก.ย.!R170</f>
        <v>0</v>
      </c>
      <c r="S170" s="269">
        <f>+ก.ค.!S170+ส.ค.!S170+ก.ย.!S170</f>
        <v>0</v>
      </c>
      <c r="T170" s="269">
        <f>+ก.ค.!T170+ส.ค.!T170+ก.ย.!T170</f>
        <v>0</v>
      </c>
      <c r="U170" s="269">
        <f>+ก.ค.!U170+ส.ค.!U170+ก.ย.!U170</f>
        <v>0</v>
      </c>
      <c r="V170" s="269">
        <f>+ก.ค.!V170+ส.ค.!V170+ก.ย.!V170</f>
        <v>0</v>
      </c>
    </row>
    <row r="171" spans="1:26" ht="25.5" customHeight="1">
      <c r="A171" s="9"/>
      <c r="B171" s="187" t="s">
        <v>413</v>
      </c>
      <c r="C171" s="279">
        <v>140000</v>
      </c>
      <c r="D171" s="131"/>
      <c r="E171" s="269">
        <f>+ก.ค.!E171+ส.ค.!E171+ก.ย.!E171</f>
        <v>0</v>
      </c>
      <c r="F171" s="269">
        <f>+ก.ค.!F171+ส.ค.!F171+ก.ย.!F171</f>
        <v>0</v>
      </c>
      <c r="G171" s="269">
        <f>+ก.ค.!G171+ส.ค.!G171+ก.ย.!G171</f>
        <v>0</v>
      </c>
      <c r="H171" s="269">
        <f>+ก.ค.!H171+ส.ค.!H171+ก.ย.!H171</f>
        <v>0</v>
      </c>
      <c r="I171" s="269">
        <f>+ก.ค.!I171+ส.ค.!I171+ก.ย.!I171</f>
        <v>0</v>
      </c>
      <c r="J171" s="269">
        <f>+ก.ค.!J171+ส.ค.!J171+ก.ย.!J171</f>
        <v>0</v>
      </c>
      <c r="K171" s="269">
        <f>+ก.ค.!K171+ส.ค.!K171+ก.ย.!K171</f>
        <v>0</v>
      </c>
      <c r="L171" s="269">
        <f>+ก.ค.!L171+ส.ค.!L171+ก.ย.!L171</f>
        <v>0</v>
      </c>
      <c r="M171" s="269">
        <f>+ก.ค.!M171+ส.ค.!M171+ก.ย.!M171</f>
        <v>0</v>
      </c>
      <c r="N171" s="269">
        <f>+ก.ค.!N171+ส.ค.!N171+ก.ย.!N171</f>
        <v>0</v>
      </c>
      <c r="O171" s="269">
        <f>+ก.ค.!O171+ส.ค.!O171+ก.ย.!O171</f>
        <v>0</v>
      </c>
      <c r="P171" s="269">
        <f>+ก.ค.!P171+ส.ค.!P171+ก.ย.!P171</f>
        <v>0</v>
      </c>
      <c r="Q171" s="269">
        <f>+ก.ค.!Q171+ส.ค.!Q171+ก.ย.!Q171</f>
        <v>0</v>
      </c>
      <c r="R171" s="269">
        <f>+ก.ค.!R171+ส.ค.!R171+ก.ย.!R171</f>
        <v>0</v>
      </c>
      <c r="S171" s="269">
        <f>+ก.ค.!S171+ส.ค.!S171+ก.ย.!S171</f>
        <v>0</v>
      </c>
      <c r="T171" s="269">
        <f>+ก.ค.!T171+ส.ค.!T171+ก.ย.!T171</f>
        <v>0</v>
      </c>
      <c r="U171" s="269">
        <f>+ก.ค.!U171+ส.ค.!U171+ก.ย.!U171</f>
        <v>0</v>
      </c>
      <c r="V171" s="269">
        <f>+ก.ค.!V171+ส.ค.!V171+ก.ย.!V171</f>
        <v>0</v>
      </c>
      <c r="W171" s="321"/>
    </row>
    <row r="172" spans="1:26" ht="25.5" customHeight="1">
      <c r="A172" s="9"/>
      <c r="B172" s="187" t="s">
        <v>414</v>
      </c>
      <c r="C172" s="279">
        <v>40000</v>
      </c>
      <c r="D172" s="131"/>
      <c r="E172" s="269">
        <f>+ก.ค.!E172+ส.ค.!E172+ก.ย.!E172</f>
        <v>0</v>
      </c>
      <c r="F172" s="269">
        <f>+ก.ค.!F172+ส.ค.!F172+ก.ย.!F172</f>
        <v>0</v>
      </c>
      <c r="G172" s="269">
        <f>+ก.ค.!G172+ส.ค.!G172+ก.ย.!G172</f>
        <v>0</v>
      </c>
      <c r="H172" s="269">
        <f>+ก.ค.!H172+ส.ค.!H172+ก.ย.!H172</f>
        <v>0</v>
      </c>
      <c r="I172" s="269">
        <f>+ก.ค.!I172+ส.ค.!I172+ก.ย.!I172</f>
        <v>0</v>
      </c>
      <c r="J172" s="269">
        <f>+ก.ค.!J172+ส.ค.!J172+ก.ย.!J172</f>
        <v>0</v>
      </c>
      <c r="K172" s="269">
        <f>+ก.ค.!K172+ส.ค.!K172+ก.ย.!K172</f>
        <v>0</v>
      </c>
      <c r="L172" s="269">
        <f>+ก.ค.!L172+ส.ค.!L172+ก.ย.!L172</f>
        <v>0</v>
      </c>
      <c r="M172" s="269">
        <f>+ก.ค.!M172+ส.ค.!M172+ก.ย.!M172</f>
        <v>0</v>
      </c>
      <c r="N172" s="269">
        <f>+ก.ค.!N172+ส.ค.!N172+ก.ย.!N172</f>
        <v>0</v>
      </c>
      <c r="O172" s="269">
        <f>+ก.ค.!O172+ส.ค.!O172+ก.ย.!O172</f>
        <v>0</v>
      </c>
      <c r="P172" s="269">
        <f>+ก.ค.!P172+ส.ค.!P172+ก.ย.!P172</f>
        <v>0</v>
      </c>
      <c r="Q172" s="269">
        <f>+ก.ค.!Q172+ส.ค.!Q172+ก.ย.!Q172</f>
        <v>0</v>
      </c>
      <c r="R172" s="269">
        <f>+ก.ค.!R172+ส.ค.!R172+ก.ย.!R172</f>
        <v>0</v>
      </c>
      <c r="S172" s="269">
        <f>+ก.ค.!S172+ส.ค.!S172+ก.ย.!S172</f>
        <v>0</v>
      </c>
      <c r="T172" s="269">
        <f>+ก.ค.!T172+ส.ค.!T172+ก.ย.!T172</f>
        <v>0</v>
      </c>
      <c r="U172" s="269">
        <f>+ก.ค.!U172+ส.ค.!U172+ก.ย.!U172</f>
        <v>0</v>
      </c>
      <c r="V172" s="269">
        <f>+ก.ค.!V172+ส.ค.!V172+ก.ย.!V172</f>
        <v>0</v>
      </c>
    </row>
    <row r="173" spans="1:26" ht="25.5" customHeight="1">
      <c r="A173" s="9"/>
      <c r="B173" s="187" t="s">
        <v>415</v>
      </c>
      <c r="C173" s="279">
        <v>20000</v>
      </c>
      <c r="D173" s="131"/>
      <c r="E173" s="269">
        <f>+ก.ค.!E173+ส.ค.!E173+ก.ย.!E173</f>
        <v>0</v>
      </c>
      <c r="F173" s="269">
        <f>+ก.ค.!F173+ส.ค.!F173+ก.ย.!F173</f>
        <v>0</v>
      </c>
      <c r="G173" s="269">
        <f>+ก.ค.!G173+ส.ค.!G173+ก.ย.!G173</f>
        <v>0</v>
      </c>
      <c r="H173" s="269">
        <f>+ก.ค.!H173+ส.ค.!H173+ก.ย.!H173</f>
        <v>0</v>
      </c>
      <c r="I173" s="269">
        <f>+ก.ค.!I173+ส.ค.!I173+ก.ย.!I173</f>
        <v>0</v>
      </c>
      <c r="J173" s="269">
        <f>+ก.ค.!J173+ส.ค.!J173+ก.ย.!J173</f>
        <v>0</v>
      </c>
      <c r="K173" s="269">
        <f>+ก.ค.!K173+ส.ค.!K173+ก.ย.!K173</f>
        <v>0</v>
      </c>
      <c r="L173" s="269">
        <f>+ก.ค.!L173+ส.ค.!L173+ก.ย.!L173</f>
        <v>0</v>
      </c>
      <c r="M173" s="269">
        <f>+ก.ค.!M173+ส.ค.!M173+ก.ย.!M173</f>
        <v>0</v>
      </c>
      <c r="N173" s="269">
        <f>+ก.ค.!N173+ส.ค.!N173+ก.ย.!N173</f>
        <v>0</v>
      </c>
      <c r="O173" s="269">
        <f>+ก.ค.!O173+ส.ค.!O173+ก.ย.!O173</f>
        <v>0</v>
      </c>
      <c r="P173" s="269">
        <f>+ก.ค.!P173+ส.ค.!P173+ก.ย.!P173</f>
        <v>0</v>
      </c>
      <c r="Q173" s="269">
        <f>+ก.ค.!Q173+ส.ค.!Q173+ก.ย.!Q173</f>
        <v>0</v>
      </c>
      <c r="R173" s="269">
        <f>+ก.ค.!R173+ส.ค.!R173+ก.ย.!R173</f>
        <v>0</v>
      </c>
      <c r="S173" s="269">
        <f>+ก.ค.!S173+ส.ค.!S173+ก.ย.!S173</f>
        <v>0</v>
      </c>
      <c r="T173" s="269">
        <f>+ก.ค.!T173+ส.ค.!T173+ก.ย.!T173</f>
        <v>0</v>
      </c>
      <c r="U173" s="269">
        <f>+ก.ค.!U173+ส.ค.!U173+ก.ย.!U173</f>
        <v>0</v>
      </c>
      <c r="V173" s="269">
        <f>+ก.ค.!V173+ส.ค.!V173+ก.ย.!V173</f>
        <v>0</v>
      </c>
      <c r="W173" s="321"/>
    </row>
    <row r="174" spans="1:26" ht="25.5" customHeight="1">
      <c r="A174" s="9"/>
      <c r="B174" s="187"/>
      <c r="C174" s="279"/>
      <c r="D174" s="131"/>
      <c r="E174" s="269">
        <f>+ก.ค.!E174+ส.ค.!E174+ก.ย.!E174</f>
        <v>0</v>
      </c>
      <c r="F174" s="269">
        <f>+ก.ค.!F174+ส.ค.!F174+ก.ย.!F174</f>
        <v>0</v>
      </c>
      <c r="G174" s="269">
        <f>+ก.ค.!G174+ส.ค.!G174+ก.ย.!G174</f>
        <v>0</v>
      </c>
      <c r="H174" s="269">
        <f>+ก.ค.!H174+ส.ค.!H174+ก.ย.!H174</f>
        <v>0</v>
      </c>
      <c r="I174" s="269">
        <f>+ก.ค.!I174+ส.ค.!I174+ก.ย.!I174</f>
        <v>0</v>
      </c>
      <c r="J174" s="269">
        <f>+ก.ค.!J174+ส.ค.!J174+ก.ย.!J174</f>
        <v>0</v>
      </c>
      <c r="K174" s="269">
        <f>+ก.ค.!K174+ส.ค.!K174+ก.ย.!K174</f>
        <v>0</v>
      </c>
      <c r="L174" s="269">
        <f>+ก.ค.!L174+ส.ค.!L174+ก.ย.!L174</f>
        <v>0</v>
      </c>
      <c r="M174" s="269">
        <f>+ก.ค.!M174+ส.ค.!M174+ก.ย.!M174</f>
        <v>0</v>
      </c>
      <c r="N174" s="269">
        <f>+ก.ค.!N174+ส.ค.!N174+ก.ย.!N174</f>
        <v>0</v>
      </c>
      <c r="O174" s="269">
        <f>+ก.ค.!O174+ส.ค.!O174+ก.ย.!O174</f>
        <v>0</v>
      </c>
      <c r="P174" s="269">
        <f>+ก.ค.!P174+ส.ค.!P174+ก.ย.!P174</f>
        <v>0</v>
      </c>
      <c r="Q174" s="269">
        <f>+ก.ค.!Q174+ส.ค.!Q174+ก.ย.!Q174</f>
        <v>0</v>
      </c>
      <c r="R174" s="269">
        <f>+ก.ค.!R174+ส.ค.!R174+ก.ย.!R174</f>
        <v>0</v>
      </c>
      <c r="S174" s="269">
        <f>+ก.ค.!S174+ส.ค.!S174+ก.ย.!S174</f>
        <v>0</v>
      </c>
      <c r="T174" s="269">
        <f>+ก.ค.!T174+ส.ค.!T174+ก.ย.!T174</f>
        <v>0</v>
      </c>
      <c r="U174" s="269">
        <f>+ก.ค.!U174+ส.ค.!U174+ก.ย.!U174</f>
        <v>0</v>
      </c>
      <c r="V174" s="269">
        <f>+ก.ค.!V174+ส.ค.!V174+ก.ย.!V174</f>
        <v>0</v>
      </c>
    </row>
    <row r="175" spans="1:26" ht="25.5" customHeight="1">
      <c r="A175" s="9"/>
      <c r="B175" s="187" t="s">
        <v>441</v>
      </c>
      <c r="C175" s="279">
        <v>60000</v>
      </c>
      <c r="D175" s="131">
        <f>+ก.ย.!D175</f>
        <v>0</v>
      </c>
      <c r="E175" s="131">
        <f>+ก.ย.!E175</f>
        <v>0</v>
      </c>
      <c r="F175" s="131">
        <f>+ก.ย.!F175</f>
        <v>0</v>
      </c>
      <c r="G175" s="131">
        <f>+ก.ย.!G175</f>
        <v>0</v>
      </c>
      <c r="H175" s="131">
        <f>+ก.ย.!H175</f>
        <v>0</v>
      </c>
      <c r="I175" s="131">
        <f>+ก.ย.!I175</f>
        <v>0</v>
      </c>
      <c r="J175" s="131">
        <f>+ก.ย.!J175</f>
        <v>0</v>
      </c>
      <c r="K175" s="131">
        <f>+ก.ย.!K175</f>
        <v>59331</v>
      </c>
      <c r="L175" s="131">
        <f>+ก.ย.!L175</f>
        <v>0</v>
      </c>
      <c r="M175" s="131">
        <f>+ก.ย.!M175</f>
        <v>0</v>
      </c>
      <c r="N175" s="131">
        <f>+ก.ย.!N175</f>
        <v>0</v>
      </c>
      <c r="O175" s="131">
        <f>+ก.ย.!O175</f>
        <v>0</v>
      </c>
      <c r="P175" s="131">
        <f>+ก.ย.!P175</f>
        <v>0</v>
      </c>
      <c r="Q175" s="131">
        <f>+ก.ย.!Q175</f>
        <v>0</v>
      </c>
      <c r="R175" s="131">
        <f>+ก.ย.!R175</f>
        <v>0</v>
      </c>
      <c r="S175" s="131">
        <f>+ก.ย.!S175</f>
        <v>0</v>
      </c>
      <c r="T175" s="131">
        <f>+ก.ย.!T175</f>
        <v>0</v>
      </c>
      <c r="U175" s="131">
        <f>+ก.ย.!U175</f>
        <v>0</v>
      </c>
      <c r="V175" s="131">
        <f>+ก.ย.!V175</f>
        <v>0</v>
      </c>
      <c r="Z175" s="614">
        <f>+W176-'ไตรมาส งป.2561 ok'!G176</f>
        <v>59331</v>
      </c>
    </row>
    <row r="176" spans="1:26" ht="25.5" customHeight="1" thickBot="1">
      <c r="A176" s="15"/>
      <c r="B176" s="14" t="s">
        <v>5</v>
      </c>
      <c r="C176" s="170">
        <f>SUM(C51:C175)</f>
        <v>6334300</v>
      </c>
      <c r="D176" s="255">
        <f t="shared" ref="D176:U176" si="4">SUM(D51:D175)</f>
        <v>0</v>
      </c>
      <c r="E176" s="254">
        <f>SUM(E51:E175)</f>
        <v>747802.31</v>
      </c>
      <c r="F176" s="254">
        <f>SUM(F51:F175)</f>
        <v>46462</v>
      </c>
      <c r="G176" s="254">
        <f>SUM(G51:G175)</f>
        <v>326246</v>
      </c>
      <c r="H176" s="254">
        <f>SUM(H51:H175)</f>
        <v>261660</v>
      </c>
      <c r="I176" s="255">
        <f>SUM(I51:I175)</f>
        <v>263280</v>
      </c>
      <c r="J176" s="255">
        <f t="shared" si="4"/>
        <v>39998</v>
      </c>
      <c r="K176" s="254">
        <f>SUM(K51:K175)</f>
        <v>60821.32</v>
      </c>
      <c r="L176" s="255">
        <f t="shared" si="4"/>
        <v>0</v>
      </c>
      <c r="M176" s="254">
        <f>SUM(M51:M175)</f>
        <v>158790</v>
      </c>
      <c r="N176" s="255">
        <f t="shared" si="4"/>
        <v>0</v>
      </c>
      <c r="O176" s="255">
        <f t="shared" si="4"/>
        <v>0</v>
      </c>
      <c r="P176" s="255">
        <f>SUM(P51:P175)</f>
        <v>14395</v>
      </c>
      <c r="Q176" s="255">
        <f t="shared" si="4"/>
        <v>0</v>
      </c>
      <c r="R176" s="255">
        <f t="shared" si="4"/>
        <v>0</v>
      </c>
      <c r="S176" s="255">
        <f t="shared" si="4"/>
        <v>30984</v>
      </c>
      <c r="T176" s="255">
        <f>SUM(T164:T175)</f>
        <v>18000</v>
      </c>
      <c r="U176" s="255">
        <f t="shared" si="4"/>
        <v>0</v>
      </c>
      <c r="V176" s="255">
        <f>SUM(V51:V175)</f>
        <v>10000</v>
      </c>
      <c r="W176" s="314">
        <f>SUM(D176:V176)</f>
        <v>1978438.6300000001</v>
      </c>
    </row>
    <row r="177" spans="1:24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6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4" ht="25.5" customHeight="1">
      <c r="A178" s="9"/>
      <c r="B178" s="130" t="s">
        <v>111</v>
      </c>
      <c r="C178" s="216">
        <f>50000+25000+5000+25000+10000+10000-8000</f>
        <v>117000</v>
      </c>
      <c r="D178" s="131"/>
      <c r="E178" s="267">
        <f>+ก.ค.!E178+ส.ค.!E178+ก.ย.!E178</f>
        <v>43941</v>
      </c>
      <c r="F178" s="267">
        <f>+ก.ค.!F178+ส.ค.!F178+ก.ย.!F178</f>
        <v>7430</v>
      </c>
      <c r="G178" s="267">
        <f>+ก.ค.!G178+ส.ค.!G178+ก.ย.!G178</f>
        <v>0</v>
      </c>
      <c r="H178" s="267">
        <f>+ก.ค.!H178+ส.ค.!H178+ก.ย.!H178</f>
        <v>8834</v>
      </c>
      <c r="I178" s="267">
        <f>+ก.ค.!I178+ส.ค.!I178+ก.ย.!I178</f>
        <v>0</v>
      </c>
      <c r="J178" s="267">
        <f>+ก.ค.!J178+ส.ค.!J178+ก.ย.!J178</f>
        <v>0</v>
      </c>
      <c r="K178" s="267">
        <f>+ก.ค.!K178+ส.ค.!K178+ก.ย.!K178</f>
        <v>0</v>
      </c>
      <c r="L178" s="267">
        <f>+ก.ค.!L178+ส.ค.!L178+ก.ย.!L178</f>
        <v>0</v>
      </c>
      <c r="M178" s="267">
        <f>+ก.ค.!M178+ส.ค.!M178+ก.ย.!M178</f>
        <v>10609</v>
      </c>
      <c r="N178" s="267">
        <f>+ก.ค.!N178+ส.ค.!N178+ก.ย.!N178</f>
        <v>0</v>
      </c>
      <c r="O178" s="267">
        <f>+ก.ค.!O178+ส.ค.!O178+ก.ย.!O178</f>
        <v>0</v>
      </c>
      <c r="P178" s="267">
        <f>+ก.ค.!P178+ส.ค.!P178+ก.ย.!P178</f>
        <v>0</v>
      </c>
      <c r="Q178" s="267">
        <f>+ก.ค.!Q178+ส.ค.!Q178+ก.ย.!Q178</f>
        <v>0</v>
      </c>
      <c r="R178" s="267">
        <f>+ก.ค.!R178+ส.ค.!R178+ก.ย.!R178</f>
        <v>0</v>
      </c>
      <c r="S178" s="267">
        <f>+ก.ค.!S178+ส.ค.!S178+ก.ย.!S178</f>
        <v>0</v>
      </c>
      <c r="T178" s="267">
        <f>+ก.ค.!T178+ส.ค.!T178+ก.ย.!T178</f>
        <v>0</v>
      </c>
      <c r="U178" s="267">
        <f>+ก.ค.!U178+ส.ค.!U178+ก.ย.!U178</f>
        <v>0</v>
      </c>
      <c r="V178" s="267">
        <f>+ก.ค.!V178+ส.ค.!V178+ก.ย.!V178</f>
        <v>0</v>
      </c>
    </row>
    <row r="179" spans="1:24" s="67" customFormat="1" ht="25.5" customHeight="1">
      <c r="A179" s="9"/>
      <c r="B179" s="130" t="s">
        <v>302</v>
      </c>
      <c r="C179" s="216">
        <v>10000</v>
      </c>
      <c r="D179" s="131"/>
      <c r="E179" s="267">
        <f>+ก.ค.!E179+ส.ค.!E179+ก.ย.!E179</f>
        <v>0</v>
      </c>
      <c r="F179" s="267">
        <f>+ก.ค.!F179+ส.ค.!F179+ก.ย.!F179</f>
        <v>0</v>
      </c>
      <c r="G179" s="267">
        <f>+ก.ค.!G179+ส.ค.!G179+ก.ย.!G179</f>
        <v>0</v>
      </c>
      <c r="H179" s="267">
        <f>+ก.ค.!H179+ส.ค.!H179+ก.ย.!H179</f>
        <v>0</v>
      </c>
      <c r="I179" s="267">
        <f>+ก.ค.!I179+ส.ค.!I179+ก.ย.!I179</f>
        <v>0</v>
      </c>
      <c r="J179" s="267">
        <f>+ก.ค.!J179+ส.ค.!J179+ก.ย.!J179</f>
        <v>0</v>
      </c>
      <c r="K179" s="267">
        <f>+ก.ค.!K179+ส.ค.!K179+ก.ย.!K179</f>
        <v>0</v>
      </c>
      <c r="L179" s="267">
        <f>+ก.ค.!L179+ส.ค.!L179+ก.ย.!L179</f>
        <v>0</v>
      </c>
      <c r="M179" s="267">
        <f>+ก.ค.!M179+ส.ค.!M179+ก.ย.!M179</f>
        <v>0</v>
      </c>
      <c r="N179" s="267">
        <f>+ก.ค.!N179+ส.ค.!N179+ก.ย.!N179</f>
        <v>0</v>
      </c>
      <c r="O179" s="267">
        <f>+ก.ค.!O179+ส.ค.!O179+ก.ย.!O179</f>
        <v>0</v>
      </c>
      <c r="P179" s="267">
        <f>+ก.ค.!P179+ส.ค.!P179+ก.ย.!P179</f>
        <v>0</v>
      </c>
      <c r="Q179" s="267">
        <f>+ก.ค.!Q179+ส.ค.!Q179+ก.ย.!Q179</f>
        <v>0</v>
      </c>
      <c r="R179" s="267">
        <f>+ก.ค.!R179+ส.ค.!R179+ก.ย.!R179</f>
        <v>0</v>
      </c>
      <c r="S179" s="267">
        <f>+ก.ค.!S179+ส.ค.!S179+ก.ย.!S179</f>
        <v>0</v>
      </c>
      <c r="T179" s="267">
        <f>+ก.ค.!T179+ส.ค.!T179+ก.ย.!T179</f>
        <v>0</v>
      </c>
      <c r="U179" s="267">
        <f>+ก.ค.!U179+ส.ค.!U179+ก.ย.!U179</f>
        <v>0</v>
      </c>
      <c r="V179" s="267">
        <f>+ก.ค.!V179+ส.ค.!V179+ก.ย.!V179</f>
        <v>0</v>
      </c>
      <c r="W179" s="312"/>
      <c r="X179" s="525"/>
    </row>
    <row r="180" spans="1:24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>
        <f>+ก.ค.!E180+ส.ค.!E180+ก.ย.!E180</f>
        <v>1230</v>
      </c>
      <c r="F180" s="267">
        <f>+ก.ค.!F180+ส.ค.!F180+ก.ย.!F180</f>
        <v>0</v>
      </c>
      <c r="G180" s="267">
        <f>+ก.ค.!G180+ส.ค.!G180+ก.ย.!G180</f>
        <v>0</v>
      </c>
      <c r="H180" s="267">
        <f>+ก.ค.!H180+ส.ค.!H180+ก.ย.!H180</f>
        <v>4256</v>
      </c>
      <c r="I180" s="267">
        <f>+ก.ค.!I180+ส.ค.!I180+ก.ย.!I180</f>
        <v>0</v>
      </c>
      <c r="J180" s="267">
        <f>+ก.ค.!J180+ส.ค.!J180+ก.ย.!J180</f>
        <v>0</v>
      </c>
      <c r="K180" s="267">
        <f>+ก.ค.!K180+ส.ค.!K180+ก.ย.!K180</f>
        <v>0</v>
      </c>
      <c r="L180" s="267">
        <f>+ก.ค.!L180+ส.ค.!L180+ก.ย.!L180</f>
        <v>0</v>
      </c>
      <c r="M180" s="267">
        <f>+ก.ค.!M180+ส.ค.!M180+ก.ย.!M180</f>
        <v>0</v>
      </c>
      <c r="N180" s="267">
        <f>+ก.ค.!N180+ส.ค.!N180+ก.ย.!N180</f>
        <v>90500</v>
      </c>
      <c r="O180" s="267">
        <f>+ก.ค.!O180+ส.ค.!O180+ก.ย.!O180</f>
        <v>0</v>
      </c>
      <c r="P180" s="267">
        <f>+ก.ค.!P180+ส.ค.!P180+ก.ย.!P180</f>
        <v>0</v>
      </c>
      <c r="Q180" s="267">
        <f>+ก.ค.!Q180+ส.ค.!Q180+ก.ย.!Q180</f>
        <v>0</v>
      </c>
      <c r="R180" s="267">
        <f>+ก.ค.!R180+ส.ค.!R180+ก.ย.!R180</f>
        <v>0</v>
      </c>
      <c r="S180" s="267">
        <f>+ก.ค.!S180+ส.ค.!S180+ก.ย.!S180</f>
        <v>0</v>
      </c>
      <c r="T180" s="267">
        <f>+ก.ค.!T180+ส.ค.!T180+ก.ย.!T180</f>
        <v>0</v>
      </c>
      <c r="U180" s="267">
        <f>+ก.ค.!U180+ส.ค.!U180+ก.ย.!U180</f>
        <v>0</v>
      </c>
      <c r="V180" s="267">
        <f>+ก.ค.!V180+ส.ค.!V180+ก.ย.!V180</f>
        <v>0</v>
      </c>
      <c r="W180" s="312"/>
      <c r="X180" s="525"/>
    </row>
    <row r="181" spans="1:24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>
        <f>+ก.ค.!E181+ส.ค.!E181+ก.ย.!E181</f>
        <v>10089</v>
      </c>
      <c r="F181" s="267">
        <f>+ก.ค.!F181+ส.ค.!F181+ก.ย.!F181</f>
        <v>0</v>
      </c>
      <c r="G181" s="267">
        <f>+ก.ค.!G181+ส.ค.!G181+ก.ย.!G181</f>
        <v>0</v>
      </c>
      <c r="H181" s="267">
        <f>+ก.ค.!H181+ส.ค.!H181+ก.ย.!H181</f>
        <v>0</v>
      </c>
      <c r="I181" s="267">
        <f>+ก.ค.!I181+ส.ค.!I181+ก.ย.!I181</f>
        <v>0</v>
      </c>
      <c r="J181" s="267">
        <f>+ก.ค.!J181+ส.ค.!J181+ก.ย.!J181</f>
        <v>0</v>
      </c>
      <c r="K181" s="267">
        <f>+ก.ค.!K181+ส.ค.!K181+ก.ย.!K181</f>
        <v>0</v>
      </c>
      <c r="L181" s="267">
        <f>+ก.ค.!L181+ส.ค.!L181+ก.ย.!L181</f>
        <v>0</v>
      </c>
      <c r="M181" s="267">
        <f>+ก.ค.!M181+ส.ค.!M181+ก.ย.!M181</f>
        <v>0</v>
      </c>
      <c r="N181" s="267">
        <f>+ก.ค.!N181+ส.ค.!N181+ก.ย.!N181</f>
        <v>0</v>
      </c>
      <c r="O181" s="267">
        <f>+ก.ค.!O181+ส.ค.!O181+ก.ย.!O181</f>
        <v>0</v>
      </c>
      <c r="P181" s="267">
        <f>+ก.ค.!P181+ส.ค.!P181+ก.ย.!P181</f>
        <v>0</v>
      </c>
      <c r="Q181" s="267">
        <f>+ก.ค.!Q181+ส.ค.!Q181+ก.ย.!Q181</f>
        <v>0</v>
      </c>
      <c r="R181" s="267">
        <f>+ก.ค.!R181+ส.ค.!R181+ก.ย.!R181</f>
        <v>0</v>
      </c>
      <c r="S181" s="267">
        <f>+ก.ค.!S181+ส.ค.!S181+ก.ย.!S181</f>
        <v>0</v>
      </c>
      <c r="T181" s="267">
        <f>+ก.ค.!T181+ส.ค.!T181+ก.ย.!T181</f>
        <v>0</v>
      </c>
      <c r="U181" s="267">
        <f>+ก.ค.!U181+ส.ค.!U181+ก.ย.!U181</f>
        <v>0</v>
      </c>
      <c r="V181" s="267">
        <f>+ก.ค.!V181+ส.ค.!V181+ก.ย.!V181</f>
        <v>0</v>
      </c>
      <c r="W181" s="312"/>
      <c r="X181" s="525"/>
    </row>
    <row r="182" spans="1:24" ht="25.5" customHeight="1">
      <c r="A182" s="9"/>
      <c r="B182" s="130" t="s">
        <v>17</v>
      </c>
      <c r="C182" s="216">
        <f>15000+25000+20000-10000+8000-3000</f>
        <v>55000</v>
      </c>
      <c r="D182" s="133"/>
      <c r="E182" s="267">
        <f>+ก.ค.!E182+ส.ค.!E182+ก.ย.!E182</f>
        <v>404</v>
      </c>
      <c r="F182" s="267">
        <f>+ก.ค.!F182+ส.ค.!F182+ก.ย.!F182</f>
        <v>0</v>
      </c>
      <c r="G182" s="267">
        <f>+ก.ค.!G182+ส.ค.!G182+ก.ย.!G182</f>
        <v>0</v>
      </c>
      <c r="H182" s="267">
        <f>+ก.ค.!H182+ส.ค.!H182+ก.ย.!H182</f>
        <v>22330</v>
      </c>
      <c r="I182" s="267">
        <f>+ก.ค.!I182+ส.ค.!I182+ก.ย.!I182</f>
        <v>0</v>
      </c>
      <c r="J182" s="267">
        <f>+ก.ค.!J182+ส.ค.!J182+ก.ย.!J182</f>
        <v>0</v>
      </c>
      <c r="K182" s="267">
        <f>+ก.ค.!K182+ส.ค.!K182+ก.ย.!K182</f>
        <v>0</v>
      </c>
      <c r="L182" s="267">
        <f>+ก.ค.!L182+ส.ค.!L182+ก.ย.!L182</f>
        <v>0</v>
      </c>
      <c r="M182" s="267">
        <f>+ก.ค.!M182+ส.ค.!M182+ก.ย.!M182</f>
        <v>1345</v>
      </c>
      <c r="N182" s="267">
        <f>+ก.ค.!N182+ส.ค.!N182+ก.ย.!N182</f>
        <v>0</v>
      </c>
      <c r="O182" s="267">
        <f>+ก.ค.!O182+ส.ค.!O182+ก.ย.!O182</f>
        <v>0</v>
      </c>
      <c r="P182" s="267">
        <f>+ก.ค.!P182+ส.ค.!P182+ก.ย.!P182</f>
        <v>0</v>
      </c>
      <c r="Q182" s="267">
        <f>+ก.ค.!Q182+ส.ค.!Q182+ก.ย.!Q182</f>
        <v>0</v>
      </c>
      <c r="R182" s="267">
        <f>+ก.ค.!R182+ส.ค.!R182+ก.ย.!R182</f>
        <v>0</v>
      </c>
      <c r="S182" s="267">
        <f>+ก.ค.!S182+ส.ค.!S182+ก.ย.!S182</f>
        <v>0</v>
      </c>
      <c r="T182" s="267">
        <f>+ก.ค.!T182+ส.ค.!T182+ก.ย.!T182</f>
        <v>0</v>
      </c>
      <c r="U182" s="267">
        <f>+ก.ค.!U182+ส.ค.!U182+ก.ย.!U182</f>
        <v>0</v>
      </c>
      <c r="V182" s="267">
        <f>+ก.ค.!V182+ส.ค.!V182+ก.ย.!V182</f>
        <v>0</v>
      </c>
    </row>
    <row r="183" spans="1:24" ht="25.5" customHeight="1">
      <c r="A183" s="9"/>
      <c r="B183" s="130" t="s">
        <v>13</v>
      </c>
      <c r="C183" s="216">
        <v>15000</v>
      </c>
      <c r="D183" s="131"/>
      <c r="E183" s="267">
        <f>+ก.ค.!E183+ส.ค.!E183+ก.ย.!E183</f>
        <v>0</v>
      </c>
      <c r="F183" s="267">
        <f>+ก.ค.!F183+ส.ค.!F183+ก.ย.!F183</f>
        <v>0</v>
      </c>
      <c r="G183" s="267">
        <f>+ก.ค.!G183+ส.ค.!G183+ก.ย.!G183</f>
        <v>0</v>
      </c>
      <c r="H183" s="267">
        <f>+ก.ค.!H183+ส.ค.!H183+ก.ย.!H183</f>
        <v>0</v>
      </c>
      <c r="I183" s="267">
        <f>+ก.ค.!I183+ส.ค.!I183+ก.ย.!I183</f>
        <v>0</v>
      </c>
      <c r="J183" s="267">
        <f>+ก.ค.!J183+ส.ค.!J183+ก.ย.!J183</f>
        <v>0</v>
      </c>
      <c r="K183" s="267">
        <f>+ก.ค.!K183+ส.ค.!K183+ก.ย.!K183</f>
        <v>0</v>
      </c>
      <c r="L183" s="267">
        <f>+ก.ค.!L183+ส.ค.!L183+ก.ย.!L183</f>
        <v>0</v>
      </c>
      <c r="M183" s="267">
        <f>+ก.ค.!M183+ส.ค.!M183+ก.ย.!M183</f>
        <v>0</v>
      </c>
      <c r="N183" s="267">
        <f>+ก.ค.!N183+ส.ค.!N183+ก.ย.!N183</f>
        <v>0</v>
      </c>
      <c r="O183" s="267">
        <f>+ก.ค.!O183+ส.ค.!O183+ก.ย.!O183</f>
        <v>0</v>
      </c>
      <c r="P183" s="267">
        <f>+ก.ค.!P183+ส.ค.!P183+ก.ย.!P183</f>
        <v>0</v>
      </c>
      <c r="Q183" s="267">
        <f>+ก.ค.!Q183+ส.ค.!Q183+ก.ย.!Q183</f>
        <v>0</v>
      </c>
      <c r="R183" s="267">
        <f>+ก.ค.!R183+ส.ค.!R183+ก.ย.!R183</f>
        <v>0</v>
      </c>
      <c r="S183" s="267">
        <f>+ก.ค.!S183+ส.ค.!S183+ก.ย.!S183</f>
        <v>0</v>
      </c>
      <c r="T183" s="267">
        <f>+ก.ค.!T183+ส.ค.!T183+ก.ย.!T183</f>
        <v>0</v>
      </c>
      <c r="U183" s="267">
        <f>+ก.ค.!U183+ส.ค.!U183+ก.ย.!U183</f>
        <v>0</v>
      </c>
      <c r="V183" s="267">
        <f>+ก.ค.!V183+ส.ค.!V183+ก.ย.!V183</f>
        <v>0</v>
      </c>
    </row>
    <row r="184" spans="1:24" ht="25.5" customHeight="1">
      <c r="A184" s="9"/>
      <c r="B184" s="130" t="s">
        <v>14</v>
      </c>
      <c r="C184" s="216">
        <f>240000+5000+20000</f>
        <v>265000</v>
      </c>
      <c r="D184" s="133"/>
      <c r="E184" s="267">
        <f>+ก.ค.!E184+ส.ค.!E184+ก.ย.!E184</f>
        <v>97613</v>
      </c>
      <c r="F184" s="267">
        <f>+ก.ค.!F184+ส.ค.!F184+ก.ย.!F184</f>
        <v>193.39999999999998</v>
      </c>
      <c r="G184" s="267">
        <f>+ก.ค.!G184+ส.ค.!G184+ก.ย.!G184</f>
        <v>0</v>
      </c>
      <c r="H184" s="267">
        <f>+ก.ค.!H184+ส.ค.!H184+ก.ย.!H184</f>
        <v>0</v>
      </c>
      <c r="I184" s="267">
        <f>+ก.ค.!I184+ส.ค.!I184+ก.ย.!I184</f>
        <v>0</v>
      </c>
      <c r="J184" s="267">
        <f>+ก.ค.!J184+ส.ค.!J184+ก.ย.!J184</f>
        <v>0</v>
      </c>
      <c r="K184" s="267">
        <f>+ก.ค.!K184+ส.ค.!K184+ก.ย.!K184</f>
        <v>0</v>
      </c>
      <c r="L184" s="267">
        <f>+ก.ค.!L184+ส.ค.!L184+ก.ย.!L184</f>
        <v>0</v>
      </c>
      <c r="M184" s="267">
        <f>+ก.ค.!M184+ส.ค.!M184+ก.ย.!M184</f>
        <v>2313.8000000000002</v>
      </c>
      <c r="N184" s="267">
        <f>+ก.ค.!N184+ส.ค.!N184+ก.ย.!N184</f>
        <v>0</v>
      </c>
      <c r="O184" s="267">
        <f>+ก.ค.!O184+ส.ค.!O184+ก.ย.!O184</f>
        <v>0</v>
      </c>
      <c r="P184" s="267">
        <f>+ก.ค.!P184+ส.ค.!P184+ก.ย.!P184</f>
        <v>0</v>
      </c>
      <c r="Q184" s="267">
        <f>+ก.ค.!Q184+ส.ค.!Q184+ก.ย.!Q184</f>
        <v>0</v>
      </c>
      <c r="R184" s="267">
        <f>+ก.ค.!R184+ส.ค.!R184+ก.ย.!R184</f>
        <v>0</v>
      </c>
      <c r="S184" s="267">
        <f>+ก.ค.!S184+ส.ค.!S184+ก.ย.!S184</f>
        <v>0</v>
      </c>
      <c r="T184" s="267">
        <f>+ก.ค.!T184+ส.ค.!T184+ก.ย.!T184</f>
        <v>0</v>
      </c>
      <c r="U184" s="267">
        <f>+ก.ค.!U184+ส.ค.!U184+ก.ย.!U184</f>
        <v>0</v>
      </c>
      <c r="V184" s="267">
        <f>+ก.ค.!V184+ส.ค.!V184+ก.ย.!V184</f>
        <v>0</v>
      </c>
    </row>
    <row r="185" spans="1:24" ht="25.5" customHeight="1">
      <c r="A185" s="9"/>
      <c r="B185" s="130" t="s">
        <v>112</v>
      </c>
      <c r="C185" s="216">
        <f>5000+5000+5000-5000</f>
        <v>10000</v>
      </c>
      <c r="D185" s="133"/>
      <c r="E185" s="267">
        <f>+ก.ค.!E185+ส.ค.!E185+ก.ย.!E185</f>
        <v>0</v>
      </c>
      <c r="F185" s="267">
        <f>+ก.ค.!F185+ส.ค.!F185+ก.ย.!F185</f>
        <v>0</v>
      </c>
      <c r="G185" s="267">
        <f>+ก.ค.!G185+ส.ค.!G185+ก.ย.!G185</f>
        <v>0</v>
      </c>
      <c r="H185" s="267">
        <f>+ก.ค.!H185+ส.ค.!H185+ก.ย.!H185</f>
        <v>0</v>
      </c>
      <c r="I185" s="267">
        <f>+ก.ค.!I185+ส.ค.!I185+ก.ย.!I185</f>
        <v>0</v>
      </c>
      <c r="J185" s="267">
        <f>+ก.ค.!J185+ส.ค.!J185+ก.ย.!J185</f>
        <v>0</v>
      </c>
      <c r="K185" s="267">
        <f>+ก.ค.!K185+ส.ค.!K185+ก.ย.!K185</f>
        <v>0</v>
      </c>
      <c r="L185" s="267">
        <f>+ก.ค.!L185+ส.ค.!L185+ก.ย.!L185</f>
        <v>0</v>
      </c>
      <c r="M185" s="267">
        <f>+ก.ค.!M185+ส.ค.!M185+ก.ย.!M185</f>
        <v>0</v>
      </c>
      <c r="N185" s="267">
        <f>+ก.ค.!N185+ส.ค.!N185+ก.ย.!N185</f>
        <v>0</v>
      </c>
      <c r="O185" s="267">
        <f>+ก.ค.!O185+ส.ค.!O185+ก.ย.!O185</f>
        <v>0</v>
      </c>
      <c r="P185" s="267">
        <f>+ก.ค.!P185+ส.ค.!P185+ก.ย.!P185</f>
        <v>0</v>
      </c>
      <c r="Q185" s="267">
        <f>+ก.ค.!Q185+ส.ค.!Q185+ก.ย.!Q185</f>
        <v>0</v>
      </c>
      <c r="R185" s="267">
        <f>+ก.ค.!R185+ส.ค.!R185+ก.ย.!R185</f>
        <v>0</v>
      </c>
      <c r="S185" s="267">
        <f>+ก.ค.!S185+ส.ค.!S185+ก.ย.!S185</f>
        <v>0</v>
      </c>
      <c r="T185" s="267">
        <f>+ก.ค.!T185+ส.ค.!T185+ก.ย.!T185</f>
        <v>0</v>
      </c>
      <c r="U185" s="267">
        <f>+ก.ค.!U185+ส.ค.!U185+ก.ย.!U185</f>
        <v>0</v>
      </c>
      <c r="V185" s="267">
        <f>+ก.ค.!V185+ส.ค.!V185+ก.ย.!V185</f>
        <v>0</v>
      </c>
    </row>
    <row r="186" spans="1:24" ht="25.5" customHeight="1">
      <c r="A186" s="9"/>
      <c r="B186" s="130" t="s">
        <v>208</v>
      </c>
      <c r="C186" s="216">
        <v>5000</v>
      </c>
      <c r="D186" s="133"/>
      <c r="E186" s="267">
        <f>+ก.ค.!E186+ส.ค.!E186+ก.ย.!E186</f>
        <v>1920</v>
      </c>
      <c r="F186" s="267">
        <f>+ก.ค.!F186+ส.ค.!F186+ก.ย.!F186</f>
        <v>0</v>
      </c>
      <c r="G186" s="267">
        <f>+ก.ค.!G186+ส.ค.!G186+ก.ย.!G186</f>
        <v>0</v>
      </c>
      <c r="H186" s="267">
        <f>+ก.ค.!H186+ส.ค.!H186+ก.ย.!H186</f>
        <v>0</v>
      </c>
      <c r="I186" s="267">
        <f>+ก.ค.!I186+ส.ค.!I186+ก.ย.!I186</f>
        <v>0</v>
      </c>
      <c r="J186" s="267">
        <f>+ก.ค.!J186+ส.ค.!J186+ก.ย.!J186</f>
        <v>0</v>
      </c>
      <c r="K186" s="267">
        <f>+ก.ค.!K186+ส.ค.!K186+ก.ย.!K186</f>
        <v>0</v>
      </c>
      <c r="L186" s="267">
        <f>+ก.ค.!L186+ส.ค.!L186+ก.ย.!L186</f>
        <v>0</v>
      </c>
      <c r="M186" s="267">
        <f>+ก.ค.!M186+ส.ค.!M186+ก.ย.!M186</f>
        <v>0</v>
      </c>
      <c r="N186" s="267">
        <f>+ก.ค.!N186+ส.ค.!N186+ก.ย.!N186</f>
        <v>0</v>
      </c>
      <c r="O186" s="267">
        <f>+ก.ค.!O186+ส.ค.!O186+ก.ย.!O186</f>
        <v>0</v>
      </c>
      <c r="P186" s="267">
        <f>+ก.ค.!P186+ส.ค.!P186+ก.ย.!P186</f>
        <v>0</v>
      </c>
      <c r="Q186" s="267">
        <f>+ก.ค.!Q186+ส.ค.!Q186+ก.ย.!Q186</f>
        <v>0</v>
      </c>
      <c r="R186" s="267">
        <f>+ก.ค.!R186+ส.ค.!R186+ก.ย.!R186</f>
        <v>0</v>
      </c>
      <c r="S186" s="267">
        <f>+ก.ค.!S186+ส.ค.!S186+ก.ย.!S186</f>
        <v>0</v>
      </c>
      <c r="T186" s="267">
        <f>+ก.ค.!T186+ส.ค.!T186+ก.ย.!T186</f>
        <v>0</v>
      </c>
      <c r="U186" s="267">
        <f>+ก.ค.!U186+ส.ค.!U186+ก.ย.!U186</f>
        <v>0</v>
      </c>
      <c r="V186" s="267">
        <f>+ก.ค.!V186+ส.ค.!V186+ก.ย.!V186</f>
        <v>0</v>
      </c>
    </row>
    <row r="187" spans="1:24" ht="25.5" customHeight="1">
      <c r="A187" s="9"/>
      <c r="B187" s="130" t="s">
        <v>15</v>
      </c>
      <c r="C187" s="216">
        <f>40000+15000+15000+40000+40000+15000</f>
        <v>165000</v>
      </c>
      <c r="D187" s="196"/>
      <c r="E187" s="267">
        <f>+ก.ค.!E187+ส.ค.!E187+ก.ย.!E187</f>
        <v>42602</v>
      </c>
      <c r="F187" s="267">
        <f>+ก.ค.!F187+ส.ค.!F187+ก.ย.!F187</f>
        <v>16525</v>
      </c>
      <c r="G187" s="267">
        <f>+ก.ค.!G187+ส.ค.!G187+ก.ย.!G187</f>
        <v>0</v>
      </c>
      <c r="H187" s="267">
        <f>+ก.ค.!H187+ส.ค.!H187+ก.ย.!H187</f>
        <v>9130</v>
      </c>
      <c r="I187" s="267">
        <f>+ก.ค.!I187+ส.ค.!I187+ก.ย.!I187</f>
        <v>0</v>
      </c>
      <c r="J187" s="267">
        <f>+ก.ค.!J187+ส.ค.!J187+ก.ย.!J187</f>
        <v>0</v>
      </c>
      <c r="K187" s="267">
        <f>+ก.ค.!K187+ส.ค.!K187+ก.ย.!K187</f>
        <v>0</v>
      </c>
      <c r="L187" s="267">
        <f>+ก.ค.!L187+ส.ค.!L187+ก.ย.!L187</f>
        <v>0</v>
      </c>
      <c r="M187" s="267">
        <f>+ก.ค.!M187+ส.ค.!M187+ก.ย.!M187</f>
        <v>14630</v>
      </c>
      <c r="N187" s="267">
        <f>+ก.ค.!N187+ส.ค.!N187+ก.ย.!N187</f>
        <v>0</v>
      </c>
      <c r="O187" s="267">
        <f>+ก.ค.!O187+ส.ค.!O187+ก.ย.!O187</f>
        <v>0</v>
      </c>
      <c r="P187" s="267">
        <f>+ก.ค.!P187+ส.ค.!P187+ก.ย.!P187</f>
        <v>0</v>
      </c>
      <c r="Q187" s="267">
        <f>+ก.ค.!Q187+ส.ค.!Q187+ก.ย.!Q187</f>
        <v>0</v>
      </c>
      <c r="R187" s="267">
        <f>+ก.ค.!R187+ส.ค.!R187+ก.ย.!R187</f>
        <v>0</v>
      </c>
      <c r="S187" s="267">
        <f>+ก.ค.!S187+ส.ค.!S187+ก.ย.!S187</f>
        <v>0</v>
      </c>
      <c r="T187" s="267">
        <f>+ก.ค.!T187+ส.ค.!T187+ก.ย.!T187</f>
        <v>0</v>
      </c>
      <c r="U187" s="267">
        <f>+ก.ค.!U187+ส.ค.!U187+ก.ย.!U187</f>
        <v>0</v>
      </c>
      <c r="V187" s="267">
        <f>+ก.ค.!V187+ส.ค.!V187+ก.ย.!V187</f>
        <v>0</v>
      </c>
    </row>
    <row r="188" spans="1:24" ht="25.5" customHeight="1">
      <c r="A188" s="9"/>
      <c r="B188" s="130" t="s">
        <v>303</v>
      </c>
      <c r="C188" s="216">
        <v>10000</v>
      </c>
      <c r="D188" s="195"/>
      <c r="E188" s="267">
        <f>+ก.ค.!E188+ส.ค.!E188+ก.ย.!E188</f>
        <v>0</v>
      </c>
      <c r="F188" s="267">
        <f>+ก.ค.!F188+ส.ค.!F188+ก.ย.!F188</f>
        <v>0</v>
      </c>
      <c r="G188" s="267">
        <f>+ก.ค.!G188+ส.ค.!G188+ก.ย.!G188</f>
        <v>0</v>
      </c>
      <c r="H188" s="267">
        <f>+ก.ค.!H188+ส.ค.!H188+ก.ย.!H188</f>
        <v>5810</v>
      </c>
      <c r="I188" s="267">
        <f>+ก.ค.!I188+ส.ค.!I188+ก.ย.!I188</f>
        <v>0</v>
      </c>
      <c r="J188" s="267">
        <f>+ก.ค.!J188+ส.ค.!J188+ก.ย.!J188</f>
        <v>0</v>
      </c>
      <c r="K188" s="267">
        <f>+ก.ค.!K188+ส.ค.!K188+ก.ย.!K188</f>
        <v>0</v>
      </c>
      <c r="L188" s="267">
        <f>+ก.ค.!L188+ส.ค.!L188+ก.ย.!L188</f>
        <v>0</v>
      </c>
      <c r="M188" s="267">
        <f>+ก.ค.!M188+ส.ค.!M188+ก.ย.!M188</f>
        <v>0</v>
      </c>
      <c r="N188" s="267">
        <f>+ก.ค.!N188+ส.ค.!N188+ก.ย.!N188</f>
        <v>0</v>
      </c>
      <c r="O188" s="267">
        <f>+ก.ค.!O188+ส.ค.!O188+ก.ย.!O188</f>
        <v>0</v>
      </c>
      <c r="P188" s="267">
        <f>+ก.ค.!P188+ส.ค.!P188+ก.ย.!P188</f>
        <v>0</v>
      </c>
      <c r="Q188" s="267">
        <f>+ก.ค.!Q188+ส.ค.!Q188+ก.ย.!Q188</f>
        <v>0</v>
      </c>
      <c r="R188" s="267">
        <f>+ก.ค.!R188+ส.ค.!R188+ก.ย.!R188</f>
        <v>0</v>
      </c>
      <c r="S188" s="267">
        <f>+ก.ค.!S188+ส.ค.!S188+ก.ย.!S188</f>
        <v>0</v>
      </c>
      <c r="T188" s="267">
        <f>+ก.ค.!T188+ส.ค.!T188+ก.ย.!T188</f>
        <v>0</v>
      </c>
      <c r="U188" s="267">
        <f>+ก.ค.!U188+ส.ค.!U188+ก.ย.!U188</f>
        <v>0</v>
      </c>
      <c r="V188" s="267">
        <f>+ก.ค.!V188+ส.ค.!V188+ก.ย.!V188</f>
        <v>0</v>
      </c>
    </row>
    <row r="189" spans="1:24" ht="25.5" customHeight="1">
      <c r="A189" s="9"/>
      <c r="B189" s="130" t="s">
        <v>304</v>
      </c>
      <c r="C189" s="216">
        <f>5000+20000</f>
        <v>25000</v>
      </c>
      <c r="D189" s="195"/>
      <c r="E189" s="267">
        <f>+ก.ค.!E189+ส.ค.!E189+ก.ย.!E189</f>
        <v>0</v>
      </c>
      <c r="F189" s="267">
        <f>+ก.ค.!F189+ส.ค.!F189+ก.ย.!F189</f>
        <v>0</v>
      </c>
      <c r="G189" s="267">
        <f>+ก.ค.!G189+ส.ค.!G189+ก.ย.!G189</f>
        <v>0</v>
      </c>
      <c r="H189" s="267">
        <f>+ก.ค.!H189+ส.ค.!H189+ก.ย.!H189</f>
        <v>0</v>
      </c>
      <c r="I189" s="267">
        <f>+ก.ค.!I189+ส.ค.!I189+ก.ย.!I189</f>
        <v>0</v>
      </c>
      <c r="J189" s="267">
        <f>+ก.ค.!J189+ส.ค.!J189+ก.ย.!J189</f>
        <v>0</v>
      </c>
      <c r="K189" s="267">
        <f>+ก.ค.!K189+ส.ค.!K189+ก.ย.!K189</f>
        <v>0</v>
      </c>
      <c r="L189" s="267">
        <f>+ก.ค.!L189+ส.ค.!L189+ก.ย.!L189</f>
        <v>0</v>
      </c>
      <c r="M189" s="267">
        <f>+ก.ค.!M189+ส.ค.!M189+ก.ย.!M189</f>
        <v>0</v>
      </c>
      <c r="N189" s="267">
        <f>+ก.ค.!N189+ส.ค.!N189+ก.ย.!N189</f>
        <v>0</v>
      </c>
      <c r="O189" s="267">
        <f>+ก.ค.!O189+ส.ค.!O189+ก.ย.!O189</f>
        <v>0</v>
      </c>
      <c r="P189" s="267">
        <f>+ก.ค.!P189+ส.ค.!P189+ก.ย.!P189</f>
        <v>0</v>
      </c>
      <c r="Q189" s="267">
        <f>+ก.ค.!Q189+ส.ค.!Q189+ก.ย.!Q189</f>
        <v>0</v>
      </c>
      <c r="R189" s="267">
        <f>+ก.ค.!R189+ส.ค.!R189+ก.ย.!R189</f>
        <v>0</v>
      </c>
      <c r="S189" s="267">
        <f>+ก.ค.!S189+ส.ค.!S189+ก.ย.!S189</f>
        <v>0</v>
      </c>
      <c r="T189" s="267">
        <f>+ก.ค.!T189+ส.ค.!T189+ก.ย.!T189</f>
        <v>0</v>
      </c>
      <c r="U189" s="267">
        <f>+ก.ค.!U189+ส.ค.!U189+ก.ย.!U189</f>
        <v>0</v>
      </c>
      <c r="V189" s="267">
        <f>+ก.ค.!V189+ส.ค.!V189+ก.ย.!V189</f>
        <v>11360</v>
      </c>
    </row>
    <row r="190" spans="1:24" ht="25.5" customHeight="1">
      <c r="A190" s="9"/>
      <c r="B190" s="130" t="s">
        <v>332</v>
      </c>
      <c r="C190" s="216">
        <v>10000</v>
      </c>
      <c r="D190" s="195"/>
      <c r="E190" s="267">
        <f>+ก.ค.!E190+ส.ค.!E190+ก.ย.!E190</f>
        <v>0</v>
      </c>
      <c r="F190" s="267">
        <f>+ก.ค.!F190+ส.ค.!F190+ก.ย.!F190</f>
        <v>0</v>
      </c>
      <c r="G190" s="267">
        <f>+ก.ค.!G190+ส.ค.!G190+ก.ย.!G190</f>
        <v>0</v>
      </c>
      <c r="H190" s="267">
        <f>+ก.ค.!H190+ส.ค.!H190+ก.ย.!H190</f>
        <v>0</v>
      </c>
      <c r="I190" s="267">
        <f>+ก.ค.!I190+ส.ค.!I190+ก.ย.!I190</f>
        <v>0</v>
      </c>
      <c r="J190" s="267">
        <f>+ก.ค.!J190+ส.ค.!J190+ก.ย.!J190</f>
        <v>0</v>
      </c>
      <c r="K190" s="267">
        <f>+ก.ค.!K190+ส.ค.!K190+ก.ย.!K190</f>
        <v>0</v>
      </c>
      <c r="L190" s="267">
        <f>+ก.ค.!L190+ส.ค.!L190+ก.ย.!L190</f>
        <v>0</v>
      </c>
      <c r="M190" s="267">
        <f>+ก.ค.!M190+ส.ค.!M190+ก.ย.!M190</f>
        <v>0</v>
      </c>
      <c r="N190" s="267">
        <f>+ก.ค.!N190+ส.ค.!N190+ก.ย.!N190</f>
        <v>0</v>
      </c>
      <c r="O190" s="267">
        <f>+ก.ค.!O190+ส.ค.!O190+ก.ย.!O190</f>
        <v>0</v>
      </c>
      <c r="P190" s="267">
        <f>+ก.ค.!P190+ส.ค.!P190+ก.ย.!P190</f>
        <v>0</v>
      </c>
      <c r="Q190" s="267">
        <f>+ก.ค.!Q190+ส.ค.!Q190+ก.ย.!Q190</f>
        <v>0</v>
      </c>
      <c r="R190" s="267">
        <f>+ก.ค.!R190+ส.ค.!R190+ก.ย.!R190</f>
        <v>0</v>
      </c>
      <c r="S190" s="267">
        <f>+ก.ค.!S190+ส.ค.!S190+ก.ย.!S190</f>
        <v>0</v>
      </c>
      <c r="T190" s="267">
        <f>+ก.ค.!T190+ส.ค.!T190+ก.ย.!T190</f>
        <v>0</v>
      </c>
      <c r="U190" s="267">
        <f>+ก.ค.!U190+ส.ค.!U190+ก.ย.!U190</f>
        <v>0</v>
      </c>
      <c r="V190" s="267">
        <f>+ก.ค.!V190+ส.ค.!V190+ก.ย.!V190</f>
        <v>0</v>
      </c>
    </row>
    <row r="191" spans="1:24" ht="25.5" customHeight="1">
      <c r="A191" s="9"/>
      <c r="B191" s="130" t="s">
        <v>46</v>
      </c>
      <c r="C191" s="216">
        <v>80000</v>
      </c>
      <c r="D191" s="195"/>
      <c r="E191" s="267">
        <f>+ก.ค.!E191+ส.ค.!E191+ก.ย.!E191</f>
        <v>0</v>
      </c>
      <c r="F191" s="267">
        <f>+ก.ค.!F191+ส.ค.!F191+ก.ย.!F191</f>
        <v>0</v>
      </c>
      <c r="G191" s="267">
        <f>+ก.ค.!G191+ส.ค.!G191+ก.ย.!G191</f>
        <v>0</v>
      </c>
      <c r="H191" s="267">
        <f>+ก.ค.!H191+ส.ค.!H191+ก.ย.!H191</f>
        <v>0</v>
      </c>
      <c r="I191" s="267">
        <f>+ก.ค.!I191+ส.ค.!I191+ก.ย.!I191</f>
        <v>0</v>
      </c>
      <c r="J191" s="267">
        <f>+ก.ค.!J191+ส.ค.!J191+ก.ย.!J191</f>
        <v>0</v>
      </c>
      <c r="K191" s="267">
        <f>+ก.ค.!K191+ส.ค.!K191+ก.ย.!K191</f>
        <v>0</v>
      </c>
      <c r="L191" s="267">
        <f>+ก.ค.!L191+ส.ค.!L191+ก.ย.!L191</f>
        <v>0</v>
      </c>
      <c r="M191" s="267">
        <f>+ก.ค.!M191+ส.ค.!M191+ก.ย.!M191</f>
        <v>0</v>
      </c>
      <c r="N191" s="267">
        <f>+ก.ค.!N191+ส.ค.!N191+ก.ย.!N191</f>
        <v>0</v>
      </c>
      <c r="O191" s="267">
        <f>+ก.ค.!O191+ส.ค.!O191+ก.ย.!O191</f>
        <v>0</v>
      </c>
      <c r="P191" s="267">
        <f>+ก.ค.!P191+ส.ค.!P191+ก.ย.!P191</f>
        <v>0</v>
      </c>
      <c r="Q191" s="267">
        <f>+ก.ค.!Q191+ส.ค.!Q191+ก.ย.!Q191</f>
        <v>0</v>
      </c>
      <c r="R191" s="267">
        <f>+ก.ค.!R191+ส.ค.!R191+ก.ย.!R191</f>
        <v>0</v>
      </c>
      <c r="S191" s="267">
        <f>+ก.ค.!S191+ส.ค.!S191+ก.ย.!S191</f>
        <v>0</v>
      </c>
      <c r="T191" s="267">
        <f>+ก.ค.!T191+ส.ค.!T191+ก.ย.!T191</f>
        <v>0</v>
      </c>
      <c r="U191" s="267">
        <f>+ก.ค.!U191+ส.ค.!U191+ก.ย.!U191</f>
        <v>0</v>
      </c>
      <c r="V191" s="267">
        <f>+ก.ค.!V191+ส.ค.!V191+ก.ย.!V191</f>
        <v>0</v>
      </c>
    </row>
    <row r="192" spans="1:24" ht="25.5" customHeight="1">
      <c r="A192" s="9"/>
      <c r="B192" s="130" t="s">
        <v>316</v>
      </c>
      <c r="C192" s="216">
        <v>1216788</v>
      </c>
      <c r="D192" s="131"/>
      <c r="E192" s="267">
        <f>+ก.ค.!E192+ส.ค.!E192+ก.ย.!E192</f>
        <v>0</v>
      </c>
      <c r="F192" s="267">
        <f>+ก.ค.!F192+ส.ค.!F192+ก.ย.!F192</f>
        <v>0</v>
      </c>
      <c r="G192" s="267">
        <f>+ก.ค.!G192+ส.ค.!G192+ก.ย.!G192</f>
        <v>0</v>
      </c>
      <c r="H192" s="267">
        <f>+ก.ค.!H192+ส.ค.!H192+ก.ย.!H192</f>
        <v>0</v>
      </c>
      <c r="I192" s="267">
        <f>+ก.ค.!I192+ส.ค.!I192+ก.ย.!I192</f>
        <v>734938.87999999989</v>
      </c>
      <c r="J192" s="267">
        <f>+ก.ค.!J192+ส.ค.!J192+ก.ย.!J192</f>
        <v>0</v>
      </c>
      <c r="K192" s="267">
        <f>+ก.ค.!K192+ส.ค.!K192+ก.ย.!K192</f>
        <v>0</v>
      </c>
      <c r="L192" s="267">
        <f>+ก.ค.!L192+ส.ค.!L192+ก.ย.!L192</f>
        <v>0</v>
      </c>
      <c r="M192" s="267">
        <f>+ก.ค.!M192+ส.ค.!M192+ก.ย.!M192</f>
        <v>0</v>
      </c>
      <c r="N192" s="267">
        <f>+ก.ค.!N192+ส.ค.!N192+ก.ย.!N192</f>
        <v>0</v>
      </c>
      <c r="O192" s="267">
        <f>+ก.ค.!O192+ส.ค.!O192+ก.ย.!O192</f>
        <v>0</v>
      </c>
      <c r="P192" s="267">
        <f>+ก.ค.!P192+ส.ค.!P192+ก.ย.!P192</f>
        <v>0</v>
      </c>
      <c r="Q192" s="267">
        <f>+ก.ค.!Q192+ส.ค.!Q192+ก.ย.!Q192</f>
        <v>0</v>
      </c>
      <c r="R192" s="267">
        <f>+ก.ค.!R192+ส.ค.!R192+ก.ย.!R192</f>
        <v>0</v>
      </c>
      <c r="S192" s="267">
        <f>+ก.ค.!S192+ส.ค.!S192+ก.ย.!S192</f>
        <v>0</v>
      </c>
      <c r="T192" s="267">
        <f>+ก.ค.!T192+ส.ค.!T192+ก.ย.!T192</f>
        <v>0</v>
      </c>
      <c r="U192" s="267">
        <f>+ก.ค.!U192+ส.ค.!U192+ก.ย.!U192</f>
        <v>0</v>
      </c>
      <c r="V192" s="267">
        <f>+ก.ค.!V192+ส.ค.!V192+ก.ย.!V192</f>
        <v>0</v>
      </c>
    </row>
    <row r="193" spans="1:23" ht="25.5" customHeight="1">
      <c r="A193" s="9"/>
      <c r="B193" s="130" t="s">
        <v>317</v>
      </c>
      <c r="C193" s="290">
        <v>0</v>
      </c>
      <c r="D193" s="133"/>
      <c r="E193" s="267">
        <f>+ก.ค.!E193+ส.ค.!E193+ก.ย.!E193</f>
        <v>0</v>
      </c>
      <c r="F193" s="267">
        <f>+ก.ค.!F193+ส.ค.!F193+ก.ย.!F193</f>
        <v>0</v>
      </c>
      <c r="G193" s="267">
        <f>+ก.ค.!G193+ส.ค.!G193+ก.ย.!G193</f>
        <v>0</v>
      </c>
      <c r="H193" s="267">
        <f>+ก.ค.!H193+ส.ค.!H193+ก.ย.!H193</f>
        <v>0</v>
      </c>
      <c r="I193" s="267">
        <f>+ก.ค.!I193+ส.ค.!I193+ก.ย.!I193</f>
        <v>0</v>
      </c>
      <c r="J193" s="267">
        <f>+ก.ค.!J193+ส.ค.!J193+ก.ย.!J193</f>
        <v>0</v>
      </c>
      <c r="K193" s="267">
        <f>+ก.ค.!K193+ส.ค.!K193+ก.ย.!K193</f>
        <v>0</v>
      </c>
      <c r="L193" s="267">
        <f>+ก.ค.!L193+ส.ค.!L193+ก.ย.!L193</f>
        <v>0</v>
      </c>
      <c r="M193" s="267">
        <f>+ก.ค.!M193+ส.ค.!M193+ก.ย.!M193</f>
        <v>0</v>
      </c>
      <c r="N193" s="267">
        <f>+ก.ค.!N193+ส.ค.!N193+ก.ย.!N193</f>
        <v>0</v>
      </c>
      <c r="O193" s="267">
        <f>+ก.ค.!O193+ส.ค.!O193+ก.ย.!O193</f>
        <v>0</v>
      </c>
      <c r="P193" s="267">
        <f>+ก.ค.!P193+ส.ค.!P193+ก.ย.!P193</f>
        <v>0</v>
      </c>
      <c r="Q193" s="267">
        <f>+ก.ค.!Q193+ส.ค.!Q193+ก.ย.!Q193</f>
        <v>0</v>
      </c>
      <c r="R193" s="267">
        <f>+ก.ค.!R193+ส.ค.!R193+ก.ย.!R193</f>
        <v>0</v>
      </c>
      <c r="S193" s="267">
        <f>+ก.ค.!S193+ส.ค.!S193+ก.ย.!S193</f>
        <v>0</v>
      </c>
      <c r="T193" s="267">
        <f>+ก.ค.!T193+ส.ค.!T193+ก.ย.!T193</f>
        <v>0</v>
      </c>
      <c r="U193" s="267">
        <f>+ก.ค.!U193+ส.ค.!U193+ก.ย.!U193</f>
        <v>0</v>
      </c>
      <c r="V193" s="267">
        <f>+ก.ค.!V193+ส.ค.!V193+ก.ย.!V193</f>
        <v>0</v>
      </c>
    </row>
    <row r="194" spans="1:23" s="221" customFormat="1" ht="25.5" customHeight="1">
      <c r="A194" s="9"/>
      <c r="B194" s="130" t="s">
        <v>318</v>
      </c>
      <c r="C194" s="216">
        <v>0</v>
      </c>
      <c r="D194" s="133"/>
      <c r="E194" s="267">
        <f>+ก.ค.!E194+ส.ค.!E194+ก.ย.!E194</f>
        <v>0</v>
      </c>
      <c r="F194" s="267">
        <f>+ก.ค.!F194+ส.ค.!F194+ก.ย.!F194</f>
        <v>0</v>
      </c>
      <c r="G194" s="267">
        <f>+ก.ค.!G194+ส.ค.!G194+ก.ย.!G194</f>
        <v>0</v>
      </c>
      <c r="H194" s="267">
        <f>+ก.ค.!H194+ส.ค.!H194+ก.ย.!H194</f>
        <v>0</v>
      </c>
      <c r="I194" s="267">
        <f>+ก.ค.!I194+ส.ค.!I194+ก.ย.!I194</f>
        <v>0</v>
      </c>
      <c r="J194" s="267">
        <f>+ก.ค.!J194+ส.ค.!J194+ก.ย.!J194</f>
        <v>0</v>
      </c>
      <c r="K194" s="267">
        <f>+ก.ค.!K194+ส.ค.!K194+ก.ย.!K194</f>
        <v>0</v>
      </c>
      <c r="L194" s="267">
        <f>+ก.ค.!L194+ส.ค.!L194+ก.ย.!L194</f>
        <v>0</v>
      </c>
      <c r="M194" s="267">
        <f>+ก.ค.!M194+ส.ค.!M194+ก.ย.!M194</f>
        <v>0</v>
      </c>
      <c r="N194" s="267">
        <f>+ก.ค.!N194+ส.ค.!N194+ก.ย.!N194</f>
        <v>0</v>
      </c>
      <c r="O194" s="267">
        <f>+ก.ค.!O194+ส.ค.!O194+ก.ย.!O194</f>
        <v>0</v>
      </c>
      <c r="P194" s="267">
        <f>+ก.ค.!P194+ส.ค.!P194+ก.ย.!P194</f>
        <v>0</v>
      </c>
      <c r="Q194" s="267">
        <f>+ก.ค.!Q194+ส.ค.!Q194+ก.ย.!Q194</f>
        <v>0</v>
      </c>
      <c r="R194" s="267">
        <f>+ก.ค.!R194+ส.ค.!R194+ก.ย.!R194</f>
        <v>0</v>
      </c>
      <c r="S194" s="267">
        <f>+ก.ค.!S194+ส.ค.!S194+ก.ย.!S194</f>
        <v>0</v>
      </c>
      <c r="T194" s="267">
        <f>+ก.ค.!T194+ส.ค.!T194+ก.ย.!T194</f>
        <v>0</v>
      </c>
      <c r="U194" s="267">
        <f>+ก.ค.!U194+ส.ค.!U194+ก.ย.!U194</f>
        <v>0</v>
      </c>
      <c r="V194" s="267">
        <f>+ก.ค.!V194+ส.ค.!V194+ก.ย.!V194</f>
        <v>0</v>
      </c>
      <c r="W194" s="310"/>
    </row>
    <row r="195" spans="1:23" s="221" customFormat="1" ht="25.5" customHeight="1">
      <c r="A195" s="9"/>
      <c r="B195" s="185" t="s">
        <v>319</v>
      </c>
      <c r="C195" s="216">
        <f>388990-35000</f>
        <v>353990</v>
      </c>
      <c r="D195" s="133"/>
      <c r="E195" s="267">
        <f>+ก.ค.!E195+ส.ค.!E195+ก.ย.!E195</f>
        <v>0</v>
      </c>
      <c r="F195" s="267">
        <f>+ก.ค.!F195+ส.ค.!F195+ก.ย.!F195</f>
        <v>0</v>
      </c>
      <c r="G195" s="267">
        <f>+ก.ค.!G195+ส.ค.!G195+ก.ย.!G195</f>
        <v>0</v>
      </c>
      <c r="H195" s="267">
        <f>+ก.ค.!H195+ส.ค.!H195+ก.ย.!H195</f>
        <v>0</v>
      </c>
      <c r="I195" s="267">
        <f>+ก.ค.!I195+ส.ค.!I195+ก.ย.!I195</f>
        <v>214451.75999999998</v>
      </c>
      <c r="J195" s="267">
        <f>+ก.ค.!J195+ส.ค.!J195+ก.ย.!J195</f>
        <v>0</v>
      </c>
      <c r="K195" s="267">
        <f>+ก.ค.!K195+ส.ค.!K195+ก.ย.!K195</f>
        <v>0</v>
      </c>
      <c r="L195" s="267">
        <f>+ก.ค.!L195+ส.ค.!L195+ก.ย.!L195</f>
        <v>0</v>
      </c>
      <c r="M195" s="267">
        <f>+ก.ค.!M195+ส.ค.!M195+ก.ย.!M195</f>
        <v>0</v>
      </c>
      <c r="N195" s="267">
        <f>+ก.ค.!N195+ส.ค.!N195+ก.ย.!N195</f>
        <v>0</v>
      </c>
      <c r="O195" s="267">
        <f>+ก.ค.!O195+ส.ค.!O195+ก.ย.!O195</f>
        <v>0</v>
      </c>
      <c r="P195" s="267">
        <f>+ก.ค.!P195+ส.ค.!P195+ก.ย.!P195</f>
        <v>0</v>
      </c>
      <c r="Q195" s="267">
        <f>+ก.ค.!Q195+ส.ค.!Q195+ก.ย.!Q195</f>
        <v>0</v>
      </c>
      <c r="R195" s="267">
        <f>+ก.ค.!R195+ส.ค.!R195+ก.ย.!R195</f>
        <v>0</v>
      </c>
      <c r="S195" s="267">
        <f>+ก.ค.!S195+ส.ค.!S195+ก.ย.!S195</f>
        <v>0</v>
      </c>
      <c r="T195" s="267">
        <f>+ก.ค.!T195+ส.ค.!T195+ก.ย.!T195</f>
        <v>0</v>
      </c>
      <c r="U195" s="267">
        <f>+ก.ค.!U195+ส.ค.!U195+ก.ย.!U195</f>
        <v>0</v>
      </c>
      <c r="V195" s="267">
        <f>+ก.ค.!V195+ส.ค.!V195+ก.ย.!V195</f>
        <v>0</v>
      </c>
      <c r="W195" s="310"/>
    </row>
    <row r="196" spans="1:23" s="221" customFormat="1" ht="25.5" customHeight="1">
      <c r="A196" s="9"/>
      <c r="B196" s="185" t="s">
        <v>320</v>
      </c>
      <c r="C196" s="216"/>
      <c r="D196" s="133"/>
      <c r="E196" s="267">
        <f>+ก.ค.!E196+ส.ค.!E196+ก.ย.!E196</f>
        <v>0</v>
      </c>
      <c r="F196" s="267">
        <f>+ก.ค.!F196+ส.ค.!F196+ก.ย.!F196</f>
        <v>0</v>
      </c>
      <c r="G196" s="267">
        <f>+ก.ค.!G196+ส.ค.!G196+ก.ย.!G196</f>
        <v>0</v>
      </c>
      <c r="H196" s="267">
        <f>+ก.ค.!H196+ส.ค.!H196+ก.ย.!H196</f>
        <v>0</v>
      </c>
      <c r="I196" s="267">
        <f>+ก.ค.!I196+ส.ค.!I196+ก.ย.!I196</f>
        <v>0</v>
      </c>
      <c r="J196" s="267">
        <f>+ก.ค.!J196+ส.ค.!J196+ก.ย.!J196</f>
        <v>0</v>
      </c>
      <c r="K196" s="267">
        <f>+ก.ค.!K196+ส.ค.!K196+ก.ย.!K196</f>
        <v>0</v>
      </c>
      <c r="L196" s="267">
        <f>+ก.ค.!L196+ส.ค.!L196+ก.ย.!L196</f>
        <v>0</v>
      </c>
      <c r="M196" s="267">
        <f>+ก.ค.!M196+ส.ค.!M196+ก.ย.!M196</f>
        <v>0</v>
      </c>
      <c r="N196" s="267">
        <f>+ก.ค.!N196+ส.ค.!N196+ก.ย.!N196</f>
        <v>0</v>
      </c>
      <c r="O196" s="267">
        <f>+ก.ค.!O196+ส.ค.!O196+ก.ย.!O196</f>
        <v>0</v>
      </c>
      <c r="P196" s="267">
        <f>+ก.ค.!P196+ส.ค.!P196+ก.ย.!P196</f>
        <v>0</v>
      </c>
      <c r="Q196" s="267">
        <f>+ก.ค.!Q196+ส.ค.!Q196+ก.ย.!Q196</f>
        <v>0</v>
      </c>
      <c r="R196" s="267">
        <f>+ก.ค.!R196+ส.ค.!R196+ก.ย.!R196</f>
        <v>0</v>
      </c>
      <c r="S196" s="267">
        <f>+ก.ค.!S196+ส.ค.!S196+ก.ย.!S196</f>
        <v>0</v>
      </c>
      <c r="T196" s="267">
        <f>+ก.ค.!T196+ส.ค.!T196+ก.ย.!T196</f>
        <v>0</v>
      </c>
      <c r="U196" s="267">
        <f>+ก.ค.!U196+ส.ค.!U196+ก.ย.!U196</f>
        <v>0</v>
      </c>
      <c r="V196" s="267">
        <f>+ก.ค.!V196+ส.ค.!V196+ก.ย.!V196</f>
        <v>0</v>
      </c>
      <c r="W196" s="310"/>
    </row>
    <row r="197" spans="1:23" s="221" customFormat="1" ht="25.5" customHeight="1">
      <c r="A197" s="9"/>
      <c r="B197" s="185" t="s">
        <v>321</v>
      </c>
      <c r="C197" s="216"/>
      <c r="D197" s="133"/>
      <c r="E197" s="267">
        <f>+ก.ค.!E197+ส.ค.!E197+ก.ย.!E197</f>
        <v>0</v>
      </c>
      <c r="F197" s="267">
        <f>+ก.ค.!F197+ส.ค.!F197+ก.ย.!F197</f>
        <v>0</v>
      </c>
      <c r="G197" s="267">
        <f>+ก.ค.!G197+ส.ค.!G197+ก.ย.!G197</f>
        <v>0</v>
      </c>
      <c r="H197" s="267">
        <f>+ก.ค.!H197+ส.ค.!H197+ก.ย.!H197</f>
        <v>0</v>
      </c>
      <c r="I197" s="267">
        <f>+ก.ค.!I197+ส.ค.!I197+ก.ย.!I197</f>
        <v>0</v>
      </c>
      <c r="J197" s="267">
        <f>+ก.ค.!J197+ส.ค.!J197+ก.ย.!J197</f>
        <v>0</v>
      </c>
      <c r="K197" s="267">
        <f>+ก.ค.!K197+ส.ค.!K197+ก.ย.!K197</f>
        <v>0</v>
      </c>
      <c r="L197" s="267">
        <f>+ก.ค.!L197+ส.ค.!L197+ก.ย.!L197</f>
        <v>0</v>
      </c>
      <c r="M197" s="267">
        <f>+ก.ค.!M197+ส.ค.!M197+ก.ย.!M197</f>
        <v>0</v>
      </c>
      <c r="N197" s="267">
        <f>+ก.ค.!N197+ส.ค.!N197+ก.ย.!N197</f>
        <v>0</v>
      </c>
      <c r="O197" s="267">
        <f>+ก.ค.!O197+ส.ค.!O197+ก.ย.!O197</f>
        <v>0</v>
      </c>
      <c r="P197" s="267">
        <f>+ก.ค.!P197+ส.ค.!P197+ก.ย.!P197</f>
        <v>0</v>
      </c>
      <c r="Q197" s="267">
        <f>+ก.ค.!Q197+ส.ค.!Q197+ก.ย.!Q197</f>
        <v>0</v>
      </c>
      <c r="R197" s="267">
        <f>+ก.ค.!R197+ส.ค.!R197+ก.ย.!R197</f>
        <v>0</v>
      </c>
      <c r="S197" s="267">
        <f>+ก.ค.!S197+ส.ค.!S197+ก.ย.!S197</f>
        <v>0</v>
      </c>
      <c r="T197" s="267">
        <f>+ก.ค.!T197+ส.ค.!T197+ก.ย.!T197</f>
        <v>0</v>
      </c>
      <c r="U197" s="267">
        <f>+ก.ค.!U197+ส.ค.!U197+ก.ย.!U197</f>
        <v>0</v>
      </c>
      <c r="V197" s="267">
        <f>+ก.ค.!V197+ส.ค.!V197+ก.ย.!V197</f>
        <v>0</v>
      </c>
      <c r="W197" s="310"/>
    </row>
    <row r="198" spans="1:23" s="221" customFormat="1" ht="25.5" customHeight="1">
      <c r="A198" s="165"/>
      <c r="B198" s="185" t="s">
        <v>322</v>
      </c>
      <c r="C198" s="216"/>
      <c r="D198" s="133"/>
      <c r="E198" s="267">
        <f>+ก.ค.!E198+ส.ค.!E198+ก.ย.!E198</f>
        <v>0</v>
      </c>
      <c r="F198" s="267">
        <f>+ก.ค.!F198+ส.ค.!F198+ก.ย.!F198</f>
        <v>0</v>
      </c>
      <c r="G198" s="267">
        <f>+ก.ค.!G198+ส.ค.!G198+ก.ย.!G198</f>
        <v>0</v>
      </c>
      <c r="H198" s="267">
        <f>+ก.ค.!H198+ส.ค.!H198+ก.ย.!H198</f>
        <v>0</v>
      </c>
      <c r="I198" s="267">
        <f>+ก.ค.!I198+ส.ค.!I198+ก.ย.!I198</f>
        <v>0</v>
      </c>
      <c r="J198" s="267">
        <f>+ก.ค.!J198+ส.ค.!J198+ก.ย.!J198</f>
        <v>0</v>
      </c>
      <c r="K198" s="267">
        <f>+ก.ค.!K198+ส.ค.!K198+ก.ย.!K198</f>
        <v>0</v>
      </c>
      <c r="L198" s="267">
        <f>+ก.ค.!L198+ส.ค.!L198+ก.ย.!L198</f>
        <v>0</v>
      </c>
      <c r="M198" s="267">
        <f>+ก.ค.!M198+ส.ค.!M198+ก.ย.!M198</f>
        <v>0</v>
      </c>
      <c r="N198" s="267">
        <f>+ก.ค.!N198+ส.ค.!N198+ก.ย.!N198</f>
        <v>0</v>
      </c>
      <c r="O198" s="267">
        <f>+ก.ค.!O198+ส.ค.!O198+ก.ย.!O198</f>
        <v>0</v>
      </c>
      <c r="P198" s="267">
        <f>+ก.ค.!P198+ส.ค.!P198+ก.ย.!P198</f>
        <v>0</v>
      </c>
      <c r="Q198" s="267">
        <f>+ก.ค.!Q198+ส.ค.!Q198+ก.ย.!Q198</f>
        <v>0</v>
      </c>
      <c r="R198" s="267">
        <f>+ก.ค.!R198+ส.ค.!R198+ก.ย.!R198</f>
        <v>0</v>
      </c>
      <c r="S198" s="267">
        <f>+ก.ค.!S198+ส.ค.!S198+ก.ย.!S198</f>
        <v>0</v>
      </c>
      <c r="T198" s="267">
        <f>+ก.ค.!T198+ส.ค.!T198+ก.ย.!T198</f>
        <v>0</v>
      </c>
      <c r="U198" s="267">
        <f>+ก.ค.!U198+ส.ค.!U198+ก.ย.!U198</f>
        <v>0</v>
      </c>
      <c r="V198" s="267">
        <f>+ก.ค.!V198+ส.ค.!V198+ก.ย.!V198</f>
        <v>0</v>
      </c>
      <c r="W198" s="310"/>
    </row>
    <row r="199" spans="1:23" s="221" customFormat="1" ht="25.5" customHeight="1">
      <c r="A199" s="9"/>
      <c r="B199" s="185"/>
      <c r="C199" s="216"/>
      <c r="D199" s="133"/>
      <c r="E199" s="267">
        <f>+ก.ค.!E199+ส.ค.!E199+ก.ย.!E199</f>
        <v>0</v>
      </c>
      <c r="F199" s="267">
        <f>+ก.ค.!F199+ส.ค.!F199+ก.ย.!F199</f>
        <v>0</v>
      </c>
      <c r="G199" s="267">
        <f>+ก.ค.!G199+ส.ค.!G199+ก.ย.!G199</f>
        <v>0</v>
      </c>
      <c r="H199" s="267">
        <f>+ก.ค.!H199+ส.ค.!H199+ก.ย.!H199</f>
        <v>0</v>
      </c>
      <c r="I199" s="267">
        <f>+ก.ค.!I199+ส.ค.!I199+ก.ย.!I199</f>
        <v>0</v>
      </c>
      <c r="J199" s="267">
        <f>+ก.ค.!J199+ส.ค.!J199+ก.ย.!J199</f>
        <v>0</v>
      </c>
      <c r="K199" s="267">
        <f>+ก.ค.!K199+ส.ค.!K199+ก.ย.!K199</f>
        <v>0</v>
      </c>
      <c r="L199" s="267">
        <f>+ก.ค.!L199+ส.ค.!L199+ก.ย.!L199</f>
        <v>0</v>
      </c>
      <c r="M199" s="267">
        <f>+ก.ค.!M199+ส.ค.!M199+ก.ย.!M199</f>
        <v>0</v>
      </c>
      <c r="N199" s="267">
        <f>+ก.ค.!N199+ส.ค.!N199+ก.ย.!N199</f>
        <v>0</v>
      </c>
      <c r="O199" s="267">
        <f>+ก.ค.!O199+ส.ค.!O199+ก.ย.!O199</f>
        <v>0</v>
      </c>
      <c r="P199" s="267">
        <f>+ก.ค.!P199+ส.ค.!P199+ก.ย.!P199</f>
        <v>0</v>
      </c>
      <c r="Q199" s="267">
        <f>+ก.ค.!Q199+ส.ค.!Q199+ก.ย.!Q199</f>
        <v>0</v>
      </c>
      <c r="R199" s="267">
        <f>+ก.ค.!R199+ส.ค.!R199+ก.ย.!R199</f>
        <v>0</v>
      </c>
      <c r="S199" s="267">
        <f>+ก.ค.!S199+ส.ค.!S199+ก.ย.!S199</f>
        <v>0</v>
      </c>
      <c r="T199" s="267">
        <f>+ก.ค.!T199+ส.ค.!T199+ก.ย.!T199</f>
        <v>0</v>
      </c>
      <c r="U199" s="267">
        <f>+ก.ค.!U199+ส.ค.!U199+ก.ย.!U199</f>
        <v>0</v>
      </c>
      <c r="V199" s="267">
        <f>+ก.ค.!V199+ส.ค.!V199+ก.ย.!V199</f>
        <v>0</v>
      </c>
      <c r="W199" s="310"/>
    </row>
    <row r="200" spans="1:23" s="221" customFormat="1" ht="25.5" customHeight="1">
      <c r="A200" s="9"/>
      <c r="B200" s="185"/>
      <c r="C200" s="216"/>
      <c r="D200" s="133"/>
      <c r="E200" s="267">
        <f>+ก.ค.!E200+ส.ค.!E200+ก.ย.!E200</f>
        <v>0</v>
      </c>
      <c r="F200" s="267">
        <f>+ก.ค.!F200+ส.ค.!F200+ก.ย.!F200</f>
        <v>0</v>
      </c>
      <c r="G200" s="267">
        <f>+ก.ค.!G200+ส.ค.!G200+ก.ย.!G200</f>
        <v>0</v>
      </c>
      <c r="H200" s="267">
        <f>+ก.ค.!H200+ส.ค.!H200+ก.ย.!H200</f>
        <v>0</v>
      </c>
      <c r="I200" s="267">
        <f>+ก.ค.!I200+ส.ค.!I200+ก.ย.!I200</f>
        <v>0</v>
      </c>
      <c r="J200" s="267">
        <f>+ก.ค.!J200+ส.ค.!J200+ก.ย.!J200</f>
        <v>0</v>
      </c>
      <c r="K200" s="267">
        <f>+ก.ค.!K200+ส.ค.!K200+ก.ย.!K200</f>
        <v>0</v>
      </c>
      <c r="L200" s="267">
        <f>+ก.ค.!L200+ส.ค.!L200+ก.ย.!L200</f>
        <v>0</v>
      </c>
      <c r="M200" s="267">
        <f>+ก.ค.!M200+ส.ค.!M200+ก.ย.!M200</f>
        <v>0</v>
      </c>
      <c r="N200" s="267">
        <f>+ก.ค.!N200+ส.ค.!N200+ก.ย.!N200</f>
        <v>0</v>
      </c>
      <c r="O200" s="267">
        <f>+ก.ค.!O200+ส.ค.!O200+ก.ย.!O200</f>
        <v>0</v>
      </c>
      <c r="P200" s="267">
        <f>+ก.ค.!P200+ส.ค.!P200+ก.ย.!P200</f>
        <v>0</v>
      </c>
      <c r="Q200" s="267">
        <f>+ก.ค.!Q200+ส.ค.!Q200+ก.ย.!Q200</f>
        <v>0</v>
      </c>
      <c r="R200" s="267">
        <f>+ก.ค.!R200+ส.ค.!R200+ก.ย.!R200</f>
        <v>0</v>
      </c>
      <c r="S200" s="267">
        <f>+ก.ค.!S200+ส.ค.!S200+ก.ย.!S200</f>
        <v>0</v>
      </c>
      <c r="T200" s="267">
        <f>+ก.ค.!T200+ส.ค.!T200+ก.ย.!T200</f>
        <v>0</v>
      </c>
      <c r="U200" s="267">
        <f>+ก.ค.!U200+ส.ค.!U200+ก.ย.!U200</f>
        <v>0</v>
      </c>
      <c r="V200" s="267">
        <f>+ก.ค.!V200+ส.ค.!V200+ก.ย.!V200</f>
        <v>0</v>
      </c>
      <c r="W200" s="310"/>
    </row>
    <row r="201" spans="1:23" s="221" customFormat="1" ht="25.5" customHeight="1">
      <c r="A201" s="9"/>
      <c r="B201" s="185"/>
      <c r="C201" s="216"/>
      <c r="D201" s="133"/>
      <c r="E201" s="267">
        <f>+ก.ค.!E201+ส.ค.!E201+ก.ย.!E201</f>
        <v>0</v>
      </c>
      <c r="F201" s="267">
        <f>+ก.ค.!F201+ส.ค.!F201+ก.ย.!F201</f>
        <v>0</v>
      </c>
      <c r="G201" s="267">
        <f>+ก.ค.!G201+ส.ค.!G201+ก.ย.!G201</f>
        <v>0</v>
      </c>
      <c r="H201" s="267">
        <f>+ก.ค.!H201+ส.ค.!H201+ก.ย.!H201</f>
        <v>0</v>
      </c>
      <c r="I201" s="267">
        <f>+ก.ค.!I201+ส.ค.!I201+ก.ย.!I201</f>
        <v>0</v>
      </c>
      <c r="J201" s="267">
        <f>+ก.ค.!J201+ส.ค.!J201+ก.ย.!J201</f>
        <v>0</v>
      </c>
      <c r="K201" s="267">
        <f>+ก.ค.!K201+ส.ค.!K201+ก.ย.!K201</f>
        <v>0</v>
      </c>
      <c r="L201" s="267">
        <f>+ก.ค.!L201+ส.ค.!L201+ก.ย.!L201</f>
        <v>0</v>
      </c>
      <c r="M201" s="267">
        <f>+ก.ค.!M201+ส.ค.!M201+ก.ย.!M201</f>
        <v>0</v>
      </c>
      <c r="N201" s="267">
        <f>+ก.ค.!N201+ส.ค.!N201+ก.ย.!N201</f>
        <v>0</v>
      </c>
      <c r="O201" s="267">
        <f>+ก.ค.!O201+ส.ค.!O201+ก.ย.!O201</f>
        <v>0</v>
      </c>
      <c r="P201" s="267">
        <f>+ก.ค.!P201+ส.ค.!P201+ก.ย.!P201</f>
        <v>0</v>
      </c>
      <c r="Q201" s="267">
        <f>+ก.ค.!Q201+ส.ค.!Q201+ก.ย.!Q201</f>
        <v>0</v>
      </c>
      <c r="R201" s="267">
        <f>+ก.ค.!R201+ส.ค.!R201+ก.ย.!R201</f>
        <v>0</v>
      </c>
      <c r="S201" s="267">
        <f>+ก.ค.!S201+ส.ค.!S201+ก.ย.!S201</f>
        <v>0</v>
      </c>
      <c r="T201" s="267">
        <f>+ก.ค.!T201+ส.ค.!T201+ก.ย.!T201</f>
        <v>0</v>
      </c>
      <c r="U201" s="267">
        <f>+ก.ค.!U201+ส.ค.!U201+ก.ย.!U201</f>
        <v>0</v>
      </c>
      <c r="V201" s="267">
        <f>+ก.ค.!V201+ส.ค.!V201+ก.ย.!V201</f>
        <v>0</v>
      </c>
      <c r="W201" s="310"/>
    </row>
    <row r="202" spans="1:23" s="221" customFormat="1" ht="25.5" customHeight="1">
      <c r="A202" s="9"/>
      <c r="B202" s="130"/>
      <c r="C202" s="216"/>
      <c r="D202" s="133"/>
      <c r="E202" s="267">
        <f>+ก.ค.!E202+ส.ค.!E202+ก.ย.!E202</f>
        <v>0</v>
      </c>
      <c r="F202" s="267">
        <f>+ก.ค.!F202+ส.ค.!F202+ก.ย.!F202</f>
        <v>0</v>
      </c>
      <c r="G202" s="267">
        <f>+ก.ค.!G202+ส.ค.!G202+ก.ย.!G202</f>
        <v>0</v>
      </c>
      <c r="H202" s="267">
        <f>+ก.ค.!H202+ส.ค.!H202+ก.ย.!H202</f>
        <v>0</v>
      </c>
      <c r="I202" s="267">
        <f>+ก.ค.!I202+ส.ค.!I202+ก.ย.!I202</f>
        <v>0</v>
      </c>
      <c r="J202" s="267">
        <f>+ก.ค.!J202+ส.ค.!J202+ก.ย.!J202</f>
        <v>0</v>
      </c>
      <c r="K202" s="267">
        <f>+ก.ค.!K202+ส.ค.!K202+ก.ย.!K202</f>
        <v>0</v>
      </c>
      <c r="L202" s="267">
        <f>+ก.ค.!L202+ส.ค.!L202+ก.ย.!L202</f>
        <v>0</v>
      </c>
      <c r="M202" s="267">
        <f>+ก.ค.!M202+ส.ค.!M202+ก.ย.!M202</f>
        <v>0</v>
      </c>
      <c r="N202" s="267">
        <f>+ก.ค.!N202+ส.ค.!N202+ก.ย.!N202</f>
        <v>0</v>
      </c>
      <c r="O202" s="267">
        <f>+ก.ค.!O202+ส.ค.!O202+ก.ย.!O202</f>
        <v>0</v>
      </c>
      <c r="P202" s="267">
        <f>+ก.ค.!P202+ส.ค.!P202+ก.ย.!P202</f>
        <v>0</v>
      </c>
      <c r="Q202" s="267">
        <f>+ก.ค.!Q202+ส.ค.!Q202+ก.ย.!Q202</f>
        <v>0</v>
      </c>
      <c r="R202" s="267">
        <f>+ก.ค.!R202+ส.ค.!R202+ก.ย.!R202</f>
        <v>0</v>
      </c>
      <c r="S202" s="267">
        <f>+ก.ค.!S202+ส.ค.!S202+ก.ย.!S202</f>
        <v>0</v>
      </c>
      <c r="T202" s="267">
        <f>+ก.ค.!T202+ส.ค.!T202+ก.ย.!T202</f>
        <v>0</v>
      </c>
      <c r="U202" s="267">
        <f>+ก.ค.!U202+ส.ค.!U202+ก.ย.!U202</f>
        <v>0</v>
      </c>
      <c r="V202" s="267">
        <f>+ก.ค.!V202+ส.ค.!V202+ก.ย.!V202</f>
        <v>0</v>
      </c>
      <c r="W202" s="310"/>
    </row>
    <row r="203" spans="1:23" s="221" customFormat="1" ht="25.5" customHeight="1">
      <c r="A203" s="197"/>
      <c r="B203" s="198"/>
      <c r="C203" s="216"/>
      <c r="D203" s="133"/>
      <c r="E203" s="267">
        <f>+ก.ค.!E203+ส.ค.!E203+ก.ย.!E203</f>
        <v>0</v>
      </c>
      <c r="F203" s="267">
        <f>+ก.ค.!F203+ส.ค.!F203+ก.ย.!F203</f>
        <v>0</v>
      </c>
      <c r="G203" s="267">
        <f>+ก.ค.!G203+ส.ค.!G203+ก.ย.!G203</f>
        <v>0</v>
      </c>
      <c r="H203" s="267">
        <f>+ก.ค.!H203+ส.ค.!H203+ก.ย.!H203</f>
        <v>0</v>
      </c>
      <c r="I203" s="267">
        <f>+ก.ค.!I203+ส.ค.!I203+ก.ย.!I203</f>
        <v>0</v>
      </c>
      <c r="J203" s="267">
        <f>+ก.ค.!J203+ส.ค.!J203+ก.ย.!J203</f>
        <v>0</v>
      </c>
      <c r="K203" s="267">
        <f>+ก.ค.!K203+ส.ค.!K203+ก.ย.!K203</f>
        <v>0</v>
      </c>
      <c r="L203" s="267">
        <f>+ก.ค.!L203+ส.ค.!L203+ก.ย.!L203</f>
        <v>0</v>
      </c>
      <c r="M203" s="267">
        <f>+ก.ค.!M203+ส.ค.!M203+ก.ย.!M203</f>
        <v>0</v>
      </c>
      <c r="N203" s="267">
        <f>+ก.ค.!N203+ส.ค.!N203+ก.ย.!N203</f>
        <v>0</v>
      </c>
      <c r="O203" s="267">
        <f>+ก.ค.!O203+ส.ค.!O203+ก.ย.!O203</f>
        <v>0</v>
      </c>
      <c r="P203" s="267">
        <f>+ก.ค.!P203+ส.ค.!P203+ก.ย.!P203</f>
        <v>0</v>
      </c>
      <c r="Q203" s="267">
        <f>+ก.ค.!Q203+ส.ค.!Q203+ก.ย.!Q203</f>
        <v>0</v>
      </c>
      <c r="R203" s="267">
        <f>+ก.ค.!R203+ส.ค.!R203+ก.ย.!R203</f>
        <v>0</v>
      </c>
      <c r="S203" s="267">
        <f>+ก.ค.!S203+ส.ค.!S203+ก.ย.!S203</f>
        <v>0</v>
      </c>
      <c r="T203" s="267">
        <f>+ก.ค.!T203+ส.ค.!T203+ก.ย.!T203</f>
        <v>0</v>
      </c>
      <c r="U203" s="267">
        <f>+ก.ค.!U203+ส.ค.!U203+ก.ย.!U203</f>
        <v>0</v>
      </c>
      <c r="V203" s="267">
        <f>+ก.ค.!V203+ส.ค.!V203+ก.ย.!V203</f>
        <v>0</v>
      </c>
      <c r="W203" s="310"/>
    </row>
    <row r="204" spans="1:23" s="221" customFormat="1" ht="25.5" customHeight="1" thickBot="1">
      <c r="A204" s="46"/>
      <c r="B204" s="47" t="s">
        <v>5</v>
      </c>
      <c r="C204" s="170">
        <f>SUM(C178:C203)</f>
        <v>2575778</v>
      </c>
      <c r="D204" s="255">
        <f>SUM(D178:D203)</f>
        <v>0</v>
      </c>
      <c r="E204" s="254">
        <f>SUM(E178:E203)</f>
        <v>197799</v>
      </c>
      <c r="F204" s="254">
        <f t="shared" ref="F204:V204" si="5">SUM(F178:F203)</f>
        <v>24148.400000000001</v>
      </c>
      <c r="G204" s="255">
        <f t="shared" si="5"/>
        <v>0</v>
      </c>
      <c r="H204" s="254">
        <f t="shared" si="5"/>
        <v>50360</v>
      </c>
      <c r="I204" s="255">
        <f t="shared" si="5"/>
        <v>949390.6399999999</v>
      </c>
      <c r="J204" s="255">
        <f t="shared" si="5"/>
        <v>0</v>
      </c>
      <c r="K204" s="254">
        <f t="shared" si="5"/>
        <v>0</v>
      </c>
      <c r="L204" s="255">
        <f t="shared" si="5"/>
        <v>0</v>
      </c>
      <c r="M204" s="254">
        <f t="shared" si="5"/>
        <v>28897.8</v>
      </c>
      <c r="N204" s="255">
        <f t="shared" si="5"/>
        <v>90500</v>
      </c>
      <c r="O204" s="255">
        <f t="shared" si="5"/>
        <v>0</v>
      </c>
      <c r="P204" s="255">
        <f t="shared" si="5"/>
        <v>0</v>
      </c>
      <c r="Q204" s="255">
        <f t="shared" si="5"/>
        <v>0</v>
      </c>
      <c r="R204" s="255">
        <f t="shared" si="5"/>
        <v>0</v>
      </c>
      <c r="S204" s="255">
        <f t="shared" si="5"/>
        <v>0</v>
      </c>
      <c r="T204" s="255"/>
      <c r="U204" s="255">
        <f t="shared" si="5"/>
        <v>0</v>
      </c>
      <c r="V204" s="255">
        <f t="shared" si="5"/>
        <v>11360</v>
      </c>
      <c r="W204" s="314">
        <f>SUM(D204:V204)</f>
        <v>1352455.84</v>
      </c>
    </row>
    <row r="205" spans="1:23" s="221" customFormat="1" ht="25.5" customHeight="1" thickTop="1">
      <c r="A205" s="5" t="s">
        <v>114</v>
      </c>
      <c r="B205" s="6"/>
      <c r="C205" s="190"/>
      <c r="D205" s="133"/>
      <c r="E205" s="267"/>
      <c r="F205" s="267"/>
      <c r="G205" s="267"/>
      <c r="H205" s="267"/>
      <c r="I205" s="267"/>
      <c r="J205" s="267"/>
      <c r="K205" s="267"/>
      <c r="L205" s="267"/>
      <c r="M205" s="267"/>
      <c r="N205" s="267"/>
      <c r="O205" s="267"/>
      <c r="P205" s="267"/>
      <c r="Q205" s="267"/>
      <c r="R205" s="267"/>
      <c r="S205" s="267"/>
      <c r="T205" s="267"/>
      <c r="U205" s="267">
        <f>+เม.ย.!U204+พ.ค.!U204+มิ.ย.!U204</f>
        <v>0</v>
      </c>
      <c r="V205" s="267">
        <f>+เม.ย.!V204+พ.ค.!V204+มิ.ย.!V204</f>
        <v>0</v>
      </c>
      <c r="W205" s="310"/>
    </row>
    <row r="206" spans="1:23" s="221" customFormat="1" ht="25.5" customHeight="1">
      <c r="A206" s="9"/>
      <c r="B206" s="130" t="s">
        <v>20</v>
      </c>
      <c r="C206" s="216">
        <f>240000+35000</f>
        <v>275000</v>
      </c>
      <c r="D206" s="261"/>
      <c r="E206" s="267">
        <f>+ก.ค.!E206+ส.ค.!E206+ก.ย.!E206</f>
        <v>87120.609999999986</v>
      </c>
      <c r="F206" s="267">
        <f>+ก.ค.!F206+ส.ค.!F206+ก.ย.!F206</f>
        <v>0</v>
      </c>
      <c r="G206" s="267">
        <f>+ก.ค.!G206+ส.ค.!G206+ก.ย.!G206</f>
        <v>0</v>
      </c>
      <c r="H206" s="267">
        <f>+ก.ค.!H206+ส.ค.!H206+ก.ย.!H206</f>
        <v>10197.060000000001</v>
      </c>
      <c r="I206" s="267">
        <f>+ก.ค.!I206+ส.ค.!I206+ก.ย.!I206</f>
        <v>0</v>
      </c>
      <c r="J206" s="267">
        <f>+ก.ค.!J206+ส.ค.!J206+ก.ย.!J206</f>
        <v>0</v>
      </c>
      <c r="K206" s="267">
        <f>+ก.ค.!K206+ส.ค.!K206+ก.ย.!K206</f>
        <v>0</v>
      </c>
      <c r="L206" s="267">
        <f>+ก.ค.!L206+ส.ค.!L206+ก.ย.!L206</f>
        <v>0</v>
      </c>
      <c r="M206" s="267">
        <f>+ก.ค.!M206+ส.ค.!M206+ก.ย.!M206</f>
        <v>0</v>
      </c>
      <c r="N206" s="267">
        <f>+ก.ค.!N206+ส.ค.!N206+ก.ย.!N206</f>
        <v>0</v>
      </c>
      <c r="O206" s="267">
        <f>+ก.ค.!O206+ส.ค.!O206+ก.ย.!O206</f>
        <v>0</v>
      </c>
      <c r="P206" s="267">
        <f>+ก.ค.!P206+ส.ค.!P206+ก.ย.!P206</f>
        <v>0</v>
      </c>
      <c r="Q206" s="267">
        <f>+ก.ค.!Q206+ส.ค.!Q206+ก.ย.!Q206</f>
        <v>0</v>
      </c>
      <c r="R206" s="267">
        <f>+ก.ค.!R206+ส.ค.!R206+ก.ย.!R206</f>
        <v>0</v>
      </c>
      <c r="S206" s="267">
        <f>+ก.ค.!S206+ส.ค.!S206+ก.ย.!S206</f>
        <v>0</v>
      </c>
      <c r="T206" s="267">
        <f>+ก.ค.!T206+ส.ค.!T206+ก.ย.!T206</f>
        <v>0</v>
      </c>
      <c r="U206" s="267">
        <f>+ก.ค.!U206+ส.ค.!U206+ก.ย.!U206</f>
        <v>0</v>
      </c>
      <c r="V206" s="267">
        <f>+ก.ค.!V206+ส.ค.!V206+ก.ย.!V206</f>
        <v>0</v>
      </c>
      <c r="W206" s="321"/>
    </row>
    <row r="207" spans="1:23" s="221" customFormat="1" ht="25.5" customHeight="1">
      <c r="A207" s="9"/>
      <c r="B207" s="130" t="s">
        <v>283</v>
      </c>
      <c r="C207" s="216">
        <f>100000+12000</f>
        <v>112000</v>
      </c>
      <c r="D207" s="261"/>
      <c r="E207" s="267">
        <f>+ก.ค.!E207+ส.ค.!E207+ก.ย.!E207</f>
        <v>26095.69</v>
      </c>
      <c r="F207" s="267">
        <f>+ก.ค.!F207+ส.ค.!F207+ก.ย.!F207</f>
        <v>0</v>
      </c>
      <c r="G207" s="267">
        <f>+ก.ค.!G207+ส.ค.!G207+ก.ย.!G207</f>
        <v>0</v>
      </c>
      <c r="H207" s="267">
        <f>+ก.ค.!H207+ส.ค.!H207+ก.ย.!H207</f>
        <v>4632.2</v>
      </c>
      <c r="I207" s="267">
        <f>+ก.ค.!I207+ส.ค.!I207+ก.ย.!I207</f>
        <v>0</v>
      </c>
      <c r="J207" s="267">
        <f>+ก.ค.!J207+ส.ค.!J207+ก.ย.!J207</f>
        <v>0</v>
      </c>
      <c r="K207" s="267">
        <f>+ก.ค.!K207+ส.ค.!K207+ก.ย.!K207</f>
        <v>0</v>
      </c>
      <c r="L207" s="267">
        <f>+ก.ค.!L207+ส.ค.!L207+ก.ย.!L207</f>
        <v>0</v>
      </c>
      <c r="M207" s="267">
        <f>+ก.ค.!M207+ส.ค.!M207+ก.ย.!M207</f>
        <v>0</v>
      </c>
      <c r="N207" s="267">
        <f>+ก.ค.!N207+ส.ค.!N207+ก.ย.!N207</f>
        <v>0</v>
      </c>
      <c r="O207" s="267">
        <f>+ก.ค.!O207+ส.ค.!O207+ก.ย.!O207</f>
        <v>0</v>
      </c>
      <c r="P207" s="267">
        <f>+ก.ค.!P207+ส.ค.!P207+ก.ย.!P207</f>
        <v>0</v>
      </c>
      <c r="Q207" s="267">
        <f>+ก.ค.!Q207+ส.ค.!Q207+ก.ย.!Q207</f>
        <v>0</v>
      </c>
      <c r="R207" s="267">
        <f>+ก.ค.!R207+ส.ค.!R207+ก.ย.!R207</f>
        <v>0</v>
      </c>
      <c r="S207" s="267">
        <f>+ก.ค.!S207+ส.ค.!S207+ก.ย.!S207</f>
        <v>0</v>
      </c>
      <c r="T207" s="267">
        <f>+ก.ค.!T207+ส.ค.!T207+ก.ย.!T207</f>
        <v>0</v>
      </c>
      <c r="U207" s="267">
        <f>+ก.ค.!U207+ส.ค.!U207+ก.ย.!U207</f>
        <v>0</v>
      </c>
      <c r="V207" s="267">
        <f>+ก.ค.!V207+ส.ค.!V207+ก.ย.!V207</f>
        <v>0</v>
      </c>
      <c r="W207" s="310"/>
    </row>
    <row r="208" spans="1:23" s="221" customFormat="1" ht="25.5" customHeight="1">
      <c r="A208" s="9"/>
      <c r="B208" s="130" t="s">
        <v>284</v>
      </c>
      <c r="C208" s="216">
        <f>15000+3000</f>
        <v>18000</v>
      </c>
      <c r="D208" s="131"/>
      <c r="E208" s="267">
        <f>+ก.ค.!E208+ส.ค.!E208+ก.ย.!E208</f>
        <v>546</v>
      </c>
      <c r="F208" s="267">
        <f>+ก.ค.!F208+ส.ค.!F208+ก.ย.!F208</f>
        <v>0</v>
      </c>
      <c r="G208" s="267">
        <f>+ก.ค.!G208+ส.ค.!G208+ก.ย.!G208</f>
        <v>0</v>
      </c>
      <c r="H208" s="267">
        <f>+ก.ค.!H208+ส.ค.!H208+ก.ย.!H208</f>
        <v>1000</v>
      </c>
      <c r="I208" s="267">
        <f>+ก.ค.!I208+ส.ค.!I208+ก.ย.!I208</f>
        <v>0</v>
      </c>
      <c r="J208" s="267">
        <f>+ก.ค.!J208+ส.ค.!J208+ก.ย.!J208</f>
        <v>0</v>
      </c>
      <c r="K208" s="267">
        <f>+ก.ค.!K208+ส.ค.!K208+ก.ย.!K208</f>
        <v>0</v>
      </c>
      <c r="L208" s="267">
        <f>+ก.ค.!L208+ส.ค.!L208+ก.ย.!L208</f>
        <v>0</v>
      </c>
      <c r="M208" s="267">
        <f>+ก.ค.!M208+ส.ค.!M208+ก.ย.!M208</f>
        <v>0</v>
      </c>
      <c r="N208" s="267">
        <f>+ก.ค.!N208+ส.ค.!N208+ก.ย.!N208</f>
        <v>0</v>
      </c>
      <c r="O208" s="267">
        <f>+ก.ค.!O208+ส.ค.!O208+ก.ย.!O208</f>
        <v>0</v>
      </c>
      <c r="P208" s="267">
        <f>+ก.ค.!P208+ส.ค.!P208+ก.ย.!P208</f>
        <v>0</v>
      </c>
      <c r="Q208" s="267">
        <f>+ก.ค.!Q208+ส.ค.!Q208+ก.ย.!Q208</f>
        <v>0</v>
      </c>
      <c r="R208" s="267">
        <f>+ก.ค.!R208+ส.ค.!R208+ก.ย.!R208</f>
        <v>0</v>
      </c>
      <c r="S208" s="267">
        <f>+ก.ค.!S208+ส.ค.!S208+ก.ย.!S208</f>
        <v>0</v>
      </c>
      <c r="T208" s="267">
        <f>+ก.ค.!T208+ส.ค.!T208+ก.ย.!T208</f>
        <v>0</v>
      </c>
      <c r="U208" s="267">
        <f>+ก.ค.!U208+ส.ค.!U208+ก.ย.!U208</f>
        <v>0</v>
      </c>
      <c r="V208" s="267">
        <f>+ก.ค.!V208+ส.ค.!V208+ก.ย.!V208</f>
        <v>0</v>
      </c>
      <c r="W208" s="310"/>
    </row>
    <row r="209" spans="1:23" s="221" customFormat="1" ht="25.5" customHeight="1">
      <c r="A209" s="9"/>
      <c r="B209" s="130" t="s">
        <v>285</v>
      </c>
      <c r="C209" s="216">
        <f>72000+32000+16100</f>
        <v>120100</v>
      </c>
      <c r="D209" s="131"/>
      <c r="E209" s="267">
        <f>+ก.ค.!E209+ส.ค.!E209+ก.ย.!E209</f>
        <v>17735.25</v>
      </c>
      <c r="F209" s="267">
        <f>+ก.ค.!F209+ส.ค.!F209+ก.ย.!F209</f>
        <v>0</v>
      </c>
      <c r="G209" s="267">
        <f>+ก.ค.!G209+ส.ค.!G209+ก.ย.!G209</f>
        <v>0</v>
      </c>
      <c r="H209" s="267">
        <f>+ก.ค.!H209+ส.ค.!H209+ก.ย.!H209</f>
        <v>5264.4</v>
      </c>
      <c r="I209" s="267">
        <f>+ก.ค.!I209+ส.ค.!I209+ก.ย.!I209</f>
        <v>0</v>
      </c>
      <c r="J209" s="267">
        <f>+ก.ค.!J209+ส.ค.!J209+ก.ย.!J209</f>
        <v>0</v>
      </c>
      <c r="K209" s="267">
        <f>+ก.ค.!K209+ส.ค.!K209+ก.ย.!K209</f>
        <v>0</v>
      </c>
      <c r="L209" s="267">
        <f>+ก.ค.!L209+ส.ค.!L209+ก.ย.!L209</f>
        <v>0</v>
      </c>
      <c r="M209" s="267">
        <f>+ก.ค.!M209+ส.ค.!M209+ก.ย.!M209</f>
        <v>0</v>
      </c>
      <c r="N209" s="267">
        <f>+ก.ค.!N209+ส.ค.!N209+ก.ย.!N209</f>
        <v>0</v>
      </c>
      <c r="O209" s="267">
        <f>+ก.ค.!O209+ส.ค.!O209+ก.ย.!O209</f>
        <v>0</v>
      </c>
      <c r="P209" s="267">
        <f>+ก.ค.!P209+ส.ค.!P209+ก.ย.!P209</f>
        <v>0</v>
      </c>
      <c r="Q209" s="267">
        <f>+ก.ค.!Q209+ส.ค.!Q209+ก.ย.!Q209</f>
        <v>0</v>
      </c>
      <c r="R209" s="267">
        <f>+ก.ค.!R209+ส.ค.!R209+ก.ย.!R209</f>
        <v>0</v>
      </c>
      <c r="S209" s="267">
        <f>+ก.ค.!S209+ส.ค.!S209+ก.ย.!S209</f>
        <v>0</v>
      </c>
      <c r="T209" s="267">
        <f>+ก.ค.!T209+ส.ค.!T209+ก.ย.!T209</f>
        <v>0</v>
      </c>
      <c r="U209" s="267">
        <f>+ก.ค.!U209+ส.ค.!U209+ก.ย.!U209</f>
        <v>0</v>
      </c>
      <c r="V209" s="267">
        <f>+ก.ค.!V209+ส.ค.!V209+ก.ย.!V209</f>
        <v>0</v>
      </c>
      <c r="W209" s="310"/>
    </row>
    <row r="210" spans="1:23" s="221" customFormat="1" ht="25.5" customHeight="1" thickBot="1">
      <c r="A210" s="15"/>
      <c r="B210" s="14" t="s">
        <v>5</v>
      </c>
      <c r="C210" s="170">
        <f>SUM(C206:C209)</f>
        <v>525100</v>
      </c>
      <c r="D210" s="132">
        <f>SUM(D206:D209)</f>
        <v>0</v>
      </c>
      <c r="E210" s="137">
        <f>SUM(E206:E209)</f>
        <v>131497.54999999999</v>
      </c>
      <c r="F210" s="137">
        <f t="shared" ref="F210:V210" si="6">SUM(F206:F209)</f>
        <v>0</v>
      </c>
      <c r="G210" s="132">
        <f t="shared" si="6"/>
        <v>0</v>
      </c>
      <c r="H210" s="137">
        <f>SUM(H206:H209)</f>
        <v>21093.660000000003</v>
      </c>
      <c r="I210" s="132">
        <f t="shared" si="6"/>
        <v>0</v>
      </c>
      <c r="J210" s="132">
        <f t="shared" si="6"/>
        <v>0</v>
      </c>
      <c r="K210" s="137">
        <f t="shared" si="6"/>
        <v>0</v>
      </c>
      <c r="L210" s="132">
        <f t="shared" si="6"/>
        <v>0</v>
      </c>
      <c r="M210" s="137">
        <f t="shared" si="6"/>
        <v>0</v>
      </c>
      <c r="N210" s="132">
        <f t="shared" si="6"/>
        <v>0</v>
      </c>
      <c r="O210" s="132">
        <f t="shared" si="6"/>
        <v>0</v>
      </c>
      <c r="P210" s="132">
        <f t="shared" si="6"/>
        <v>0</v>
      </c>
      <c r="Q210" s="132">
        <f t="shared" si="6"/>
        <v>0</v>
      </c>
      <c r="R210" s="132">
        <f t="shared" si="6"/>
        <v>0</v>
      </c>
      <c r="S210" s="132">
        <f t="shared" si="6"/>
        <v>0</v>
      </c>
      <c r="T210" s="132"/>
      <c r="U210" s="132">
        <f t="shared" si="6"/>
        <v>0</v>
      </c>
      <c r="V210" s="132">
        <f t="shared" si="6"/>
        <v>0</v>
      </c>
      <c r="W210" s="318">
        <f>SUM(D210:V210)</f>
        <v>152591.21</v>
      </c>
    </row>
    <row r="211" spans="1:23" s="221" customFormat="1" ht="25.5" customHeight="1" thickTop="1">
      <c r="A211" s="3" t="s">
        <v>122</v>
      </c>
      <c r="B211" s="4"/>
      <c r="C211" s="287"/>
      <c r="D211" s="133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310"/>
    </row>
    <row r="212" spans="1:23" s="221" customFormat="1" ht="25.5" customHeight="1">
      <c r="A212" s="169"/>
      <c r="B212" s="185" t="s">
        <v>323</v>
      </c>
      <c r="C212" s="190">
        <v>864000</v>
      </c>
      <c r="D212" s="131"/>
      <c r="E212" s="267">
        <f>+ก.ค.!E212+ส.ค.!E212+ก.ย.!E212</f>
        <v>0</v>
      </c>
      <c r="F212" s="267">
        <f>+ก.ค.!F212+ส.ค.!F212+ก.ย.!F212</f>
        <v>0</v>
      </c>
      <c r="G212" s="267">
        <f>+ก.ค.!G212+ส.ค.!G212+ก.ย.!G212</f>
        <v>0</v>
      </c>
      <c r="H212" s="267">
        <f>+ก.ค.!H212+ส.ค.!H212+ก.ย.!H212</f>
        <v>0</v>
      </c>
      <c r="I212" s="267">
        <f>+ก.ค.!I212+ส.ค.!I212+ก.ย.!I212</f>
        <v>228620</v>
      </c>
      <c r="J212" s="267">
        <f>+ก.ค.!J212+ส.ค.!J212+ก.ย.!J212</f>
        <v>0</v>
      </c>
      <c r="K212" s="267">
        <f>+ก.ค.!K212+ส.ค.!K212+ก.ย.!K212</f>
        <v>0</v>
      </c>
      <c r="L212" s="267">
        <f>+ก.ค.!L212+ส.ค.!L212+ก.ย.!L212</f>
        <v>0</v>
      </c>
      <c r="M212" s="267">
        <f>+ก.ค.!M212+ส.ค.!M212+ก.ย.!M212</f>
        <v>0</v>
      </c>
      <c r="N212" s="267">
        <f>+ก.ค.!N212+ส.ค.!N212+ก.ย.!N212</f>
        <v>0</v>
      </c>
      <c r="O212" s="267">
        <f>+ก.ค.!O212+ส.ค.!O212+ก.ย.!O212</f>
        <v>0</v>
      </c>
      <c r="P212" s="267">
        <f>+ก.ค.!P212+ส.ค.!P212+ก.ย.!P212</f>
        <v>0</v>
      </c>
      <c r="Q212" s="267">
        <f>+ก.ค.!Q212+ส.ค.!Q212+ก.ย.!Q212</f>
        <v>0</v>
      </c>
      <c r="R212" s="267">
        <f>+ก.ค.!R212+ส.ค.!R212+ก.ย.!R212</f>
        <v>0</v>
      </c>
      <c r="S212" s="267">
        <f>+ก.ค.!S212+ส.ค.!S212+ก.ย.!S212</f>
        <v>0</v>
      </c>
      <c r="T212" s="267">
        <f>+ก.ค.!T212+ส.ค.!T212+ก.ย.!T212</f>
        <v>0</v>
      </c>
      <c r="U212" s="267">
        <f>+ก.ค.!U212+ส.ค.!U212+ก.ย.!U212</f>
        <v>0</v>
      </c>
      <c r="V212" s="267">
        <f>+ก.ค.!V212+ส.ค.!V212+ก.ย.!V212</f>
        <v>0</v>
      </c>
      <c r="W212" s="310"/>
    </row>
    <row r="213" spans="1:23" s="221" customFormat="1" ht="25.5" customHeight="1">
      <c r="A213" s="169"/>
      <c r="B213" s="185" t="s">
        <v>324</v>
      </c>
      <c r="C213" s="190">
        <v>1096000</v>
      </c>
      <c r="D213" s="131"/>
      <c r="E213" s="267">
        <f>+ก.ค.!E213+ส.ค.!E213+ก.ย.!E213</f>
        <v>0</v>
      </c>
      <c r="F213" s="267">
        <f>+ก.ค.!F213+ส.ค.!F213+ก.ย.!F213</f>
        <v>0</v>
      </c>
      <c r="G213" s="267">
        <f>+ก.ค.!G213+ส.ค.!G213+ก.ย.!G213</f>
        <v>0</v>
      </c>
      <c r="H213" s="267">
        <f>+ก.ค.!H213+ส.ค.!H213+ก.ย.!H213</f>
        <v>0</v>
      </c>
      <c r="I213" s="267">
        <f>+ก.ค.!I213+ส.ค.!I213+ก.ย.!I213</f>
        <v>281860</v>
      </c>
      <c r="J213" s="267">
        <f>+ก.ค.!J213+ส.ค.!J213+ก.ย.!J213</f>
        <v>0</v>
      </c>
      <c r="K213" s="267">
        <f>+ก.ค.!K213+ส.ค.!K213+ก.ย.!K213</f>
        <v>0</v>
      </c>
      <c r="L213" s="267">
        <f>+ก.ค.!L213+ส.ค.!L213+ก.ย.!L213</f>
        <v>0</v>
      </c>
      <c r="M213" s="267">
        <f>+ก.ค.!M213+ส.ค.!M213+ก.ย.!M213</f>
        <v>0</v>
      </c>
      <c r="N213" s="267">
        <f>+ก.ค.!N213+ส.ค.!N213+ก.ย.!N213</f>
        <v>0</v>
      </c>
      <c r="O213" s="267">
        <f>+ก.ค.!O213+ส.ค.!O213+ก.ย.!O213</f>
        <v>0</v>
      </c>
      <c r="P213" s="267">
        <f>+ก.ค.!P213+ส.ค.!P213+ก.ย.!P213</f>
        <v>0</v>
      </c>
      <c r="Q213" s="267">
        <f>+ก.ค.!Q213+ส.ค.!Q213+ก.ย.!Q213</f>
        <v>0</v>
      </c>
      <c r="R213" s="267">
        <f>+ก.ค.!R213+ส.ค.!R213+ก.ย.!R213</f>
        <v>0</v>
      </c>
      <c r="S213" s="267">
        <f>+ก.ค.!S213+ส.ค.!S213+ก.ย.!S213</f>
        <v>0</v>
      </c>
      <c r="T213" s="267">
        <f>+ก.ค.!T213+ส.ค.!T213+ก.ย.!T213</f>
        <v>0</v>
      </c>
      <c r="U213" s="267">
        <f>+ก.ค.!U213+ส.ค.!U213+ก.ย.!U213</f>
        <v>0</v>
      </c>
      <c r="V213" s="267">
        <f>+ก.ค.!V213+ส.ค.!V213+ก.ย.!V213</f>
        <v>0</v>
      </c>
      <c r="W213" s="310"/>
    </row>
    <row r="214" spans="1:23" s="221" customFormat="1" ht="25.5" customHeight="1">
      <c r="A214" s="169"/>
      <c r="B214" s="185" t="s">
        <v>325</v>
      </c>
      <c r="C214" s="190">
        <v>580000</v>
      </c>
      <c r="D214" s="133"/>
      <c r="E214" s="267">
        <f>+ก.ค.!E214+ส.ค.!E214+ก.ย.!E214</f>
        <v>0</v>
      </c>
      <c r="F214" s="267">
        <f>+ก.ค.!F214+ส.ค.!F214+ก.ย.!F214</f>
        <v>0</v>
      </c>
      <c r="G214" s="267">
        <f>+ก.ค.!G214+ส.ค.!G214+ก.ย.!G214</f>
        <v>0</v>
      </c>
      <c r="H214" s="267">
        <f>+ก.ค.!H214+ส.ค.!H214+ก.ย.!H214</f>
        <v>0</v>
      </c>
      <c r="I214" s="267">
        <f>+ก.ค.!I214+ส.ค.!I214+ก.ย.!I214</f>
        <v>142680</v>
      </c>
      <c r="J214" s="267">
        <f>+ก.ค.!J214+ส.ค.!J214+ก.ย.!J214</f>
        <v>0</v>
      </c>
      <c r="K214" s="267">
        <f>+ก.ค.!K214+ส.ค.!K214+ก.ย.!K214</f>
        <v>0</v>
      </c>
      <c r="L214" s="267">
        <f>+ก.ค.!L214+ส.ค.!L214+ก.ย.!L214</f>
        <v>0</v>
      </c>
      <c r="M214" s="267">
        <f>+ก.ค.!M214+ส.ค.!M214+ก.ย.!M214</f>
        <v>0</v>
      </c>
      <c r="N214" s="267">
        <f>+ก.ค.!N214+ส.ค.!N214+ก.ย.!N214</f>
        <v>0</v>
      </c>
      <c r="O214" s="267">
        <f>+ก.ค.!O214+ส.ค.!O214+ก.ย.!O214</f>
        <v>0</v>
      </c>
      <c r="P214" s="267">
        <f>+ก.ค.!P214+ส.ค.!P214+ก.ย.!P214</f>
        <v>0</v>
      </c>
      <c r="Q214" s="267">
        <f>+ก.ค.!Q214+ส.ค.!Q214+ก.ย.!Q214</f>
        <v>0</v>
      </c>
      <c r="R214" s="267">
        <f>+ก.ค.!R214+ส.ค.!R214+ก.ย.!R214</f>
        <v>0</v>
      </c>
      <c r="S214" s="267">
        <f>+ก.ค.!S214+ส.ค.!S214+ก.ย.!S214</f>
        <v>0</v>
      </c>
      <c r="T214" s="267">
        <f>+ก.ค.!T214+ส.ค.!T214+ก.ย.!T214</f>
        <v>0</v>
      </c>
      <c r="U214" s="267">
        <f>+ก.ค.!U214+ส.ค.!U214+ก.ย.!U214</f>
        <v>0</v>
      </c>
      <c r="V214" s="267">
        <f>+ก.ค.!V214+ส.ค.!V214+ก.ย.!V214</f>
        <v>0</v>
      </c>
      <c r="W214" s="310"/>
    </row>
    <row r="215" spans="1:23" s="221" customFormat="1" ht="25.5" customHeight="1">
      <c r="A215" s="169"/>
      <c r="B215" s="185" t="s">
        <v>351</v>
      </c>
      <c r="C215" s="190">
        <v>223000</v>
      </c>
      <c r="D215" s="133"/>
      <c r="E215" s="267">
        <f>+ก.ค.!E215+ส.ค.!E215+ก.ย.!E215</f>
        <v>0</v>
      </c>
      <c r="F215" s="267">
        <f>+ก.ค.!F215+ส.ค.!F215+ก.ย.!F215</f>
        <v>0</v>
      </c>
      <c r="G215" s="267">
        <f>+ก.ค.!G215+ส.ค.!G215+ก.ย.!G215</f>
        <v>0</v>
      </c>
      <c r="H215" s="267">
        <f>+ก.ค.!H215+ส.ค.!H215+ก.ย.!H215</f>
        <v>0</v>
      </c>
      <c r="I215" s="267">
        <f>+ก.ค.!I215+ส.ค.!I215+ก.ย.!I215</f>
        <v>0</v>
      </c>
      <c r="J215" s="267">
        <f>+ก.ค.!J215+ส.ค.!J215+ก.ย.!J215</f>
        <v>0</v>
      </c>
      <c r="K215" s="267">
        <f>+ก.ค.!K215+ส.ค.!K215+ก.ย.!K215</f>
        <v>0</v>
      </c>
      <c r="L215" s="267">
        <f>+ก.ค.!L215+ส.ค.!L215+ก.ย.!L215</f>
        <v>0</v>
      </c>
      <c r="M215" s="267">
        <f>+ก.ค.!M215+ส.ค.!M215+ก.ย.!M215</f>
        <v>0</v>
      </c>
      <c r="N215" s="267">
        <f>+ก.ค.!N215+ส.ค.!N215+ก.ย.!N215</f>
        <v>0</v>
      </c>
      <c r="O215" s="267">
        <f>+ก.ค.!O215+ส.ค.!O215+ก.ย.!O215</f>
        <v>0</v>
      </c>
      <c r="P215" s="267">
        <f>+ก.ค.!P215+ส.ค.!P215+ก.ย.!P215</f>
        <v>0</v>
      </c>
      <c r="Q215" s="267">
        <f>+ก.ค.!Q215+ส.ค.!Q215+ก.ย.!Q215</f>
        <v>0</v>
      </c>
      <c r="R215" s="267">
        <f>+ก.ค.!R215+ส.ค.!R215+ก.ย.!R215</f>
        <v>0</v>
      </c>
      <c r="S215" s="267">
        <f>+ก.ค.!S215+ส.ค.!S215+ก.ย.!S215</f>
        <v>0</v>
      </c>
      <c r="T215" s="267">
        <f>+ก.ค.!T215+ส.ค.!T215+ก.ย.!T215</f>
        <v>0</v>
      </c>
      <c r="U215" s="267">
        <f>+ก.ค.!U215+ส.ค.!U215+ก.ย.!U215</f>
        <v>0</v>
      </c>
      <c r="V215" s="267">
        <f>+ก.ค.!V215+ส.ค.!V215+ก.ย.!V215</f>
        <v>0</v>
      </c>
      <c r="W215" s="310"/>
    </row>
    <row r="216" spans="1:23" s="221" customFormat="1" ht="25.5" customHeight="1">
      <c r="A216" s="169"/>
      <c r="B216" s="185" t="s">
        <v>442</v>
      </c>
      <c r="C216" s="190">
        <v>100000</v>
      </c>
      <c r="D216" s="133"/>
      <c r="E216" s="267">
        <f>+ก.ค.!E216+ส.ค.!E216+ก.ย.!E216</f>
        <v>0</v>
      </c>
      <c r="F216" s="267">
        <f>+ก.ค.!F216+ส.ค.!F216+ก.ย.!F216</f>
        <v>0</v>
      </c>
      <c r="G216" s="267">
        <f>+ก.ค.!G216+ส.ค.!G216+ก.ย.!G216</f>
        <v>0</v>
      </c>
      <c r="H216" s="267">
        <f>+ก.ค.!H216+ส.ค.!H216+ก.ย.!H216</f>
        <v>0</v>
      </c>
      <c r="I216" s="267">
        <f>+ก.ค.!I216+ส.ค.!I216+ก.ย.!I216</f>
        <v>0</v>
      </c>
      <c r="J216" s="267">
        <f>+ก.ค.!J216+ส.ค.!J216+ก.ย.!J216</f>
        <v>0</v>
      </c>
      <c r="K216" s="267">
        <f>+ก.ค.!K216+ส.ค.!K216+ก.ย.!K216</f>
        <v>100000</v>
      </c>
      <c r="L216" s="267">
        <f>+ก.ค.!L216+ส.ค.!L216+ก.ย.!L216</f>
        <v>0</v>
      </c>
      <c r="M216" s="267">
        <f>+ก.ค.!M216+ส.ค.!M216+ก.ย.!M216</f>
        <v>0</v>
      </c>
      <c r="N216" s="267">
        <f>+ก.ค.!N216+ส.ค.!N216+ก.ย.!N216</f>
        <v>0</v>
      </c>
      <c r="O216" s="267">
        <f>+ก.ค.!O216+ส.ค.!O216+ก.ย.!O216</f>
        <v>0</v>
      </c>
      <c r="P216" s="267">
        <f>+ก.ค.!P216+ส.ค.!P216+ก.ย.!P216</f>
        <v>0</v>
      </c>
      <c r="Q216" s="267">
        <f>+ก.ค.!Q216+ส.ค.!Q216+ก.ย.!Q216</f>
        <v>0</v>
      </c>
      <c r="R216" s="267">
        <f>+ก.ค.!R216+ส.ค.!R216+ก.ย.!R216</f>
        <v>0</v>
      </c>
      <c r="S216" s="267">
        <f>+ก.ค.!S216+ส.ค.!S216+ก.ย.!S216</f>
        <v>0</v>
      </c>
      <c r="T216" s="267">
        <f>+ก.ค.!T216+ส.ค.!T216+ก.ย.!T216</f>
        <v>0</v>
      </c>
      <c r="U216" s="267">
        <f>+ก.ค.!U216+ส.ค.!U216+ก.ย.!U216</f>
        <v>0</v>
      </c>
      <c r="V216" s="267">
        <f>+ก.ค.!V216+ส.ค.!V216+ก.ย.!V216</f>
        <v>0</v>
      </c>
      <c r="W216" s="310"/>
    </row>
    <row r="217" spans="1:23" s="221" customFormat="1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6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  <c r="W217" s="310"/>
    </row>
    <row r="218" spans="1:23" s="221" customFormat="1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6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  <c r="W218" s="310"/>
    </row>
    <row r="219" spans="1:23" s="221" customFormat="1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6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  <c r="W219" s="310"/>
    </row>
    <row r="220" spans="1:23" s="221" customFormat="1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5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  <c r="W220" s="310"/>
    </row>
    <row r="221" spans="1:23" s="221" customFormat="1" ht="25.5" customHeight="1" thickBot="1">
      <c r="A221" s="15"/>
      <c r="B221" s="14" t="s">
        <v>5</v>
      </c>
      <c r="C221" s="170">
        <f>SUM(C212:C220)</f>
        <v>2863000</v>
      </c>
      <c r="D221" s="255">
        <f>SUM(D212:D220)</f>
        <v>0</v>
      </c>
      <c r="E221" s="254">
        <f t="shared" ref="E221:V221" si="7">SUM(E212:E220)</f>
        <v>0</v>
      </c>
      <c r="F221" s="254">
        <f t="shared" si="7"/>
        <v>0</v>
      </c>
      <c r="G221" s="254">
        <f t="shared" si="7"/>
        <v>0</v>
      </c>
      <c r="H221" s="254">
        <f t="shared" si="7"/>
        <v>0</v>
      </c>
      <c r="I221" s="255">
        <f>SUM(I212:I220)</f>
        <v>653160</v>
      </c>
      <c r="J221" s="255">
        <f t="shared" si="7"/>
        <v>0</v>
      </c>
      <c r="K221" s="254">
        <f t="shared" si="7"/>
        <v>100000</v>
      </c>
      <c r="L221" s="255">
        <f t="shared" si="7"/>
        <v>0</v>
      </c>
      <c r="M221" s="254">
        <f t="shared" si="7"/>
        <v>0</v>
      </c>
      <c r="N221" s="255">
        <f t="shared" si="7"/>
        <v>0</v>
      </c>
      <c r="O221" s="255">
        <f t="shared" si="7"/>
        <v>0</v>
      </c>
      <c r="P221" s="255">
        <f t="shared" si="7"/>
        <v>0</v>
      </c>
      <c r="Q221" s="255">
        <f t="shared" si="7"/>
        <v>0</v>
      </c>
      <c r="R221" s="255">
        <f t="shared" si="7"/>
        <v>0</v>
      </c>
      <c r="S221" s="255">
        <f t="shared" si="7"/>
        <v>0</v>
      </c>
      <c r="T221" s="255"/>
      <c r="U221" s="255">
        <f t="shared" si="7"/>
        <v>0</v>
      </c>
      <c r="V221" s="255">
        <f t="shared" si="7"/>
        <v>0</v>
      </c>
      <c r="W221" s="314">
        <f>SUM(D221:V221)</f>
        <v>753160</v>
      </c>
    </row>
    <row r="222" spans="1:23" s="221" customFormat="1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6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  <c r="W222" s="310"/>
    </row>
    <row r="223" spans="1:23" s="221" customFormat="1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5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  <c r="W223" s="310"/>
    </row>
    <row r="224" spans="1:23" s="221" customFormat="1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4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  <c r="W224" s="310"/>
    </row>
    <row r="225" spans="1:24" s="221" customFormat="1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6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  <c r="W225" s="310"/>
    </row>
    <row r="226" spans="1:24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5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4" s="310" customFormat="1" ht="25.5" customHeight="1">
      <c r="A227" s="20"/>
      <c r="B227" s="186" t="s">
        <v>286</v>
      </c>
      <c r="C227" s="294">
        <v>10000</v>
      </c>
      <c r="D227" s="131"/>
      <c r="E227" s="267">
        <f>+ก.ค.!E227+ส.ค.!E227+ก.ย.!E227</f>
        <v>10000</v>
      </c>
      <c r="F227" s="267">
        <f>+ก.ค.!F227+ส.ค.!F227+ก.ย.!F227</f>
        <v>0</v>
      </c>
      <c r="G227" s="267">
        <f>+ก.ค.!G227+ส.ค.!G227+ก.ย.!G227</f>
        <v>0</v>
      </c>
      <c r="H227" s="267">
        <f>+ก.ค.!H227+ส.ค.!H227+ก.ย.!H227</f>
        <v>0</v>
      </c>
      <c r="I227" s="267">
        <f>+ก.ค.!I227+ส.ค.!I227+ก.ย.!I227</f>
        <v>0</v>
      </c>
      <c r="J227" s="267">
        <f>+ก.ค.!J227+ส.ค.!J227+ก.ย.!J227</f>
        <v>0</v>
      </c>
      <c r="K227" s="267">
        <f>+ก.ค.!K227+ส.ค.!K227+ก.ย.!K227</f>
        <v>0</v>
      </c>
      <c r="L227" s="267">
        <f>+ก.ค.!L227+ส.ค.!L227+ก.ย.!L227</f>
        <v>0</v>
      </c>
      <c r="M227" s="267">
        <f>+ก.ค.!M227+ส.ค.!M227+ก.ย.!M227</f>
        <v>0</v>
      </c>
      <c r="N227" s="267">
        <f>+ก.ค.!N227+ส.ค.!N227+ก.ย.!N227</f>
        <v>0</v>
      </c>
      <c r="O227" s="267">
        <f>+ก.ค.!O227+ส.ค.!O227+ก.ย.!O227</f>
        <v>0</v>
      </c>
      <c r="P227" s="267">
        <f>+ก.ค.!P227+ส.ค.!P227+ก.ย.!P227</f>
        <v>0</v>
      </c>
      <c r="Q227" s="267">
        <f>+ก.ค.!Q227+ส.ค.!Q227+ก.ย.!Q227</f>
        <v>0</v>
      </c>
      <c r="R227" s="267">
        <f>+ก.ค.!R227+ส.ค.!R227+ก.ย.!R227</f>
        <v>0</v>
      </c>
      <c r="S227" s="267">
        <f>+ก.ค.!S227+ส.ค.!S227+ก.ย.!S227</f>
        <v>0</v>
      </c>
      <c r="T227" s="267">
        <f>+ก.ค.!T227+ส.ค.!T227+ก.ย.!T227</f>
        <v>0</v>
      </c>
      <c r="U227" s="267">
        <f>+ก.ค.!U227+ส.ค.!U227+ก.ย.!U227</f>
        <v>0</v>
      </c>
      <c r="V227" s="267">
        <f>+ก.ค.!V227+ส.ค.!V227+ก.ย.!V227</f>
        <v>0</v>
      </c>
      <c r="X227" s="221"/>
    </row>
    <row r="228" spans="1:24" s="310" customFormat="1" ht="25.5" customHeight="1">
      <c r="A228" s="20"/>
      <c r="B228" s="186" t="s">
        <v>287</v>
      </c>
      <c r="C228" s="294">
        <v>4500</v>
      </c>
      <c r="D228" s="131"/>
      <c r="E228" s="267">
        <f>+ก.ค.!E228+ส.ค.!E228+ก.ย.!E228</f>
        <v>2700</v>
      </c>
      <c r="F228" s="267">
        <f>+ก.ค.!F228+ส.ค.!F228+ก.ย.!F228</f>
        <v>0</v>
      </c>
      <c r="G228" s="267">
        <f>+ก.ค.!G228+ส.ค.!G228+ก.ย.!G228</f>
        <v>0</v>
      </c>
      <c r="H228" s="267">
        <f>+ก.ค.!H228+ส.ค.!H228+ก.ย.!H228</f>
        <v>0</v>
      </c>
      <c r="I228" s="267">
        <f>+ก.ค.!I228+ส.ค.!I228+ก.ย.!I228</f>
        <v>0</v>
      </c>
      <c r="J228" s="267">
        <f>+ก.ค.!J228+ส.ค.!J228+ก.ย.!J228</f>
        <v>0</v>
      </c>
      <c r="K228" s="267">
        <f>+ก.ค.!K228+ส.ค.!K228+ก.ย.!K228</f>
        <v>0</v>
      </c>
      <c r="L228" s="267">
        <f>+ก.ค.!L228+ส.ค.!L228+ก.ย.!L228</f>
        <v>0</v>
      </c>
      <c r="M228" s="267">
        <f>+ก.ค.!M228+ส.ค.!M228+ก.ย.!M228</f>
        <v>0</v>
      </c>
      <c r="N228" s="267">
        <f>+ก.ค.!N228+ส.ค.!N228+ก.ย.!N228</f>
        <v>0</v>
      </c>
      <c r="O228" s="267">
        <f>+ก.ค.!O228+ส.ค.!O228+ก.ย.!O228</f>
        <v>0</v>
      </c>
      <c r="P228" s="267">
        <f>+ก.ค.!P228+ส.ค.!P228+ก.ย.!P228</f>
        <v>0</v>
      </c>
      <c r="Q228" s="267">
        <f>+ก.ค.!Q228+ส.ค.!Q228+ก.ย.!Q228</f>
        <v>0</v>
      </c>
      <c r="R228" s="267">
        <f>+ก.ค.!R228+ส.ค.!R228+ก.ย.!R228</f>
        <v>0</v>
      </c>
      <c r="S228" s="267">
        <f>+ก.ค.!S228+ส.ค.!S228+ก.ย.!S228</f>
        <v>0</v>
      </c>
      <c r="T228" s="267">
        <f>+ก.ค.!T228+ส.ค.!T228+ก.ย.!T228</f>
        <v>0</v>
      </c>
      <c r="U228" s="267">
        <f>+ก.ค.!U228+ส.ค.!U228+ก.ย.!U228</f>
        <v>0</v>
      </c>
      <c r="V228" s="267">
        <f>+ก.ค.!V228+ส.ค.!V228+ก.ย.!V228</f>
        <v>0</v>
      </c>
      <c r="X228" s="221"/>
    </row>
    <row r="229" spans="1:24" s="310" customFormat="1" ht="25.5" customHeight="1">
      <c r="A229" s="20"/>
      <c r="B229" s="186" t="s">
        <v>288</v>
      </c>
      <c r="C229" s="294">
        <v>3000</v>
      </c>
      <c r="D229" s="131"/>
      <c r="E229" s="267">
        <f>+ก.ค.!E229+ส.ค.!E229+ก.ย.!E229</f>
        <v>0</v>
      </c>
      <c r="F229" s="267">
        <f>+ก.ค.!F229+ส.ค.!F229+ก.ย.!F229</f>
        <v>0</v>
      </c>
      <c r="G229" s="267">
        <f>+ก.ค.!G229+ส.ค.!G229+ก.ย.!G229</f>
        <v>0</v>
      </c>
      <c r="H229" s="267">
        <f>+ก.ค.!H229+ส.ค.!H229+ก.ย.!H229</f>
        <v>0</v>
      </c>
      <c r="I229" s="267">
        <f>+ก.ค.!I229+ส.ค.!I229+ก.ย.!I229</f>
        <v>0</v>
      </c>
      <c r="J229" s="267">
        <f>+ก.ค.!J229+ส.ค.!J229+ก.ย.!J229</f>
        <v>0</v>
      </c>
      <c r="K229" s="267">
        <f>+ก.ค.!K229+ส.ค.!K229+ก.ย.!K229</f>
        <v>0</v>
      </c>
      <c r="L229" s="267">
        <f>+ก.ค.!L229+ส.ค.!L229+ก.ย.!L229</f>
        <v>0</v>
      </c>
      <c r="M229" s="267">
        <f>+ก.ค.!M229+ส.ค.!M229+ก.ย.!M229</f>
        <v>0</v>
      </c>
      <c r="N229" s="267">
        <f>+ก.ค.!N229+ส.ค.!N229+ก.ย.!N229</f>
        <v>0</v>
      </c>
      <c r="O229" s="267">
        <f>+ก.ค.!O229+ส.ค.!O229+ก.ย.!O229</f>
        <v>0</v>
      </c>
      <c r="P229" s="267">
        <f>+ก.ค.!P229+ส.ค.!P229+ก.ย.!P229</f>
        <v>0</v>
      </c>
      <c r="Q229" s="267">
        <f>+ก.ค.!Q229+ส.ค.!Q229+ก.ย.!Q229</f>
        <v>0</v>
      </c>
      <c r="R229" s="267">
        <f>+ก.ค.!R229+ส.ค.!R229+ก.ย.!R229</f>
        <v>0</v>
      </c>
      <c r="S229" s="267">
        <f>+ก.ค.!S229+ส.ค.!S229+ก.ย.!S229</f>
        <v>0</v>
      </c>
      <c r="T229" s="267">
        <f>+ก.ค.!T229+ส.ค.!T229+ก.ย.!T229</f>
        <v>0</v>
      </c>
      <c r="U229" s="267">
        <f>+ก.ค.!U229+ส.ค.!U229+ก.ย.!U229</f>
        <v>0</v>
      </c>
      <c r="V229" s="267">
        <f>+ก.ค.!V229+ส.ค.!V229+ก.ย.!V229</f>
        <v>0</v>
      </c>
      <c r="X229" s="221"/>
    </row>
    <row r="230" spans="1:24" s="310" customFormat="1" ht="25.5" customHeight="1">
      <c r="A230" s="20"/>
      <c r="B230" s="186" t="s">
        <v>289</v>
      </c>
      <c r="C230" s="294">
        <v>20000</v>
      </c>
      <c r="D230" s="131"/>
      <c r="E230" s="267">
        <f>+ก.ค.!E230+ส.ค.!E230+ก.ย.!E230</f>
        <v>19800</v>
      </c>
      <c r="F230" s="267">
        <f>+ก.ค.!F230+ส.ค.!F230+ก.ย.!F230</f>
        <v>0</v>
      </c>
      <c r="G230" s="267">
        <f>+ก.ค.!G230+ส.ค.!G230+ก.ย.!G230</f>
        <v>0</v>
      </c>
      <c r="H230" s="267">
        <f>+ก.ค.!H230+ส.ค.!H230+ก.ย.!H230</f>
        <v>0</v>
      </c>
      <c r="I230" s="267">
        <f>+ก.ค.!I230+ส.ค.!I230+ก.ย.!I230</f>
        <v>0</v>
      </c>
      <c r="J230" s="267">
        <f>+ก.ค.!J230+ส.ค.!J230+ก.ย.!J230</f>
        <v>0</v>
      </c>
      <c r="K230" s="267">
        <f>+ก.ค.!K230+ส.ค.!K230+ก.ย.!K230</f>
        <v>0</v>
      </c>
      <c r="L230" s="267">
        <f>+ก.ค.!L230+ส.ค.!L230+ก.ย.!L230</f>
        <v>0</v>
      </c>
      <c r="M230" s="267">
        <f>+ก.ค.!M230+ส.ค.!M230+ก.ย.!M230</f>
        <v>0</v>
      </c>
      <c r="N230" s="267">
        <f>+ก.ค.!N230+ส.ค.!N230+ก.ย.!N230</f>
        <v>0</v>
      </c>
      <c r="O230" s="267">
        <f>+ก.ค.!O230+ส.ค.!O230+ก.ย.!O230</f>
        <v>0</v>
      </c>
      <c r="P230" s="267">
        <f>+ก.ค.!P230+ส.ค.!P230+ก.ย.!P230</f>
        <v>0</v>
      </c>
      <c r="Q230" s="267">
        <f>+ก.ค.!Q230+ส.ค.!Q230+ก.ย.!Q230</f>
        <v>0</v>
      </c>
      <c r="R230" s="267">
        <f>+ก.ค.!R230+ส.ค.!R230+ก.ย.!R230</f>
        <v>0</v>
      </c>
      <c r="S230" s="267">
        <f>+ก.ค.!S230+ส.ค.!S230+ก.ย.!S230</f>
        <v>0</v>
      </c>
      <c r="T230" s="267">
        <f>+ก.ค.!T230+ส.ค.!T230+ก.ย.!T230</f>
        <v>0</v>
      </c>
      <c r="U230" s="267">
        <f>+ก.ค.!U230+ส.ค.!U230+ก.ย.!U230</f>
        <v>0</v>
      </c>
      <c r="V230" s="267">
        <f>+ก.ค.!V230+ส.ค.!V230+ก.ย.!V230</f>
        <v>0</v>
      </c>
      <c r="X230" s="221"/>
    </row>
    <row r="231" spans="1:24" s="310" customFormat="1" ht="25.5" customHeight="1">
      <c r="A231" s="20"/>
      <c r="B231" s="186" t="s">
        <v>290</v>
      </c>
      <c r="C231" s="295">
        <f>5500+5500</f>
        <v>11000</v>
      </c>
      <c r="D231" s="131"/>
      <c r="E231" s="267">
        <f>+ก.ค.!E231+ส.ค.!E231+ก.ย.!E231</f>
        <v>0</v>
      </c>
      <c r="F231" s="267">
        <f>+ก.ค.!F231+ส.ค.!F231+ก.ย.!F231</f>
        <v>0</v>
      </c>
      <c r="G231" s="267">
        <f>+ก.ค.!G231+ส.ค.!G231+ก.ย.!G231</f>
        <v>0</v>
      </c>
      <c r="H231" s="267">
        <f>+ก.ค.!H231+ส.ค.!H231+ก.ย.!H231</f>
        <v>0</v>
      </c>
      <c r="I231" s="267">
        <f>+ก.ค.!I231+ส.ค.!I231+ก.ย.!I231</f>
        <v>0</v>
      </c>
      <c r="J231" s="267">
        <f>+ก.ค.!J231+ส.ค.!J231+ก.ย.!J231</f>
        <v>0</v>
      </c>
      <c r="K231" s="267">
        <f>+ก.ค.!K231+ส.ค.!K231+ก.ย.!K231</f>
        <v>0</v>
      </c>
      <c r="L231" s="267">
        <f>+ก.ค.!L231+ส.ค.!L231+ก.ย.!L231</f>
        <v>0</v>
      </c>
      <c r="M231" s="267">
        <f>+ก.ค.!M231+ส.ค.!M231+ก.ย.!M231</f>
        <v>0</v>
      </c>
      <c r="N231" s="267">
        <f>+ก.ค.!N231+ส.ค.!N231+ก.ย.!N231</f>
        <v>0</v>
      </c>
      <c r="O231" s="267">
        <f>+ก.ค.!O231+ส.ค.!O231+ก.ย.!O231</f>
        <v>0</v>
      </c>
      <c r="P231" s="267">
        <f>+ก.ค.!P231+ส.ค.!P231+ก.ย.!P231</f>
        <v>0</v>
      </c>
      <c r="Q231" s="267">
        <f>+ก.ค.!Q231+ส.ค.!Q231+ก.ย.!Q231</f>
        <v>0</v>
      </c>
      <c r="R231" s="267">
        <f>+ก.ค.!R231+ส.ค.!R231+ก.ย.!R231</f>
        <v>0</v>
      </c>
      <c r="S231" s="267">
        <f>+ก.ค.!S231+ส.ค.!S231+ก.ย.!S231</f>
        <v>0</v>
      </c>
      <c r="T231" s="267">
        <f>+ก.ค.!T231+ส.ค.!T231+ก.ย.!T231</f>
        <v>0</v>
      </c>
      <c r="U231" s="267">
        <f>+ก.ค.!U231+ส.ค.!U231+ก.ย.!U231</f>
        <v>0</v>
      </c>
      <c r="V231" s="267">
        <f>+ก.ค.!V231+ส.ค.!V231+ก.ย.!V231</f>
        <v>0</v>
      </c>
      <c r="X231" s="221"/>
    </row>
    <row r="232" spans="1:24" s="310" customFormat="1" ht="25.5" customHeight="1">
      <c r="A232" s="20"/>
      <c r="B232" s="186" t="s">
        <v>305</v>
      </c>
      <c r="C232" s="295">
        <v>16000</v>
      </c>
      <c r="D232" s="131"/>
      <c r="E232" s="267">
        <f>+ก.ค.!E232+ส.ค.!E232+ก.ย.!E232</f>
        <v>0</v>
      </c>
      <c r="F232" s="267">
        <f>+ก.ค.!F232+ส.ค.!F232+ก.ย.!F232</f>
        <v>0</v>
      </c>
      <c r="G232" s="267">
        <f>+ก.ค.!G232+ส.ค.!G232+ก.ย.!G232</f>
        <v>0</v>
      </c>
      <c r="H232" s="267">
        <f>+ก.ค.!H232+ส.ค.!H232+ก.ย.!H232</f>
        <v>16000</v>
      </c>
      <c r="I232" s="267">
        <f>+ก.ค.!I232+ส.ค.!I232+ก.ย.!I232</f>
        <v>0</v>
      </c>
      <c r="J232" s="267">
        <f>+ก.ค.!J232+ส.ค.!J232+ก.ย.!J232</f>
        <v>0</v>
      </c>
      <c r="K232" s="267">
        <f>+ก.ค.!K232+ส.ค.!K232+ก.ย.!K232</f>
        <v>0</v>
      </c>
      <c r="L232" s="267">
        <f>+ก.ค.!L232+ส.ค.!L232+ก.ย.!L232</f>
        <v>0</v>
      </c>
      <c r="M232" s="267">
        <f>+ก.ค.!M232+ส.ค.!M232+ก.ย.!M232</f>
        <v>0</v>
      </c>
      <c r="N232" s="267">
        <f>+ก.ค.!N232+ส.ค.!N232+ก.ย.!N232</f>
        <v>0</v>
      </c>
      <c r="O232" s="267">
        <f>+ก.ค.!O232+ส.ค.!O232+ก.ย.!O232</f>
        <v>0</v>
      </c>
      <c r="P232" s="267">
        <f>+ก.ค.!P232+ส.ค.!P232+ก.ย.!P232</f>
        <v>0</v>
      </c>
      <c r="Q232" s="267">
        <f>+ก.ค.!Q232+ส.ค.!Q232+ก.ย.!Q232</f>
        <v>0</v>
      </c>
      <c r="R232" s="267">
        <f>+ก.ค.!R232+ส.ค.!R232+ก.ย.!R232</f>
        <v>0</v>
      </c>
      <c r="S232" s="267">
        <f>+ก.ค.!S232+ส.ค.!S232+ก.ย.!S232</f>
        <v>0</v>
      </c>
      <c r="T232" s="267">
        <f>+ก.ค.!T232+ส.ค.!T232+ก.ย.!T232</f>
        <v>0</v>
      </c>
      <c r="U232" s="267">
        <f>+ก.ค.!U232+ส.ค.!U232+ก.ย.!U232</f>
        <v>0</v>
      </c>
      <c r="V232" s="267">
        <f>+ก.ค.!V232+ส.ค.!V232+ก.ย.!V232</f>
        <v>0</v>
      </c>
      <c r="X232" s="221"/>
    </row>
    <row r="233" spans="1:24" s="310" customFormat="1" ht="25.5" customHeight="1">
      <c r="A233" s="20"/>
      <c r="B233" s="186" t="s">
        <v>334</v>
      </c>
      <c r="C233" s="295">
        <v>4500</v>
      </c>
      <c r="D233" s="131"/>
      <c r="E233" s="267">
        <f>+ก.ค.!E233+ส.ค.!E233+ก.ย.!E233</f>
        <v>0</v>
      </c>
      <c r="F233" s="267">
        <f>+ก.ค.!F233+ส.ค.!F233+ก.ย.!F233</f>
        <v>0</v>
      </c>
      <c r="G233" s="267">
        <f>+ก.ค.!G233+ส.ค.!G233+ก.ย.!G233</f>
        <v>0</v>
      </c>
      <c r="H233" s="267">
        <f>+ก.ค.!H233+ส.ค.!H233+ก.ย.!H233</f>
        <v>0</v>
      </c>
      <c r="I233" s="267">
        <f>+ก.ค.!I233+ส.ค.!I233+ก.ย.!I233</f>
        <v>0</v>
      </c>
      <c r="J233" s="267">
        <f>+ก.ค.!J233+ส.ค.!J233+ก.ย.!J233</f>
        <v>0</v>
      </c>
      <c r="K233" s="267">
        <f>+ก.ค.!K233+ส.ค.!K233+ก.ย.!K233</f>
        <v>0</v>
      </c>
      <c r="L233" s="267">
        <f>+ก.ค.!L233+ส.ค.!L233+ก.ย.!L233</f>
        <v>0</v>
      </c>
      <c r="M233" s="267">
        <f>+ก.ค.!M233+ส.ค.!M233+ก.ย.!M233</f>
        <v>0</v>
      </c>
      <c r="N233" s="267">
        <f>+ก.ค.!N233+ส.ค.!N233+ก.ย.!N233</f>
        <v>0</v>
      </c>
      <c r="O233" s="267">
        <f>+ก.ค.!O233+ส.ค.!O233+ก.ย.!O233</f>
        <v>0</v>
      </c>
      <c r="P233" s="267">
        <f>+ก.ค.!P233+ส.ค.!P233+ก.ย.!P233</f>
        <v>0</v>
      </c>
      <c r="Q233" s="267">
        <f>+ก.ค.!Q233+ส.ค.!Q233+ก.ย.!Q233</f>
        <v>0</v>
      </c>
      <c r="R233" s="267">
        <f>+ก.ค.!R233+ส.ค.!R233+ก.ย.!R233</f>
        <v>0</v>
      </c>
      <c r="S233" s="267">
        <f>+ก.ค.!S233+ส.ค.!S233+ก.ย.!S233</f>
        <v>0</v>
      </c>
      <c r="T233" s="267">
        <f>+ก.ค.!T233+ส.ค.!T233+ก.ย.!T233</f>
        <v>0</v>
      </c>
      <c r="U233" s="267">
        <f>+ก.ค.!U233+ส.ค.!U233+ก.ย.!U233</f>
        <v>0</v>
      </c>
      <c r="V233" s="267">
        <f>+ก.ค.!V233+ส.ค.!V233+ก.ย.!V233</f>
        <v>0</v>
      </c>
      <c r="X233" s="221"/>
    </row>
    <row r="234" spans="1:24" s="310" customFormat="1" ht="25.5" customHeight="1">
      <c r="A234" s="20"/>
      <c r="B234" s="186" t="s">
        <v>335</v>
      </c>
      <c r="C234" s="295">
        <v>4500</v>
      </c>
      <c r="D234" s="131"/>
      <c r="E234" s="267">
        <f>+ก.ค.!E234+ส.ค.!E234+ก.ย.!E234</f>
        <v>0</v>
      </c>
      <c r="F234" s="267">
        <f>+ก.ค.!F234+ส.ค.!F234+ก.ย.!F234</f>
        <v>0</v>
      </c>
      <c r="G234" s="267">
        <f>+ก.ค.!G234+ส.ค.!G234+ก.ย.!G234</f>
        <v>0</v>
      </c>
      <c r="H234" s="267">
        <f>+ก.ค.!H234+ส.ค.!H234+ก.ย.!H234</f>
        <v>0</v>
      </c>
      <c r="I234" s="267">
        <f>+ก.ค.!I234+ส.ค.!I234+ก.ย.!I234</f>
        <v>0</v>
      </c>
      <c r="J234" s="267">
        <f>+ก.ค.!J234+ส.ค.!J234+ก.ย.!J234</f>
        <v>0</v>
      </c>
      <c r="K234" s="267">
        <f>+ก.ค.!K234+ส.ค.!K234+ก.ย.!K234</f>
        <v>0</v>
      </c>
      <c r="L234" s="267">
        <f>+ก.ค.!L234+ส.ค.!L234+ก.ย.!L234</f>
        <v>0</v>
      </c>
      <c r="M234" s="267">
        <f>+ก.ค.!M234+ส.ค.!M234+ก.ย.!M234</f>
        <v>0</v>
      </c>
      <c r="N234" s="267">
        <f>+ก.ค.!N234+ส.ค.!N234+ก.ย.!N234</f>
        <v>0</v>
      </c>
      <c r="O234" s="267">
        <f>+ก.ค.!O234+ส.ค.!O234+ก.ย.!O234</f>
        <v>0</v>
      </c>
      <c r="P234" s="267">
        <f>+ก.ค.!P234+ส.ค.!P234+ก.ย.!P234</f>
        <v>0</v>
      </c>
      <c r="Q234" s="267">
        <f>+ก.ค.!Q234+ส.ค.!Q234+ก.ย.!Q234</f>
        <v>0</v>
      </c>
      <c r="R234" s="267">
        <f>+ก.ค.!R234+ส.ค.!R234+ก.ย.!R234</f>
        <v>0</v>
      </c>
      <c r="S234" s="267">
        <f>+ก.ค.!S234+ส.ค.!S234+ก.ย.!S234</f>
        <v>0</v>
      </c>
      <c r="T234" s="267">
        <f>+ก.ค.!T234+ส.ค.!T234+ก.ย.!T234</f>
        <v>0</v>
      </c>
      <c r="U234" s="267">
        <f>+ก.ค.!U234+ส.ค.!U234+ก.ย.!U234</f>
        <v>0</v>
      </c>
      <c r="V234" s="267">
        <f>+ก.ค.!V234+ส.ค.!V234+ก.ย.!V234</f>
        <v>0</v>
      </c>
      <c r="X234" s="221"/>
    </row>
    <row r="235" spans="1:24" s="310" customFormat="1" ht="25.5" customHeight="1" thickBot="1">
      <c r="A235" s="46"/>
      <c r="B235" s="492"/>
      <c r="C235" s="493"/>
      <c r="D235" s="255"/>
      <c r="E235" s="271">
        <f>SUM(E227:E234)</f>
        <v>32500</v>
      </c>
      <c r="F235" s="271">
        <f t="shared" ref="F235:V235" si="8">SUM(F227:F234)</f>
        <v>0</v>
      </c>
      <c r="G235" s="271">
        <f t="shared" si="8"/>
        <v>0</v>
      </c>
      <c r="H235" s="271">
        <f t="shared" si="8"/>
        <v>16000</v>
      </c>
      <c r="I235" s="271">
        <f t="shared" si="8"/>
        <v>0</v>
      </c>
      <c r="J235" s="271">
        <f t="shared" si="8"/>
        <v>0</v>
      </c>
      <c r="K235" s="271">
        <f t="shared" si="8"/>
        <v>0</v>
      </c>
      <c r="L235" s="271">
        <f t="shared" si="8"/>
        <v>0</v>
      </c>
      <c r="M235" s="271">
        <f>SUM(M227:M234)</f>
        <v>0</v>
      </c>
      <c r="N235" s="271">
        <f t="shared" si="8"/>
        <v>0</v>
      </c>
      <c r="O235" s="271">
        <f t="shared" si="8"/>
        <v>0</v>
      </c>
      <c r="P235" s="271">
        <f t="shared" si="8"/>
        <v>0</v>
      </c>
      <c r="Q235" s="271">
        <f t="shared" si="8"/>
        <v>0</v>
      </c>
      <c r="R235" s="271">
        <f t="shared" si="8"/>
        <v>0</v>
      </c>
      <c r="S235" s="271">
        <f t="shared" si="8"/>
        <v>0</v>
      </c>
      <c r="T235" s="271"/>
      <c r="U235" s="271">
        <f t="shared" si="8"/>
        <v>0</v>
      </c>
      <c r="V235" s="271">
        <f t="shared" si="8"/>
        <v>0</v>
      </c>
      <c r="W235" s="321">
        <f>SUM(D235:V235)</f>
        <v>48500</v>
      </c>
      <c r="X235" s="221"/>
    </row>
    <row r="236" spans="1:24" s="310" customFormat="1" ht="25.5" customHeight="1" thickTop="1">
      <c r="A236" s="20"/>
      <c r="B236" s="360" t="s">
        <v>292</v>
      </c>
      <c r="C236" s="361"/>
      <c r="D236" s="133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X236" s="221"/>
    </row>
    <row r="237" spans="1:24" s="310" customFormat="1" ht="25.5" customHeight="1">
      <c r="A237" s="20"/>
      <c r="B237" s="186" t="s">
        <v>293</v>
      </c>
      <c r="C237" s="295">
        <v>32000</v>
      </c>
      <c r="D237" s="131"/>
      <c r="E237" s="267">
        <f>+ก.ค.!E237+ส.ค.!E237+ก.ย.!E237</f>
        <v>32000</v>
      </c>
      <c r="F237" s="267">
        <f>+ก.ค.!F237+ส.ค.!F237+ก.ย.!F237</f>
        <v>0</v>
      </c>
      <c r="G237" s="267">
        <f>+ก.ค.!G237+ส.ค.!G237+ก.ย.!G237</f>
        <v>0</v>
      </c>
      <c r="H237" s="267">
        <f>+ก.ค.!H237+ส.ค.!H237+ก.ย.!H237</f>
        <v>0</v>
      </c>
      <c r="I237" s="267">
        <f>+ก.ค.!I237+ส.ค.!I237+ก.ย.!I237</f>
        <v>0</v>
      </c>
      <c r="J237" s="267">
        <f>+ก.ค.!J237+ส.ค.!J237+ก.ย.!J237</f>
        <v>0</v>
      </c>
      <c r="K237" s="267">
        <f>+ก.ค.!K237+ส.ค.!K237+ก.ย.!K237</f>
        <v>0</v>
      </c>
      <c r="L237" s="267">
        <f>+ก.ค.!L237+ส.ค.!L237+ก.ย.!L237</f>
        <v>0</v>
      </c>
      <c r="M237" s="267">
        <f>+ก.ค.!M237+ส.ค.!M237+ก.ย.!M237</f>
        <v>0</v>
      </c>
      <c r="N237" s="267">
        <f>+ก.ค.!N237+ส.ค.!N237+ก.ย.!N237</f>
        <v>0</v>
      </c>
      <c r="O237" s="267">
        <f>+ก.ค.!O237+ส.ค.!O237+ก.ย.!O237</f>
        <v>0</v>
      </c>
      <c r="P237" s="267">
        <f>+ก.ค.!P237+ส.ค.!P237+ก.ย.!P237</f>
        <v>0</v>
      </c>
      <c r="Q237" s="267">
        <f>+ก.ค.!Q237+ส.ค.!Q237+ก.ย.!Q237</f>
        <v>0</v>
      </c>
      <c r="R237" s="267">
        <f>+ก.ค.!R237+ส.ค.!R237+ก.ย.!R237</f>
        <v>0</v>
      </c>
      <c r="S237" s="267">
        <f>+ก.ค.!S237+ส.ค.!S237+ก.ย.!S237</f>
        <v>0</v>
      </c>
      <c r="T237" s="267">
        <f>+ก.ค.!T237+ส.ค.!T237+ก.ย.!T237</f>
        <v>0</v>
      </c>
      <c r="U237" s="267">
        <f>+ก.ค.!U237+ส.ค.!U237+ก.ย.!U237</f>
        <v>0</v>
      </c>
      <c r="V237" s="267">
        <f>+ก.ค.!V237+ส.ค.!V237+ก.ย.!V237</f>
        <v>0</v>
      </c>
      <c r="X237" s="221"/>
    </row>
    <row r="238" spans="1:24" s="310" customFormat="1" ht="25.5" customHeight="1">
      <c r="A238" s="20"/>
      <c r="B238" s="186" t="s">
        <v>125</v>
      </c>
      <c r="C238" s="295">
        <f>2800+2800+2300</f>
        <v>7900</v>
      </c>
      <c r="D238" s="131"/>
      <c r="E238" s="267">
        <f>+ก.ค.!E238+ส.ค.!E238+ก.ย.!E238</f>
        <v>2800</v>
      </c>
      <c r="F238" s="267">
        <f>+ก.ค.!F238+ส.ค.!F238+ก.ย.!F238</f>
        <v>0</v>
      </c>
      <c r="G238" s="267">
        <f>+ก.ค.!G238+ส.ค.!G238+ก.ย.!G238</f>
        <v>0</v>
      </c>
      <c r="H238" s="267">
        <f>+ก.ค.!H238+ส.ค.!H238+ก.ย.!H238</f>
        <v>0</v>
      </c>
      <c r="I238" s="267">
        <f>+ก.ค.!I238+ส.ค.!I238+ก.ย.!I238</f>
        <v>0</v>
      </c>
      <c r="J238" s="267">
        <f>+ก.ค.!J238+ส.ค.!J238+ก.ย.!J238</f>
        <v>0</v>
      </c>
      <c r="K238" s="267">
        <f>+ก.ค.!K238+ส.ค.!K238+ก.ย.!K238</f>
        <v>0</v>
      </c>
      <c r="L238" s="267">
        <f>+ก.ค.!L238+ส.ค.!L238+ก.ย.!L238</f>
        <v>0</v>
      </c>
      <c r="M238" s="267">
        <f>+ก.ค.!M238+ส.ค.!M238+ก.ย.!M238</f>
        <v>0</v>
      </c>
      <c r="N238" s="267">
        <f>+ก.ค.!N238+ส.ค.!N238+ก.ย.!N238</f>
        <v>0</v>
      </c>
      <c r="O238" s="267">
        <f>+ก.ค.!O238+ส.ค.!O238+ก.ย.!O238</f>
        <v>0</v>
      </c>
      <c r="P238" s="267">
        <f>+ก.ค.!P238+ส.ค.!P238+ก.ย.!P238</f>
        <v>0</v>
      </c>
      <c r="Q238" s="267">
        <f>+ก.ค.!Q238+ส.ค.!Q238+ก.ย.!Q238</f>
        <v>0</v>
      </c>
      <c r="R238" s="267">
        <f>+ก.ค.!R238+ส.ค.!R238+ก.ย.!R238</f>
        <v>0</v>
      </c>
      <c r="S238" s="267">
        <f>+ก.ค.!S238+ส.ค.!S238+ก.ย.!S238</f>
        <v>0</v>
      </c>
      <c r="T238" s="267">
        <f>+ก.ค.!T238+ส.ค.!T238+ก.ย.!T238</f>
        <v>0</v>
      </c>
      <c r="U238" s="267">
        <f>+ก.ค.!U238+ส.ค.!U238+ก.ย.!U238</f>
        <v>0</v>
      </c>
      <c r="V238" s="267">
        <f>+ก.ค.!V238+ส.ค.!V238+ก.ย.!V238</f>
        <v>0</v>
      </c>
      <c r="X238" s="221"/>
    </row>
    <row r="239" spans="1:24" s="310" customFormat="1" ht="25.5" customHeight="1">
      <c r="A239" s="20"/>
      <c r="B239" s="186" t="s">
        <v>294</v>
      </c>
      <c r="C239" s="295">
        <v>21000</v>
      </c>
      <c r="D239" s="131"/>
      <c r="E239" s="267">
        <f>+ก.ค.!E239+ส.ค.!E239+ก.ย.!E239</f>
        <v>0</v>
      </c>
      <c r="F239" s="267">
        <f>+ก.ค.!F239+ส.ค.!F239+ก.ย.!F239</f>
        <v>0</v>
      </c>
      <c r="G239" s="267">
        <f>+ก.ค.!G239+ส.ค.!G239+ก.ย.!G239</f>
        <v>0</v>
      </c>
      <c r="H239" s="267">
        <f>+ก.ค.!H239+ส.ค.!H239+ก.ย.!H239</f>
        <v>0</v>
      </c>
      <c r="I239" s="267">
        <f>+ก.ค.!I239+ส.ค.!I239+ก.ย.!I239</f>
        <v>0</v>
      </c>
      <c r="J239" s="267">
        <f>+ก.ค.!J239+ส.ค.!J239+ก.ย.!J239</f>
        <v>0</v>
      </c>
      <c r="K239" s="267">
        <f>+ก.ค.!K239+ส.ค.!K239+ก.ย.!K239</f>
        <v>0</v>
      </c>
      <c r="L239" s="267">
        <f>+ก.ค.!L239+ส.ค.!L239+ก.ย.!L239</f>
        <v>0</v>
      </c>
      <c r="M239" s="267">
        <f>+ก.ค.!M239+ส.ค.!M239+ก.ย.!M239</f>
        <v>0</v>
      </c>
      <c r="N239" s="267">
        <f>+ก.ค.!N239+ส.ค.!N239+ก.ย.!N239</f>
        <v>0</v>
      </c>
      <c r="O239" s="267">
        <f>+ก.ค.!O239+ส.ค.!O239+ก.ย.!O239</f>
        <v>0</v>
      </c>
      <c r="P239" s="267">
        <f>+ก.ค.!P239+ส.ค.!P239+ก.ย.!P239</f>
        <v>0</v>
      </c>
      <c r="Q239" s="267">
        <f>+ก.ค.!Q239+ส.ค.!Q239+ก.ย.!Q239</f>
        <v>0</v>
      </c>
      <c r="R239" s="267">
        <f>+ก.ค.!R239+ส.ค.!R239+ก.ย.!R239</f>
        <v>0</v>
      </c>
      <c r="S239" s="267">
        <f>+ก.ค.!S239+ส.ค.!S239+ก.ย.!S239</f>
        <v>0</v>
      </c>
      <c r="T239" s="267">
        <f>+ก.ค.!T239+ส.ค.!T239+ก.ย.!T239</f>
        <v>0</v>
      </c>
      <c r="U239" s="267">
        <f>+ก.ค.!U239+ส.ค.!U239+ก.ย.!U239</f>
        <v>0</v>
      </c>
      <c r="V239" s="267">
        <f>+ก.ค.!V239+ส.ค.!V239+ก.ย.!V239</f>
        <v>0</v>
      </c>
      <c r="X239" s="221"/>
    </row>
    <row r="240" spans="1:24" s="310" customFormat="1" ht="25.5" customHeight="1">
      <c r="A240" s="20"/>
      <c r="B240" s="186" t="s">
        <v>293</v>
      </c>
      <c r="C240" s="295">
        <v>16000</v>
      </c>
      <c r="D240" s="131"/>
      <c r="E240" s="267">
        <f>+ก.ค.!E240+ส.ค.!E240+ก.ย.!E240</f>
        <v>0</v>
      </c>
      <c r="F240" s="267">
        <f>+ก.ค.!F240+ส.ค.!F240+ก.ย.!F240</f>
        <v>0</v>
      </c>
      <c r="G240" s="267">
        <f>+ก.ค.!G240+ส.ค.!G240+ก.ย.!G240</f>
        <v>0</v>
      </c>
      <c r="H240" s="267">
        <f>+ก.ค.!H240+ส.ค.!H240+ก.ย.!H240</f>
        <v>0</v>
      </c>
      <c r="I240" s="267">
        <f>+ก.ค.!I240+ส.ค.!I240+ก.ย.!I240</f>
        <v>0</v>
      </c>
      <c r="J240" s="267">
        <f>+ก.ค.!J240+ส.ค.!J240+ก.ย.!J240</f>
        <v>0</v>
      </c>
      <c r="K240" s="267">
        <f>+ก.ค.!K240+ส.ค.!K240+ก.ย.!K240</f>
        <v>0</v>
      </c>
      <c r="L240" s="267">
        <f>+ก.ค.!L240+ส.ค.!L240+ก.ย.!L240</f>
        <v>0</v>
      </c>
      <c r="M240" s="267">
        <f>+ก.ค.!M240+ส.ค.!M240+ก.ย.!M240</f>
        <v>0</v>
      </c>
      <c r="N240" s="267">
        <f>+ก.ค.!N240+ส.ค.!N240+ก.ย.!N240</f>
        <v>0</v>
      </c>
      <c r="O240" s="267">
        <f>+ก.ค.!O240+ส.ค.!O240+ก.ย.!O240</f>
        <v>0</v>
      </c>
      <c r="P240" s="267">
        <f>+ก.ค.!P240+ส.ค.!P240+ก.ย.!P240</f>
        <v>0</v>
      </c>
      <c r="Q240" s="267">
        <f>+ก.ค.!Q240+ส.ค.!Q240+ก.ย.!Q240</f>
        <v>0</v>
      </c>
      <c r="R240" s="267">
        <f>+ก.ค.!R240+ส.ค.!R240+ก.ย.!R240</f>
        <v>0</v>
      </c>
      <c r="S240" s="267">
        <f>+ก.ค.!S240+ส.ค.!S240+ก.ย.!S240</f>
        <v>0</v>
      </c>
      <c r="T240" s="267">
        <f>+ก.ค.!T240+ส.ค.!T240+ก.ย.!T240</f>
        <v>0</v>
      </c>
      <c r="U240" s="267">
        <f>+ก.ค.!U240+ส.ค.!U240+ก.ย.!U240</f>
        <v>0</v>
      </c>
      <c r="V240" s="267">
        <f>+ก.ค.!V240+ส.ค.!V240+ก.ย.!V240</f>
        <v>0</v>
      </c>
      <c r="X240" s="221"/>
    </row>
    <row r="241" spans="1:24" s="310" customFormat="1" ht="25.5" customHeight="1">
      <c r="A241" s="20"/>
      <c r="B241" s="186" t="s">
        <v>306</v>
      </c>
      <c r="C241" s="295">
        <v>7700</v>
      </c>
      <c r="D241" s="131"/>
      <c r="E241" s="267">
        <f>+ก.ค.!E241+ส.ค.!E241+ก.ย.!E241</f>
        <v>0</v>
      </c>
      <c r="F241" s="267">
        <f>+ก.ค.!F241+ส.ค.!F241+ก.ย.!F241</f>
        <v>0</v>
      </c>
      <c r="G241" s="267">
        <f>+ก.ค.!G241+ส.ค.!G241+ก.ย.!G241</f>
        <v>0</v>
      </c>
      <c r="H241" s="267">
        <f>+ก.ค.!H241+ส.ค.!H241+ก.ย.!H241</f>
        <v>0</v>
      </c>
      <c r="I241" s="267">
        <f>+ก.ค.!I241+ส.ค.!I241+ก.ย.!I241</f>
        <v>0</v>
      </c>
      <c r="J241" s="267">
        <f>+ก.ค.!J241+ส.ค.!J241+ก.ย.!J241</f>
        <v>0</v>
      </c>
      <c r="K241" s="267">
        <f>+ก.ค.!K241+ส.ค.!K241+ก.ย.!K241</f>
        <v>0</v>
      </c>
      <c r="L241" s="267">
        <f>+ก.ค.!L241+ส.ค.!L241+ก.ย.!L241</f>
        <v>0</v>
      </c>
      <c r="M241" s="267">
        <f>+ก.ค.!M241+ส.ค.!M241+ก.ย.!M241</f>
        <v>0</v>
      </c>
      <c r="N241" s="267">
        <f>+ก.ค.!N241+ส.ค.!N241+ก.ย.!N241</f>
        <v>0</v>
      </c>
      <c r="O241" s="267">
        <f>+ก.ค.!O241+ส.ค.!O241+ก.ย.!O241</f>
        <v>0</v>
      </c>
      <c r="P241" s="267">
        <f>+ก.ค.!P241+ส.ค.!P241+ก.ย.!P241</f>
        <v>0</v>
      </c>
      <c r="Q241" s="267">
        <f>+ก.ค.!Q241+ส.ค.!Q241+ก.ย.!Q241</f>
        <v>0</v>
      </c>
      <c r="R241" s="267">
        <f>+ก.ค.!R241+ส.ค.!R241+ก.ย.!R241</f>
        <v>0</v>
      </c>
      <c r="S241" s="267">
        <f>+ก.ค.!S241+ส.ค.!S241+ก.ย.!S241</f>
        <v>0</v>
      </c>
      <c r="T241" s="267">
        <f>+ก.ค.!T241+ส.ค.!T241+ก.ย.!T241</f>
        <v>0</v>
      </c>
      <c r="U241" s="267">
        <f>+ก.ค.!U241+ส.ค.!U241+ก.ย.!U241</f>
        <v>0</v>
      </c>
      <c r="V241" s="267">
        <f>+ก.ค.!V241+ส.ค.!V241+ก.ย.!V241</f>
        <v>0</v>
      </c>
      <c r="X241" s="221"/>
    </row>
    <row r="242" spans="1:24" s="310" customFormat="1" ht="25.5" customHeight="1" thickBot="1">
      <c r="A242" s="46"/>
      <c r="B242" s="492"/>
      <c r="C242" s="493"/>
      <c r="D242" s="255"/>
      <c r="E242" s="271">
        <f>SUM(E237:E241)</f>
        <v>34800</v>
      </c>
      <c r="F242" s="271">
        <f t="shared" ref="F242:V242" si="9">SUM(F237:F241)</f>
        <v>0</v>
      </c>
      <c r="G242" s="271">
        <f t="shared" si="9"/>
        <v>0</v>
      </c>
      <c r="H242" s="271">
        <f t="shared" si="9"/>
        <v>0</v>
      </c>
      <c r="I242" s="271">
        <f t="shared" si="9"/>
        <v>0</v>
      </c>
      <c r="J242" s="271">
        <f t="shared" si="9"/>
        <v>0</v>
      </c>
      <c r="K242" s="271">
        <f t="shared" si="9"/>
        <v>0</v>
      </c>
      <c r="L242" s="271">
        <f t="shared" si="9"/>
        <v>0</v>
      </c>
      <c r="M242" s="271">
        <f>SUM(M237:M241)</f>
        <v>0</v>
      </c>
      <c r="N242" s="271">
        <f t="shared" si="9"/>
        <v>0</v>
      </c>
      <c r="O242" s="271">
        <f t="shared" si="9"/>
        <v>0</v>
      </c>
      <c r="P242" s="271">
        <f t="shared" si="9"/>
        <v>0</v>
      </c>
      <c r="Q242" s="271">
        <f t="shared" si="9"/>
        <v>0</v>
      </c>
      <c r="R242" s="271">
        <f t="shared" si="9"/>
        <v>0</v>
      </c>
      <c r="S242" s="271">
        <f t="shared" si="9"/>
        <v>0</v>
      </c>
      <c r="T242" s="271"/>
      <c r="U242" s="271">
        <f t="shared" si="9"/>
        <v>0</v>
      </c>
      <c r="V242" s="271">
        <f t="shared" si="9"/>
        <v>0</v>
      </c>
      <c r="W242" s="321">
        <f>SUM(D242:V242)</f>
        <v>34800</v>
      </c>
      <c r="X242" s="221"/>
    </row>
    <row r="243" spans="1:24" s="310" customFormat="1" ht="25.5" customHeight="1" thickTop="1">
      <c r="A243" s="20"/>
      <c r="B243" s="360" t="s">
        <v>336</v>
      </c>
      <c r="C243" s="361"/>
      <c r="D243" s="133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X243" s="221"/>
    </row>
    <row r="244" spans="1:24" s="310" customFormat="1" ht="25.5" customHeight="1">
      <c r="A244" s="20"/>
      <c r="B244" s="186" t="s">
        <v>337</v>
      </c>
      <c r="C244" s="295">
        <v>9000</v>
      </c>
      <c r="D244" s="131"/>
      <c r="E244" s="267">
        <f>+ก.ค.!E244+ส.ค.!E244+ก.ย.!E244</f>
        <v>0</v>
      </c>
      <c r="F244" s="267">
        <f>+ก.ค.!F244+ส.ค.!F244+ก.ย.!F244</f>
        <v>0</v>
      </c>
      <c r="G244" s="267">
        <f>+ก.ค.!G244+ส.ค.!G244+ก.ย.!G244</f>
        <v>0</v>
      </c>
      <c r="H244" s="267">
        <f>+ก.ค.!H244+ส.ค.!H244+ก.ย.!H244</f>
        <v>0</v>
      </c>
      <c r="I244" s="267">
        <f>+ก.ค.!I244+ส.ค.!I244+ก.ย.!I244</f>
        <v>0</v>
      </c>
      <c r="J244" s="267">
        <f>+ก.ค.!J244+ส.ค.!J244+ก.ย.!J244</f>
        <v>0</v>
      </c>
      <c r="K244" s="267">
        <f>+ก.ค.!K244+ส.ค.!K244+ก.ย.!K244</f>
        <v>0</v>
      </c>
      <c r="L244" s="267">
        <f>+ก.ค.!L244+ส.ค.!L244+ก.ย.!L244</f>
        <v>0</v>
      </c>
      <c r="M244" s="267">
        <f>+ก.ค.!M244+ส.ค.!M244+ก.ย.!M244</f>
        <v>0</v>
      </c>
      <c r="N244" s="267">
        <f>+ก.ค.!N244+ส.ค.!N244+ก.ย.!N244</f>
        <v>0</v>
      </c>
      <c r="O244" s="267">
        <f>+ก.ค.!O244+ส.ค.!O244+ก.ย.!O244</f>
        <v>0</v>
      </c>
      <c r="P244" s="267">
        <f>+ก.ค.!P244+ส.ค.!P244+ก.ย.!P244</f>
        <v>0</v>
      </c>
      <c r="Q244" s="267">
        <f>+ก.ค.!Q244+ส.ค.!Q244+ก.ย.!Q244</f>
        <v>0</v>
      </c>
      <c r="R244" s="267">
        <f>+ก.ค.!R244+ส.ค.!R244+ก.ย.!R244</f>
        <v>0</v>
      </c>
      <c r="S244" s="267">
        <f>+ก.ค.!S244+ส.ค.!S244+ก.ย.!S244</f>
        <v>0</v>
      </c>
      <c r="T244" s="267">
        <f>+ก.ค.!T244+ส.ค.!T244+ก.ย.!T244</f>
        <v>0</v>
      </c>
      <c r="U244" s="267">
        <f>+ก.ค.!U244+ส.ค.!U244+ก.ย.!U244</f>
        <v>0</v>
      </c>
      <c r="V244" s="267">
        <f>+ก.ค.!V244+ส.ค.!V244+ก.ย.!V244</f>
        <v>0</v>
      </c>
      <c r="X244" s="221"/>
    </row>
    <row r="245" spans="1:24" s="310" customFormat="1" ht="25.5" customHeight="1" thickBot="1">
      <c r="A245" s="46"/>
      <c r="B245" s="492"/>
      <c r="C245" s="493"/>
      <c r="D245" s="255"/>
      <c r="E245" s="271">
        <f>SUM(E244)</f>
        <v>0</v>
      </c>
      <c r="F245" s="271">
        <f t="shared" ref="F245:V245" si="10">SUM(F244)</f>
        <v>0</v>
      </c>
      <c r="G245" s="271">
        <f t="shared" si="10"/>
        <v>0</v>
      </c>
      <c r="H245" s="271">
        <f t="shared" si="10"/>
        <v>0</v>
      </c>
      <c r="I245" s="271">
        <f t="shared" si="10"/>
        <v>0</v>
      </c>
      <c r="J245" s="271">
        <f t="shared" si="10"/>
        <v>0</v>
      </c>
      <c r="K245" s="271">
        <f t="shared" si="10"/>
        <v>0</v>
      </c>
      <c r="L245" s="271">
        <f t="shared" si="10"/>
        <v>0</v>
      </c>
      <c r="M245" s="271">
        <f t="shared" si="10"/>
        <v>0</v>
      </c>
      <c r="N245" s="271">
        <f t="shared" si="10"/>
        <v>0</v>
      </c>
      <c r="O245" s="271">
        <f t="shared" si="10"/>
        <v>0</v>
      </c>
      <c r="P245" s="271">
        <f t="shared" si="10"/>
        <v>0</v>
      </c>
      <c r="Q245" s="271">
        <f t="shared" si="10"/>
        <v>0</v>
      </c>
      <c r="R245" s="271">
        <f t="shared" si="10"/>
        <v>0</v>
      </c>
      <c r="S245" s="271">
        <f t="shared" si="10"/>
        <v>0</v>
      </c>
      <c r="T245" s="271"/>
      <c r="U245" s="271">
        <f t="shared" si="10"/>
        <v>0</v>
      </c>
      <c r="V245" s="271">
        <f t="shared" si="10"/>
        <v>0</v>
      </c>
      <c r="X245" s="221"/>
    </row>
    <row r="246" spans="1:24" ht="25.5" customHeight="1" thickTop="1">
      <c r="A246" s="20"/>
      <c r="B246" s="360" t="s">
        <v>338</v>
      </c>
      <c r="C246" s="361"/>
      <c r="D246" s="133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7"/>
    </row>
    <row r="247" spans="1:24" ht="25.5" customHeight="1">
      <c r="A247" s="20"/>
      <c r="B247" s="186" t="s">
        <v>339</v>
      </c>
      <c r="C247" s="295">
        <v>8000</v>
      </c>
      <c r="D247" s="131"/>
      <c r="E247" s="267">
        <f>+ก.ค.!E247+ส.ค.!E247+ก.ย.!E247</f>
        <v>0</v>
      </c>
      <c r="F247" s="267">
        <f>+ก.ค.!F247+ส.ค.!F247+ก.ย.!F247</f>
        <v>0</v>
      </c>
      <c r="G247" s="267">
        <f>+ก.ค.!G247+ส.ค.!G247+ก.ย.!G247</f>
        <v>0</v>
      </c>
      <c r="H247" s="267">
        <f>+ก.ค.!H247+ส.ค.!H247+ก.ย.!H247</f>
        <v>0</v>
      </c>
      <c r="I247" s="267">
        <f>+ก.ค.!I247+ส.ค.!I247+ก.ย.!I247</f>
        <v>0</v>
      </c>
      <c r="J247" s="267">
        <f>+ก.ค.!J247+ส.ค.!J247+ก.ย.!J247</f>
        <v>0</v>
      </c>
      <c r="K247" s="267">
        <f>+ก.ค.!K247+ส.ค.!K247+ก.ย.!K247</f>
        <v>0</v>
      </c>
      <c r="L247" s="267">
        <f>+ก.ค.!L247+ส.ค.!L247+ก.ย.!L247</f>
        <v>0</v>
      </c>
      <c r="M247" s="267">
        <f>+ก.ค.!M247+ส.ค.!M247+ก.ย.!M247</f>
        <v>0</v>
      </c>
      <c r="N247" s="267">
        <f>+ก.ค.!N247+ส.ค.!N247+ก.ย.!N247</f>
        <v>0</v>
      </c>
      <c r="O247" s="267">
        <f>+ก.ค.!O247+ส.ค.!O247+ก.ย.!O247</f>
        <v>0</v>
      </c>
      <c r="P247" s="267">
        <f>+ก.ค.!P247+ส.ค.!P247+ก.ย.!P247</f>
        <v>0</v>
      </c>
      <c r="Q247" s="267">
        <f>+ก.ค.!Q247+ส.ค.!Q247+ก.ย.!Q247</f>
        <v>0</v>
      </c>
      <c r="R247" s="267">
        <f>+ก.ค.!R247+ส.ค.!R247+ก.ย.!R247</f>
        <v>0</v>
      </c>
      <c r="S247" s="267">
        <f>+ก.ค.!S247+ส.ค.!S247+ก.ย.!S247</f>
        <v>0</v>
      </c>
      <c r="T247" s="267">
        <f>+ก.ค.!T247+ส.ค.!T247+ก.ย.!T247</f>
        <v>0</v>
      </c>
      <c r="U247" s="267">
        <f>+ก.ค.!U247+ส.ค.!U247+ก.ย.!U247</f>
        <v>0</v>
      </c>
      <c r="V247" s="267">
        <f>+ก.ค.!V247+ส.ค.!V247+ก.ย.!V247</f>
        <v>0</v>
      </c>
    </row>
    <row r="248" spans="1:24" ht="25.5" customHeight="1">
      <c r="A248" s="20"/>
      <c r="B248" s="186" t="s">
        <v>340</v>
      </c>
      <c r="C248" s="295">
        <v>6000</v>
      </c>
      <c r="D248" s="131"/>
      <c r="E248" s="267">
        <f>+ก.ค.!E248+ส.ค.!E248+ก.ย.!E248</f>
        <v>0</v>
      </c>
      <c r="F248" s="267">
        <f>+ก.ค.!F248+ส.ค.!F248+ก.ย.!F248</f>
        <v>0</v>
      </c>
      <c r="G248" s="267">
        <f>+ก.ค.!G248+ส.ค.!G248+ก.ย.!G248</f>
        <v>0</v>
      </c>
      <c r="H248" s="267">
        <f>+ก.ค.!H248+ส.ค.!H248+ก.ย.!H248</f>
        <v>0</v>
      </c>
      <c r="I248" s="267">
        <f>+ก.ค.!I248+ส.ค.!I248+ก.ย.!I248</f>
        <v>0</v>
      </c>
      <c r="J248" s="267">
        <f>+ก.ค.!J248+ส.ค.!J248+ก.ย.!J248</f>
        <v>0</v>
      </c>
      <c r="K248" s="267">
        <f>+ก.ค.!K248+ส.ค.!K248+ก.ย.!K248</f>
        <v>0</v>
      </c>
      <c r="L248" s="267">
        <f>+ก.ค.!L248+ส.ค.!L248+ก.ย.!L248</f>
        <v>0</v>
      </c>
      <c r="M248" s="267">
        <f>+ก.ค.!M248+ส.ค.!M248+ก.ย.!M248</f>
        <v>0</v>
      </c>
      <c r="N248" s="267">
        <f>+ก.ค.!N248+ส.ค.!N248+ก.ย.!N248</f>
        <v>0</v>
      </c>
      <c r="O248" s="267">
        <f>+ก.ค.!O248+ส.ค.!O248+ก.ย.!O248</f>
        <v>0</v>
      </c>
      <c r="P248" s="267">
        <f>+ก.ค.!P248+ส.ค.!P248+ก.ย.!P248</f>
        <v>0</v>
      </c>
      <c r="Q248" s="267">
        <f>+ก.ค.!Q248+ส.ค.!Q248+ก.ย.!Q248</f>
        <v>0</v>
      </c>
      <c r="R248" s="267">
        <f>+ก.ค.!R248+ส.ค.!R248+ก.ย.!R248</f>
        <v>0</v>
      </c>
      <c r="S248" s="267">
        <f>+ก.ค.!S248+ส.ค.!S248+ก.ย.!S248</f>
        <v>0</v>
      </c>
      <c r="T248" s="267">
        <f>+ก.ค.!T248+ส.ค.!T248+ก.ย.!T248</f>
        <v>0</v>
      </c>
      <c r="U248" s="267">
        <f>+ก.ค.!U248+ส.ค.!U248+ก.ย.!U248</f>
        <v>0</v>
      </c>
      <c r="V248" s="267">
        <f>+ก.ค.!V248+ส.ค.!V248+ก.ย.!V248</f>
        <v>0</v>
      </c>
    </row>
    <row r="249" spans="1:24" ht="25.5" customHeight="1" thickBot="1">
      <c r="A249" s="46"/>
      <c r="B249" s="492"/>
      <c r="C249" s="493"/>
      <c r="D249" s="255"/>
      <c r="E249" s="271">
        <f>SUM(E247:E248)</f>
        <v>0</v>
      </c>
      <c r="F249" s="271">
        <f t="shared" ref="F249:V249" si="11">SUM(F247:F248)</f>
        <v>0</v>
      </c>
      <c r="G249" s="271">
        <f t="shared" si="11"/>
        <v>0</v>
      </c>
      <c r="H249" s="271">
        <f t="shared" si="11"/>
        <v>0</v>
      </c>
      <c r="I249" s="271">
        <f>SUM(I247:I248)</f>
        <v>0</v>
      </c>
      <c r="J249" s="271">
        <f t="shared" si="11"/>
        <v>0</v>
      </c>
      <c r="K249" s="271">
        <f t="shared" si="11"/>
        <v>0</v>
      </c>
      <c r="L249" s="271">
        <f t="shared" si="11"/>
        <v>0</v>
      </c>
      <c r="M249" s="271">
        <f t="shared" si="11"/>
        <v>0</v>
      </c>
      <c r="N249" s="271">
        <f t="shared" si="11"/>
        <v>0</v>
      </c>
      <c r="O249" s="271">
        <f t="shared" si="11"/>
        <v>0</v>
      </c>
      <c r="P249" s="271">
        <f t="shared" si="11"/>
        <v>0</v>
      </c>
      <c r="Q249" s="271">
        <f t="shared" si="11"/>
        <v>0</v>
      </c>
      <c r="R249" s="271">
        <f t="shared" si="11"/>
        <v>0</v>
      </c>
      <c r="S249" s="271">
        <f t="shared" si="11"/>
        <v>0</v>
      </c>
      <c r="T249" s="271"/>
      <c r="U249" s="271">
        <f t="shared" si="11"/>
        <v>0</v>
      </c>
      <c r="V249" s="271">
        <f t="shared" si="11"/>
        <v>0</v>
      </c>
      <c r="W249" s="494"/>
    </row>
    <row r="250" spans="1:24" ht="25.5" customHeight="1" thickTop="1">
      <c r="A250" s="20"/>
      <c r="B250" s="360" t="s">
        <v>341</v>
      </c>
      <c r="C250" s="361"/>
      <c r="D250" s="133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</row>
    <row r="251" spans="1:24" ht="25.5" customHeight="1">
      <c r="A251" s="20"/>
      <c r="B251" s="186" t="s">
        <v>342</v>
      </c>
      <c r="C251" s="295">
        <v>45300</v>
      </c>
      <c r="D251" s="131"/>
      <c r="E251" s="267">
        <f>+ก.ค.!E251+ส.ค.!E251+ก.ย.!E251</f>
        <v>0</v>
      </c>
      <c r="F251" s="267">
        <f>+ก.ค.!F251+ส.ค.!F251+ก.ย.!F251</f>
        <v>0</v>
      </c>
      <c r="G251" s="267">
        <f>+ก.ค.!G251+ส.ค.!G251+ก.ย.!G251</f>
        <v>0</v>
      </c>
      <c r="H251" s="267">
        <f>+ก.ค.!H251+ส.ค.!H251+ก.ย.!H251</f>
        <v>0</v>
      </c>
      <c r="I251" s="267">
        <f>+ก.ค.!I251+ส.ค.!I251+ก.ย.!I251</f>
        <v>0</v>
      </c>
      <c r="J251" s="267">
        <f>+ก.ค.!J251+ส.ค.!J251+ก.ย.!J251</f>
        <v>0</v>
      </c>
      <c r="K251" s="267">
        <f>+ก.ค.!K251+ส.ค.!K251+ก.ย.!K251</f>
        <v>0</v>
      </c>
      <c r="L251" s="267">
        <f>+ก.ค.!L251+ส.ค.!L251+ก.ย.!L251</f>
        <v>0</v>
      </c>
      <c r="M251" s="267">
        <f>+ก.ค.!M251+ส.ค.!M251+ก.ย.!M251</f>
        <v>0</v>
      </c>
      <c r="N251" s="267">
        <f>+ก.ค.!N251+ส.ค.!N251+ก.ย.!N251</f>
        <v>45300</v>
      </c>
      <c r="O251" s="267">
        <f>+ก.ค.!O251+ส.ค.!O251+ก.ย.!O251</f>
        <v>0</v>
      </c>
      <c r="P251" s="267">
        <f>+ก.ค.!P251+ส.ค.!P251+ก.ย.!P251</f>
        <v>0</v>
      </c>
      <c r="Q251" s="267">
        <f>+ก.ค.!Q251+ส.ค.!Q251+ก.ย.!Q251</f>
        <v>0</v>
      </c>
      <c r="R251" s="267">
        <f>+ก.ค.!R251+ส.ค.!R251+ก.ย.!R251</f>
        <v>0</v>
      </c>
      <c r="S251" s="267">
        <f>+ก.ค.!S251+ส.ค.!S251+ก.ย.!S251</f>
        <v>0</v>
      </c>
      <c r="T251" s="267">
        <f>+ก.ค.!T251+ส.ค.!T251+ก.ย.!T251</f>
        <v>0</v>
      </c>
      <c r="U251" s="267">
        <f>+ก.ค.!U251+ส.ค.!U251+ก.ย.!U251</f>
        <v>0</v>
      </c>
      <c r="V251" s="267">
        <f>+ก.ค.!V251+ส.ค.!V251+ก.ย.!V251</f>
        <v>0</v>
      </c>
    </row>
    <row r="252" spans="1:24" ht="25.5" customHeight="1">
      <c r="A252" s="20"/>
      <c r="B252" s="186" t="s">
        <v>343</v>
      </c>
      <c r="C252" s="295">
        <v>128000</v>
      </c>
      <c r="D252" s="131"/>
      <c r="E252" s="267">
        <f>+ก.ค.!E252+ส.ค.!E252+ก.ย.!E252</f>
        <v>0</v>
      </c>
      <c r="F252" s="267">
        <f>+ก.ค.!F252+ส.ค.!F252+ก.ย.!F252</f>
        <v>0</v>
      </c>
      <c r="G252" s="267">
        <f>+ก.ค.!G252+ส.ค.!G252+ก.ย.!G252</f>
        <v>0</v>
      </c>
      <c r="H252" s="267">
        <f>+ก.ค.!H252+ส.ค.!H252+ก.ย.!H252</f>
        <v>0</v>
      </c>
      <c r="I252" s="267">
        <f>+ก.ค.!I252+ส.ค.!I252+ก.ย.!I252</f>
        <v>0</v>
      </c>
      <c r="J252" s="267">
        <f>+ก.ค.!J252+ส.ค.!J252+ก.ย.!J252</f>
        <v>0</v>
      </c>
      <c r="K252" s="267">
        <f>+ก.ค.!K252+ส.ค.!K252+ก.ย.!K252</f>
        <v>0</v>
      </c>
      <c r="L252" s="267">
        <f>+ก.ค.!L252+ส.ค.!L252+ก.ย.!L252</f>
        <v>0</v>
      </c>
      <c r="M252" s="267">
        <f>+ก.ค.!M252+ส.ค.!M252+ก.ย.!M252</f>
        <v>0</v>
      </c>
      <c r="N252" s="267">
        <f>+ก.ค.!N252+ส.ค.!N252+ก.ย.!N252</f>
        <v>124500</v>
      </c>
      <c r="O252" s="267">
        <f>+ก.ค.!O252+ส.ค.!O252+ก.ย.!O252</f>
        <v>0</v>
      </c>
      <c r="P252" s="267">
        <f>+ก.ค.!P252+ส.ค.!P252+ก.ย.!P252</f>
        <v>0</v>
      </c>
      <c r="Q252" s="267">
        <f>+ก.ค.!Q252+ส.ค.!Q252+ก.ย.!Q252</f>
        <v>0</v>
      </c>
      <c r="R252" s="267">
        <f>+ก.ค.!R252+ส.ค.!R252+ก.ย.!R252</f>
        <v>0</v>
      </c>
      <c r="S252" s="267">
        <f>+ก.ค.!S252+ส.ค.!S252+ก.ย.!S252</f>
        <v>0</v>
      </c>
      <c r="T252" s="267">
        <f>+ก.ค.!T252+ส.ค.!T252+ก.ย.!T252</f>
        <v>0</v>
      </c>
      <c r="U252" s="267">
        <f>+ก.ค.!U252+ส.ค.!U252+ก.ย.!U252</f>
        <v>0</v>
      </c>
      <c r="V252" s="267">
        <f>+ก.ค.!V252+ส.ค.!V252+ก.ย.!V252</f>
        <v>0</v>
      </c>
    </row>
    <row r="253" spans="1:24" ht="25.5" customHeight="1">
      <c r="A253" s="20"/>
      <c r="B253" s="186" t="s">
        <v>264</v>
      </c>
      <c r="C253" s="295">
        <v>204000</v>
      </c>
      <c r="D253" s="131"/>
      <c r="E253" s="267">
        <f>+ก.ค.!E253+ส.ค.!E253+ก.ย.!E253</f>
        <v>0</v>
      </c>
      <c r="F253" s="267">
        <f>+ก.ค.!F253+ส.ค.!F253+ก.ย.!F253</f>
        <v>0</v>
      </c>
      <c r="G253" s="267">
        <f>+ก.ค.!G253+ส.ค.!G253+ก.ย.!G253</f>
        <v>0</v>
      </c>
      <c r="H253" s="267">
        <f>+ก.ค.!H253+ส.ค.!H253+ก.ย.!H253</f>
        <v>0</v>
      </c>
      <c r="I253" s="267">
        <f>+ก.ค.!I253+ส.ค.!I253+ก.ย.!I253</f>
        <v>0</v>
      </c>
      <c r="J253" s="267">
        <f>+ก.ค.!J253+ส.ค.!J253+ก.ย.!J253</f>
        <v>0</v>
      </c>
      <c r="K253" s="267">
        <f>+ก.ค.!K253+ส.ค.!K253+ก.ย.!K253</f>
        <v>0</v>
      </c>
      <c r="L253" s="267">
        <f>+ก.ค.!L253+ส.ค.!L253+ก.ย.!L253</f>
        <v>0</v>
      </c>
      <c r="M253" s="267">
        <f>+ก.ค.!M253+ส.ค.!M253+ก.ย.!M253</f>
        <v>0</v>
      </c>
      <c r="N253" s="267">
        <f>+ก.ค.!N253+ส.ค.!N253+ก.ย.!N253</f>
        <v>0</v>
      </c>
      <c r="O253" s="267">
        <f>+ก.ค.!O253+ส.ค.!O253+ก.ย.!O253</f>
        <v>0</v>
      </c>
      <c r="P253" s="267">
        <f>+ก.ค.!P253+ส.ค.!P253+ก.ย.!P253</f>
        <v>0</v>
      </c>
      <c r="Q253" s="267">
        <f>+ก.ค.!Q253+ส.ค.!Q253+ก.ย.!Q253</f>
        <v>0</v>
      </c>
      <c r="R253" s="267">
        <f>+ก.ค.!R253+ส.ค.!R253+ก.ย.!R253</f>
        <v>0</v>
      </c>
      <c r="S253" s="267">
        <f>+ก.ค.!S253+ส.ค.!S253+ก.ย.!S253</f>
        <v>0</v>
      </c>
      <c r="T253" s="267">
        <f>+ก.ค.!T253+ส.ค.!T253+ก.ย.!T253</f>
        <v>0</v>
      </c>
      <c r="U253" s="267">
        <f>+ก.ค.!U253+ส.ค.!U253+ก.ย.!U253</f>
        <v>0</v>
      </c>
      <c r="V253" s="267">
        <f>+ก.ค.!V253+ส.ค.!V253+ก.ย.!V253</f>
        <v>0</v>
      </c>
    </row>
    <row r="254" spans="1:24" ht="25.5" customHeight="1">
      <c r="A254" s="20"/>
      <c r="B254" s="186" t="s">
        <v>381</v>
      </c>
      <c r="C254" s="295">
        <v>204000</v>
      </c>
      <c r="D254" s="131"/>
      <c r="E254" s="267">
        <f>+ก.ค.!E254+ส.ค.!E254+ก.ย.!E254</f>
        <v>0</v>
      </c>
      <c r="F254" s="267">
        <f>+ก.ค.!F254+ส.ค.!F254+ก.ย.!F254</f>
        <v>0</v>
      </c>
      <c r="G254" s="267">
        <f>+ก.ค.!G254+ส.ค.!G254+ก.ย.!G254</f>
        <v>0</v>
      </c>
      <c r="H254" s="267">
        <f>+ก.ค.!H254+ส.ค.!H254+ก.ย.!H254</f>
        <v>0</v>
      </c>
      <c r="I254" s="267">
        <f>+ก.ค.!I254+ส.ค.!I254+ก.ย.!I254</f>
        <v>0</v>
      </c>
      <c r="J254" s="267">
        <f>+ก.ค.!J254+ส.ค.!J254+ก.ย.!J254</f>
        <v>0</v>
      </c>
      <c r="K254" s="267">
        <f>+ก.ค.!K254+ส.ค.!K254+ก.ย.!K254</f>
        <v>0</v>
      </c>
      <c r="L254" s="267">
        <f>+ก.ค.!L254+ส.ค.!L254+ก.ย.!L254</f>
        <v>0</v>
      </c>
      <c r="M254" s="267">
        <f>+ก.ค.!M254+ส.ค.!M254+ก.ย.!M254</f>
        <v>0</v>
      </c>
      <c r="N254" s="267">
        <f>+ก.ค.!N254+ส.ค.!N254+ก.ย.!N254</f>
        <v>0</v>
      </c>
      <c r="O254" s="267">
        <f>+ก.ค.!O254+ส.ค.!O254+ก.ย.!O254</f>
        <v>0</v>
      </c>
      <c r="P254" s="267">
        <f>+ก.ค.!P254+ส.ค.!P254+ก.ย.!P254</f>
        <v>0</v>
      </c>
      <c r="Q254" s="267">
        <f>+ก.ค.!Q254+ส.ค.!Q254+ก.ย.!Q254</f>
        <v>0</v>
      </c>
      <c r="R254" s="267">
        <f>+ก.ค.!R254+ส.ค.!R254+ก.ย.!R254</f>
        <v>0</v>
      </c>
      <c r="S254" s="267">
        <f>+ก.ค.!S254+ส.ค.!S254+ก.ย.!S254</f>
        <v>0</v>
      </c>
      <c r="T254" s="267">
        <f>+ก.ค.!T254+ส.ค.!T254+ก.ย.!T254</f>
        <v>0</v>
      </c>
      <c r="U254" s="267">
        <f>+ก.ค.!U254+ส.ค.!U254+ก.ย.!U254</f>
        <v>0</v>
      </c>
      <c r="V254" s="267">
        <f>+ก.ค.!V254+ส.ค.!V254+ก.ย.!V254</f>
        <v>0</v>
      </c>
    </row>
    <row r="255" spans="1:24" ht="25.5" customHeight="1">
      <c r="A255" s="20"/>
      <c r="B255" s="186" t="s">
        <v>344</v>
      </c>
      <c r="C255" s="295">
        <v>204000</v>
      </c>
      <c r="D255" s="131"/>
      <c r="E255" s="267">
        <f>+ก.ค.!E255+ส.ค.!E255+ก.ย.!E255</f>
        <v>0</v>
      </c>
      <c r="F255" s="267">
        <f>+ก.ค.!F255+ส.ค.!F255+ก.ย.!F255</f>
        <v>0</v>
      </c>
      <c r="G255" s="267">
        <f>+ก.ค.!G255+ส.ค.!G255+ก.ย.!G255</f>
        <v>0</v>
      </c>
      <c r="H255" s="267">
        <f>+ก.ค.!H255+ส.ค.!H255+ก.ย.!H255</f>
        <v>0</v>
      </c>
      <c r="I255" s="267">
        <f>+ก.ค.!I255+ส.ค.!I255+ก.ย.!I255</f>
        <v>0</v>
      </c>
      <c r="J255" s="267">
        <f>+ก.ค.!J255+ส.ค.!J255+ก.ย.!J255</f>
        <v>0</v>
      </c>
      <c r="K255" s="267">
        <f>+ก.ค.!K255+ส.ค.!K255+ก.ย.!K255</f>
        <v>0</v>
      </c>
      <c r="L255" s="267">
        <f>+ก.ค.!L255+ส.ค.!L255+ก.ย.!L255</f>
        <v>0</v>
      </c>
      <c r="M255" s="267">
        <f>+ก.ค.!M255+ส.ค.!M255+ก.ย.!M255</f>
        <v>0</v>
      </c>
      <c r="N255" s="267">
        <f>+ก.ค.!N255+ส.ค.!N255+ก.ย.!N255</f>
        <v>0</v>
      </c>
      <c r="O255" s="267">
        <f>+ก.ค.!O255+ส.ค.!O255+ก.ย.!O255</f>
        <v>0</v>
      </c>
      <c r="P255" s="267">
        <f>+ก.ค.!P255+ส.ค.!P255+ก.ย.!P255</f>
        <v>0</v>
      </c>
      <c r="Q255" s="267">
        <f>+ก.ค.!Q255+ส.ค.!Q255+ก.ย.!Q255</f>
        <v>0</v>
      </c>
      <c r="R255" s="267">
        <f>+ก.ค.!R255+ส.ค.!R255+ก.ย.!R255</f>
        <v>0</v>
      </c>
      <c r="S255" s="267">
        <f>+ก.ค.!S255+ส.ค.!S255+ก.ย.!S255</f>
        <v>0</v>
      </c>
      <c r="T255" s="267">
        <f>+ก.ค.!T255+ส.ค.!T255+ก.ย.!T255</f>
        <v>0</v>
      </c>
      <c r="U255" s="267">
        <f>+ก.ค.!U255+ส.ค.!U255+ก.ย.!U255</f>
        <v>0</v>
      </c>
      <c r="V255" s="267">
        <f>+ก.ค.!V255+ส.ค.!V255+ก.ย.!V255</f>
        <v>0</v>
      </c>
    </row>
    <row r="256" spans="1:24" ht="25.5" customHeight="1">
      <c r="A256" s="20"/>
      <c r="B256" s="186" t="s">
        <v>345</v>
      </c>
      <c r="C256" s="295">
        <v>217000</v>
      </c>
      <c r="D256" s="131"/>
      <c r="E256" s="267">
        <f>+ก.ค.!E256+ส.ค.!E256+ก.ย.!E256</f>
        <v>0</v>
      </c>
      <c r="F256" s="267">
        <f>+ก.ค.!F256+ส.ค.!F256+ก.ย.!F256</f>
        <v>0</v>
      </c>
      <c r="G256" s="267">
        <f>+ก.ค.!G256+ส.ค.!G256+ก.ย.!G256</f>
        <v>0</v>
      </c>
      <c r="H256" s="267">
        <f>+ก.ค.!H256+ส.ค.!H256+ก.ย.!H256</f>
        <v>0</v>
      </c>
      <c r="I256" s="267">
        <f>+ก.ค.!I256+ส.ค.!I256+ก.ย.!I256</f>
        <v>0</v>
      </c>
      <c r="J256" s="267">
        <f>+ก.ค.!J256+ส.ค.!J256+ก.ย.!J256</f>
        <v>0</v>
      </c>
      <c r="K256" s="267">
        <f>+ก.ค.!K256+ส.ค.!K256+ก.ย.!K256</f>
        <v>0</v>
      </c>
      <c r="L256" s="267">
        <f>+ก.ค.!L256+ส.ค.!L256+ก.ย.!L256</f>
        <v>0</v>
      </c>
      <c r="M256" s="267">
        <f>+ก.ค.!M256+ส.ค.!M256+ก.ย.!M256</f>
        <v>0</v>
      </c>
      <c r="N256" s="267">
        <f>+ก.ค.!N256+ส.ค.!N256+ก.ย.!N256</f>
        <v>0</v>
      </c>
      <c r="O256" s="267">
        <f>+ก.ค.!O256+ส.ค.!O256+ก.ย.!O256</f>
        <v>0</v>
      </c>
      <c r="P256" s="267">
        <f>+ก.ค.!P256+ส.ค.!P256+ก.ย.!P256</f>
        <v>0</v>
      </c>
      <c r="Q256" s="267">
        <f>+ก.ค.!Q256+ส.ค.!Q256+ก.ย.!Q256</f>
        <v>0</v>
      </c>
      <c r="R256" s="267">
        <f>+ก.ค.!R256+ส.ค.!R256+ก.ย.!R256</f>
        <v>0</v>
      </c>
      <c r="S256" s="267">
        <f>+ก.ค.!S256+ส.ค.!S256+ก.ย.!S256</f>
        <v>0</v>
      </c>
      <c r="T256" s="267">
        <f>+ก.ค.!T256+ส.ค.!T256+ก.ย.!T256</f>
        <v>0</v>
      </c>
      <c r="U256" s="267">
        <f>+ก.ค.!U256+ส.ค.!U256+ก.ย.!U256</f>
        <v>0</v>
      </c>
      <c r="V256" s="267">
        <f>+ก.ค.!V256+ส.ค.!V256+ก.ย.!V256</f>
        <v>0</v>
      </c>
    </row>
    <row r="257" spans="1:23" ht="25.5" customHeight="1">
      <c r="A257" s="20"/>
      <c r="B257" s="186" t="s">
        <v>346</v>
      </c>
      <c r="C257" s="295">
        <v>27000</v>
      </c>
      <c r="D257" s="131"/>
      <c r="E257" s="267">
        <f>+ก.ค.!E257+ส.ค.!E257+ก.ย.!E257</f>
        <v>0</v>
      </c>
      <c r="F257" s="267">
        <f>+ก.ค.!F257+ส.ค.!F257+ก.ย.!F257</f>
        <v>0</v>
      </c>
      <c r="G257" s="267">
        <f>+ก.ค.!G257+ส.ค.!G257+ก.ย.!G257</f>
        <v>0</v>
      </c>
      <c r="H257" s="267">
        <f>+ก.ค.!H257+ส.ค.!H257+ก.ย.!H257</f>
        <v>0</v>
      </c>
      <c r="I257" s="267">
        <f>+ก.ค.!I257+ส.ค.!I257+ก.ย.!I257</f>
        <v>0</v>
      </c>
      <c r="J257" s="267">
        <f>+ก.ค.!J257+ส.ค.!J257+ก.ย.!J257</f>
        <v>0</v>
      </c>
      <c r="K257" s="267">
        <f>+ก.ค.!K257+ส.ค.!K257+ก.ย.!K257</f>
        <v>0</v>
      </c>
      <c r="L257" s="267">
        <f>+ก.ค.!L257+ส.ค.!L257+ก.ย.!L257</f>
        <v>0</v>
      </c>
      <c r="M257" s="267">
        <f>+ก.ค.!M257+ส.ค.!M257+ก.ย.!M257</f>
        <v>0</v>
      </c>
      <c r="N257" s="267">
        <f>+ก.ค.!N257+ส.ค.!N257+ก.ย.!N257</f>
        <v>25000</v>
      </c>
      <c r="O257" s="267">
        <f>+ก.ค.!O257+ส.ค.!O257+ก.ย.!O257</f>
        <v>0</v>
      </c>
      <c r="P257" s="267">
        <f>+ก.ค.!P257+ส.ค.!P257+ก.ย.!P257</f>
        <v>0</v>
      </c>
      <c r="Q257" s="267">
        <f>+ก.ค.!Q257+ส.ค.!Q257+ก.ย.!Q257</f>
        <v>0</v>
      </c>
      <c r="R257" s="267">
        <f>+ก.ค.!R257+ส.ค.!R257+ก.ย.!R257</f>
        <v>0</v>
      </c>
      <c r="S257" s="267">
        <f>+ก.ค.!S257+ส.ค.!S257+ก.ย.!S257</f>
        <v>0</v>
      </c>
      <c r="T257" s="267">
        <f>+ก.ค.!T257+ส.ค.!T257+ก.ย.!T257</f>
        <v>0</v>
      </c>
      <c r="U257" s="267">
        <f>+ก.ค.!U257+ส.ค.!U257+ก.ย.!U257</f>
        <v>0</v>
      </c>
      <c r="V257" s="267">
        <f>+ก.ค.!V257+ส.ค.!V257+ก.ย.!V257</f>
        <v>0</v>
      </c>
    </row>
    <row r="258" spans="1:23" s="221" customFormat="1" ht="25.5" customHeight="1">
      <c r="A258" s="20"/>
      <c r="B258" s="186" t="s">
        <v>347</v>
      </c>
      <c r="C258" s="295">
        <v>211000</v>
      </c>
      <c r="D258" s="131"/>
      <c r="E258" s="267">
        <f>+ก.ค.!E258+ส.ค.!E258+ก.ย.!E258</f>
        <v>0</v>
      </c>
      <c r="F258" s="267">
        <f>+ก.ค.!F258+ส.ค.!F258+ก.ย.!F258</f>
        <v>0</v>
      </c>
      <c r="G258" s="267">
        <f>+ก.ค.!G258+ส.ค.!G258+ก.ย.!G258</f>
        <v>0</v>
      </c>
      <c r="H258" s="267">
        <f>+ก.ค.!H258+ส.ค.!H258+ก.ย.!H258</f>
        <v>0</v>
      </c>
      <c r="I258" s="267">
        <f>+ก.ค.!I258+ส.ค.!I258+ก.ย.!I258</f>
        <v>0</v>
      </c>
      <c r="J258" s="267">
        <f>+ก.ค.!J258+ส.ค.!J258+ก.ย.!J258</f>
        <v>0</v>
      </c>
      <c r="K258" s="267">
        <f>+ก.ค.!K258+ส.ค.!K258+ก.ย.!K258</f>
        <v>0</v>
      </c>
      <c r="L258" s="267">
        <f>+ก.ค.!L258+ส.ค.!L258+ก.ย.!L258</f>
        <v>0</v>
      </c>
      <c r="M258" s="267">
        <f>+ก.ค.!M258+ส.ค.!M258+ก.ย.!M258</f>
        <v>0</v>
      </c>
      <c r="N258" s="267">
        <f>+ก.ค.!N258+ส.ค.!N258+ก.ย.!N258</f>
        <v>210000</v>
      </c>
      <c r="O258" s="267">
        <f>+ก.ค.!O258+ส.ค.!O258+ก.ย.!O258</f>
        <v>0</v>
      </c>
      <c r="P258" s="267">
        <f>+ก.ค.!P258+ส.ค.!P258+ก.ย.!P258</f>
        <v>0</v>
      </c>
      <c r="Q258" s="267">
        <f>+ก.ค.!Q258+ส.ค.!Q258+ก.ย.!Q258</f>
        <v>0</v>
      </c>
      <c r="R258" s="267">
        <f>+ก.ค.!R258+ส.ค.!R258+ก.ย.!R258</f>
        <v>0</v>
      </c>
      <c r="S258" s="267">
        <f>+ก.ค.!S258+ส.ค.!S258+ก.ย.!S258</f>
        <v>0</v>
      </c>
      <c r="T258" s="267">
        <f>+ก.ค.!T258+ส.ค.!T258+ก.ย.!T258</f>
        <v>0</v>
      </c>
      <c r="U258" s="267">
        <f>+ก.ค.!U258+ส.ค.!U258+ก.ย.!U258</f>
        <v>0</v>
      </c>
      <c r="V258" s="267">
        <f>+ก.ค.!V258+ส.ค.!V258+ก.ย.!V258</f>
        <v>0</v>
      </c>
      <c r="W258" s="310"/>
    </row>
    <row r="259" spans="1:23" s="221" customFormat="1" ht="25.5" customHeight="1">
      <c r="A259" s="20"/>
      <c r="B259" s="186" t="s">
        <v>348</v>
      </c>
      <c r="C259" s="295">
        <v>211000</v>
      </c>
      <c r="D259" s="131"/>
      <c r="E259" s="267">
        <f>+ก.ค.!E259+ส.ค.!E259+ก.ย.!E259</f>
        <v>0</v>
      </c>
      <c r="F259" s="267">
        <f>+ก.ค.!F259+ส.ค.!F259+ก.ย.!F259</f>
        <v>0</v>
      </c>
      <c r="G259" s="267">
        <f>+ก.ค.!G259+ส.ค.!G259+ก.ย.!G259</f>
        <v>0</v>
      </c>
      <c r="H259" s="267">
        <f>+ก.ค.!H259+ส.ค.!H259+ก.ย.!H259</f>
        <v>0</v>
      </c>
      <c r="I259" s="267">
        <f>+ก.ค.!I259+ส.ค.!I259+ก.ย.!I259</f>
        <v>0</v>
      </c>
      <c r="J259" s="267">
        <f>+ก.ค.!J259+ส.ค.!J259+ก.ย.!J259</f>
        <v>0</v>
      </c>
      <c r="K259" s="267">
        <f>+ก.ค.!K259+ส.ค.!K259+ก.ย.!K259</f>
        <v>0</v>
      </c>
      <c r="L259" s="267">
        <f>+ก.ค.!L259+ส.ค.!L259+ก.ย.!L259</f>
        <v>0</v>
      </c>
      <c r="M259" s="267">
        <f>+ก.ค.!M259+ส.ค.!M259+ก.ย.!M259</f>
        <v>0</v>
      </c>
      <c r="N259" s="267">
        <f>+ก.ค.!N259+ส.ค.!N259+ก.ย.!N259</f>
        <v>0</v>
      </c>
      <c r="O259" s="267">
        <f>+ก.ค.!O259+ส.ค.!O259+ก.ย.!O259</f>
        <v>0</v>
      </c>
      <c r="P259" s="267">
        <f>+ก.ค.!P259+ส.ค.!P259+ก.ย.!P259</f>
        <v>0</v>
      </c>
      <c r="Q259" s="267">
        <f>+ก.ค.!Q259+ส.ค.!Q259+ก.ย.!Q259</f>
        <v>0</v>
      </c>
      <c r="R259" s="267">
        <f>+ก.ค.!R259+ส.ค.!R259+ก.ย.!R259</f>
        <v>0</v>
      </c>
      <c r="S259" s="267">
        <f>+ก.ค.!S259+ส.ค.!S259+ก.ย.!S259</f>
        <v>0</v>
      </c>
      <c r="T259" s="267">
        <f>+ก.ค.!T259+ส.ค.!T259+ก.ย.!T259</f>
        <v>0</v>
      </c>
      <c r="U259" s="267">
        <f>+ก.ค.!U259+ส.ค.!U259+ก.ย.!U259</f>
        <v>0</v>
      </c>
      <c r="V259" s="267">
        <f>+ก.ค.!V259+ส.ค.!V259+ก.ย.!V259</f>
        <v>0</v>
      </c>
      <c r="W259" s="310"/>
    </row>
    <row r="260" spans="1:23" s="221" customFormat="1" ht="25.5" customHeight="1">
      <c r="A260" s="20"/>
      <c r="B260" s="186" t="s">
        <v>349</v>
      </c>
      <c r="C260" s="296">
        <v>688700</v>
      </c>
      <c r="D260" s="131"/>
      <c r="E260" s="267">
        <f>+ก.ค.!E260+ส.ค.!E260+ก.ย.!E260</f>
        <v>0</v>
      </c>
      <c r="F260" s="267">
        <f>+ก.ค.!F260+ส.ค.!F260+ก.ย.!F260</f>
        <v>0</v>
      </c>
      <c r="G260" s="267">
        <f>+ก.ค.!G260+ส.ค.!G260+ก.ย.!G260</f>
        <v>0</v>
      </c>
      <c r="H260" s="267">
        <f>+ก.ค.!H260+ส.ค.!H260+ก.ย.!H260</f>
        <v>0</v>
      </c>
      <c r="I260" s="267">
        <f>+ก.ค.!I260+ส.ค.!I260+ก.ย.!I260</f>
        <v>0</v>
      </c>
      <c r="J260" s="267">
        <f>+ก.ค.!J260+ส.ค.!J260+ก.ย.!J260</f>
        <v>0</v>
      </c>
      <c r="K260" s="267">
        <f>+ก.ค.!K260+ส.ค.!K260+ก.ย.!K260</f>
        <v>0</v>
      </c>
      <c r="L260" s="267">
        <f>+ก.ค.!L260+ส.ค.!L260+ก.ย.!L260</f>
        <v>0</v>
      </c>
      <c r="M260" s="267">
        <f>+ก.ค.!M260+ส.ค.!M260+ก.ย.!M260</f>
        <v>0</v>
      </c>
      <c r="N260" s="267">
        <f>+ก.ค.!N260+ส.ค.!N260+ก.ย.!N260</f>
        <v>688700</v>
      </c>
      <c r="O260" s="267">
        <f>+ก.ค.!O260+ส.ค.!O260+ก.ย.!O260</f>
        <v>0</v>
      </c>
      <c r="P260" s="267">
        <f>+ก.ค.!P260+ส.ค.!P260+ก.ย.!P260</f>
        <v>0</v>
      </c>
      <c r="Q260" s="267">
        <f>+ก.ค.!Q260+ส.ค.!Q260+ก.ย.!Q260</f>
        <v>0</v>
      </c>
      <c r="R260" s="267">
        <f>+ก.ค.!R260+ส.ค.!R260+ก.ย.!R260</f>
        <v>0</v>
      </c>
      <c r="S260" s="267">
        <f>+ก.ค.!S260+ส.ค.!S260+ก.ย.!S260</f>
        <v>0</v>
      </c>
      <c r="T260" s="267">
        <f>+ก.ค.!T260+ส.ค.!T260+ก.ย.!T260</f>
        <v>0</v>
      </c>
      <c r="U260" s="267">
        <f>+ก.ค.!U260+ส.ค.!U260+ก.ย.!U260</f>
        <v>0</v>
      </c>
      <c r="V260" s="267">
        <f>+ก.ค.!V260+ส.ค.!V260+ก.ย.!V260</f>
        <v>0</v>
      </c>
      <c r="W260" s="310"/>
    </row>
    <row r="261" spans="1:23" s="221" customFormat="1" ht="25.5" customHeight="1">
      <c r="A261" s="20"/>
      <c r="B261" s="186" t="s">
        <v>350</v>
      </c>
      <c r="C261" s="297">
        <v>62000</v>
      </c>
      <c r="D261" s="131"/>
      <c r="E261" s="267">
        <f>+ก.ค.!E261+ส.ค.!E261+ก.ย.!E261</f>
        <v>0</v>
      </c>
      <c r="F261" s="267">
        <f>+ก.ค.!F261+ส.ค.!F261+ก.ย.!F261</f>
        <v>0</v>
      </c>
      <c r="G261" s="267">
        <f>+ก.ค.!G261+ส.ค.!G261+ก.ย.!G261</f>
        <v>0</v>
      </c>
      <c r="H261" s="267">
        <f>+ก.ค.!H261+ส.ค.!H261+ก.ย.!H261</f>
        <v>0</v>
      </c>
      <c r="I261" s="267">
        <f>+ก.ค.!I261+ส.ค.!I261+ก.ย.!I261</f>
        <v>0</v>
      </c>
      <c r="J261" s="267">
        <f>+ก.ค.!J261+ส.ค.!J261+ก.ย.!J261</f>
        <v>0</v>
      </c>
      <c r="K261" s="267">
        <f>+ก.ค.!K261+ส.ค.!K261+ก.ย.!K261</f>
        <v>0</v>
      </c>
      <c r="L261" s="267">
        <f>+ก.ค.!L261+ส.ค.!L261+ก.ย.!L261</f>
        <v>0</v>
      </c>
      <c r="M261" s="267">
        <f>+ก.ค.!M261+ส.ค.!M261+ก.ย.!M261</f>
        <v>0</v>
      </c>
      <c r="N261" s="267">
        <f>+ก.ค.!N261+ส.ค.!N261+ก.ย.!N261</f>
        <v>62000</v>
      </c>
      <c r="O261" s="267">
        <f>+ก.ค.!O261+ส.ค.!O261+ก.ย.!O261</f>
        <v>0</v>
      </c>
      <c r="P261" s="267">
        <f>+ก.ค.!P261+ส.ค.!P261+ก.ย.!P261</f>
        <v>0</v>
      </c>
      <c r="Q261" s="267">
        <f>+ก.ค.!Q261+ส.ค.!Q261+ก.ย.!Q261</f>
        <v>0</v>
      </c>
      <c r="R261" s="267">
        <f>+ก.ค.!R261+ส.ค.!R261+ก.ย.!R261</f>
        <v>0</v>
      </c>
      <c r="S261" s="267">
        <f>+ก.ค.!S261+ส.ค.!S261+ก.ย.!S261</f>
        <v>0</v>
      </c>
      <c r="T261" s="267">
        <f>+ก.ค.!T261+ส.ค.!T261+ก.ย.!T261</f>
        <v>0</v>
      </c>
      <c r="U261" s="267">
        <f>+ก.ค.!U261+ส.ค.!U261+ก.ย.!U261</f>
        <v>0</v>
      </c>
      <c r="V261" s="267">
        <f>+ก.ค.!V261+ส.ค.!V261+ก.ย.!V261</f>
        <v>0</v>
      </c>
      <c r="W261" s="310"/>
    </row>
    <row r="262" spans="1:23" s="221" customFormat="1" ht="25.5" customHeight="1" thickBot="1">
      <c r="A262" s="24"/>
      <c r="B262" s="45" t="s">
        <v>5</v>
      </c>
      <c r="C262" s="170">
        <f>SUM(C227:C261)</f>
        <v>2383100</v>
      </c>
      <c r="D262" s="255">
        <f>SUM(D251:D261)</f>
        <v>0</v>
      </c>
      <c r="E262" s="254">
        <f t="shared" ref="E262:V262" si="12">SUM(E251:E261)</f>
        <v>0</v>
      </c>
      <c r="F262" s="254">
        <f t="shared" si="12"/>
        <v>0</v>
      </c>
      <c r="G262" s="255">
        <f t="shared" si="12"/>
        <v>0</v>
      </c>
      <c r="H262" s="254">
        <f t="shared" si="12"/>
        <v>0</v>
      </c>
      <c r="I262" s="255">
        <f t="shared" si="12"/>
        <v>0</v>
      </c>
      <c r="J262" s="255">
        <f t="shared" si="12"/>
        <v>0</v>
      </c>
      <c r="K262" s="254">
        <f t="shared" si="12"/>
        <v>0</v>
      </c>
      <c r="L262" s="255">
        <f t="shared" si="12"/>
        <v>0</v>
      </c>
      <c r="M262" s="254">
        <f t="shared" si="12"/>
        <v>0</v>
      </c>
      <c r="N262" s="132">
        <f>SUM(N251:N261)</f>
        <v>1155500</v>
      </c>
      <c r="O262" s="255">
        <f t="shared" si="12"/>
        <v>0</v>
      </c>
      <c r="P262" s="255">
        <f t="shared" si="12"/>
        <v>0</v>
      </c>
      <c r="Q262" s="255">
        <f t="shared" si="12"/>
        <v>0</v>
      </c>
      <c r="R262" s="255">
        <f t="shared" si="12"/>
        <v>0</v>
      </c>
      <c r="S262" s="255">
        <f t="shared" si="12"/>
        <v>0</v>
      </c>
      <c r="T262" s="255"/>
      <c r="U262" s="255">
        <f t="shared" si="12"/>
        <v>0</v>
      </c>
      <c r="V262" s="255">
        <f t="shared" si="12"/>
        <v>0</v>
      </c>
      <c r="W262" s="314">
        <f>SUM(D262:V262)</f>
        <v>1155500</v>
      </c>
    </row>
    <row r="263" spans="1:23" s="221" customFormat="1" ht="25.5" customHeight="1" thickTop="1">
      <c r="A263" s="50" t="s">
        <v>149</v>
      </c>
      <c r="B263" s="4"/>
      <c r="C263" s="193"/>
      <c r="D263" s="133"/>
      <c r="E263" s="269"/>
      <c r="F263" s="136"/>
      <c r="G263" s="136"/>
      <c r="H263" s="136"/>
      <c r="I263" s="133"/>
      <c r="J263" s="133"/>
      <c r="K263" s="136"/>
      <c r="L263" s="133"/>
      <c r="M263" s="136"/>
      <c r="N263" s="133"/>
      <c r="O263" s="133"/>
      <c r="P263" s="133"/>
      <c r="Q263" s="133"/>
      <c r="R263" s="258"/>
      <c r="S263" s="259"/>
      <c r="T263" s="259"/>
      <c r="U263" s="258"/>
      <c r="V263" s="258"/>
      <c r="W263" s="310"/>
    </row>
    <row r="264" spans="1:23" s="221" customFormat="1" ht="25.5" customHeight="1">
      <c r="A264" s="9"/>
      <c r="B264" s="186"/>
      <c r="C264" s="296"/>
      <c r="D264" s="133"/>
      <c r="E264" s="269"/>
      <c r="F264" s="136"/>
      <c r="G264" s="136"/>
      <c r="H264" s="136"/>
      <c r="I264" s="133"/>
      <c r="J264" s="133"/>
      <c r="K264" s="136"/>
      <c r="L264" s="133"/>
      <c r="M264" s="136"/>
      <c r="N264" s="133"/>
      <c r="O264" s="133"/>
      <c r="P264" s="133"/>
      <c r="Q264" s="133"/>
      <c r="R264" s="258"/>
      <c r="S264" s="259"/>
      <c r="T264" s="259"/>
      <c r="U264" s="258"/>
      <c r="V264" s="258"/>
      <c r="W264" s="310"/>
    </row>
    <row r="265" spans="1:23" s="221" customFormat="1" ht="25.5" customHeight="1">
      <c r="A265" s="9"/>
      <c r="B265" s="186"/>
      <c r="C265" s="296"/>
      <c r="D265" s="133"/>
      <c r="E265" s="269"/>
      <c r="F265" s="136"/>
      <c r="G265" s="136"/>
      <c r="H265" s="136"/>
      <c r="I265" s="133"/>
      <c r="J265" s="133"/>
      <c r="K265" s="136"/>
      <c r="L265" s="133"/>
      <c r="M265" s="136"/>
      <c r="N265" s="133"/>
      <c r="O265" s="133"/>
      <c r="P265" s="133"/>
      <c r="Q265" s="133"/>
      <c r="R265" s="258"/>
      <c r="S265" s="259"/>
      <c r="T265" s="259"/>
      <c r="U265" s="258"/>
      <c r="V265" s="258"/>
      <c r="W265" s="310"/>
    </row>
    <row r="266" spans="1:23" s="221" customFormat="1" ht="25.5" customHeight="1">
      <c r="A266" s="9"/>
      <c r="B266" s="186"/>
      <c r="C266" s="296"/>
      <c r="D266" s="133"/>
      <c r="E266" s="269"/>
      <c r="F266" s="136"/>
      <c r="G266" s="136"/>
      <c r="H266" s="136"/>
      <c r="I266" s="133"/>
      <c r="J266" s="133"/>
      <c r="K266" s="136"/>
      <c r="L266" s="133"/>
      <c r="M266" s="136"/>
      <c r="N266" s="133"/>
      <c r="O266" s="133"/>
      <c r="P266" s="133"/>
      <c r="Q266" s="133"/>
      <c r="R266" s="258"/>
      <c r="S266" s="259"/>
      <c r="T266" s="259"/>
      <c r="U266" s="258"/>
      <c r="V266" s="258"/>
      <c r="W266" s="310"/>
    </row>
    <row r="267" spans="1:23" s="221" customFormat="1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5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  <c r="W267" s="310"/>
    </row>
    <row r="268" spans="1:23" s="221" customFormat="1" ht="25.5" customHeight="1">
      <c r="A268" s="9"/>
      <c r="B268" s="186"/>
      <c r="C268" s="296"/>
      <c r="D268" s="131"/>
      <c r="E268" s="267"/>
      <c r="F268" s="135"/>
      <c r="G268" s="135"/>
      <c r="H268" s="135"/>
      <c r="I268" s="131"/>
      <c r="J268" s="131"/>
      <c r="K268" s="135"/>
      <c r="L268" s="131"/>
      <c r="M268" s="135"/>
      <c r="N268" s="131"/>
      <c r="O268" s="131"/>
      <c r="P268" s="131"/>
      <c r="Q268" s="131"/>
      <c r="R268" s="217"/>
      <c r="S268" s="219"/>
      <c r="T268" s="219"/>
      <c r="U268" s="217"/>
      <c r="V268" s="217"/>
      <c r="W268" s="310"/>
    </row>
    <row r="269" spans="1:23" s="221" customFormat="1" ht="25.5" customHeight="1">
      <c r="A269" s="9"/>
      <c r="B269" s="186"/>
      <c r="C269" s="296"/>
      <c r="D269" s="131"/>
      <c r="E269" s="267"/>
      <c r="F269" s="135"/>
      <c r="G269" s="135"/>
      <c r="H269" s="135"/>
      <c r="I269" s="131"/>
      <c r="J269" s="131"/>
      <c r="K269" s="135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  <c r="W269" s="310"/>
    </row>
    <row r="270" spans="1:23" s="221" customFormat="1" ht="25.5" customHeight="1">
      <c r="A270" s="9"/>
      <c r="B270" s="186"/>
      <c r="C270" s="296"/>
      <c r="D270" s="131"/>
      <c r="E270" s="267"/>
      <c r="F270" s="135"/>
      <c r="G270" s="135"/>
      <c r="H270" s="135"/>
      <c r="I270" s="131"/>
      <c r="J270" s="131"/>
      <c r="K270" s="135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  <c r="W270" s="310"/>
    </row>
    <row r="271" spans="1:23" s="221" customFormat="1" ht="25.5" customHeight="1">
      <c r="A271" s="9"/>
      <c r="B271" s="186"/>
      <c r="C271" s="296"/>
      <c r="D271" s="131"/>
      <c r="E271" s="267"/>
      <c r="F271" s="135"/>
      <c r="G271" s="135"/>
      <c r="H271" s="135"/>
      <c r="I271" s="131"/>
      <c r="J271" s="131"/>
      <c r="K271" s="135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  <c r="W271" s="310"/>
    </row>
    <row r="272" spans="1:23" s="221" customFormat="1" ht="25.5" customHeight="1" thickBot="1">
      <c r="A272" s="15"/>
      <c r="B272" s="14" t="s">
        <v>5</v>
      </c>
      <c r="C272" s="170">
        <f>SUM(C264:C271)</f>
        <v>0</v>
      </c>
      <c r="D272" s="255">
        <f>SUM(D264:D271)</f>
        <v>0</v>
      </c>
      <c r="E272" s="254">
        <f t="shared" ref="E272:V272" si="13">SUM(E264:E271)</f>
        <v>0</v>
      </c>
      <c r="F272" s="254">
        <f t="shared" si="13"/>
        <v>0</v>
      </c>
      <c r="G272" s="255">
        <f t="shared" si="13"/>
        <v>0</v>
      </c>
      <c r="H272" s="254">
        <f t="shared" si="13"/>
        <v>0</v>
      </c>
      <c r="I272" s="255">
        <f t="shared" si="13"/>
        <v>0</v>
      </c>
      <c r="J272" s="255">
        <f t="shared" si="13"/>
        <v>0</v>
      </c>
      <c r="K272" s="254">
        <f t="shared" si="13"/>
        <v>0</v>
      </c>
      <c r="L272" s="255">
        <f t="shared" si="13"/>
        <v>0</v>
      </c>
      <c r="M272" s="254">
        <f t="shared" si="13"/>
        <v>0</v>
      </c>
      <c r="N272" s="255">
        <f t="shared" si="13"/>
        <v>0</v>
      </c>
      <c r="O272" s="255">
        <f t="shared" si="13"/>
        <v>0</v>
      </c>
      <c r="P272" s="255">
        <f t="shared" si="13"/>
        <v>0</v>
      </c>
      <c r="Q272" s="255">
        <f t="shared" si="13"/>
        <v>0</v>
      </c>
      <c r="R272" s="255">
        <f t="shared" si="13"/>
        <v>0</v>
      </c>
      <c r="S272" s="255">
        <f t="shared" si="13"/>
        <v>0</v>
      </c>
      <c r="T272" s="255"/>
      <c r="U272" s="255">
        <f t="shared" si="13"/>
        <v>0</v>
      </c>
      <c r="V272" s="255">
        <f t="shared" si="13"/>
        <v>0</v>
      </c>
      <c r="W272" s="314">
        <f>SUM(D272:V272)</f>
        <v>0</v>
      </c>
    </row>
    <row r="273" spans="1:23" s="221" customFormat="1" ht="25.5" customHeight="1" thickTop="1">
      <c r="A273" s="20" t="s">
        <v>24</v>
      </c>
      <c r="B273" s="23"/>
      <c r="C273" s="190"/>
      <c r="D273" s="133"/>
      <c r="E273" s="269"/>
      <c r="F273" s="136"/>
      <c r="G273" s="136"/>
      <c r="H273" s="136"/>
      <c r="I273" s="133"/>
      <c r="J273" s="133"/>
      <c r="K273" s="136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  <c r="W273" s="310"/>
    </row>
    <row r="274" spans="1:23" s="221" customFormat="1" ht="25.5" customHeight="1">
      <c r="A274" s="20"/>
      <c r="B274" s="130" t="s">
        <v>406</v>
      </c>
      <c r="C274" s="192">
        <v>121500</v>
      </c>
      <c r="D274" s="131"/>
      <c r="E274" s="135">
        <f>+ก.ค.!E274+ส.ค.!E274+ก.ย.!E274</f>
        <v>0</v>
      </c>
      <c r="F274" s="135">
        <f>+ก.ค.!F274+ส.ค.!F274+ก.ย.!F274</f>
        <v>0</v>
      </c>
      <c r="G274" s="135">
        <f>+ก.ค.!G274+ส.ค.!G274+ก.ย.!G274</f>
        <v>0</v>
      </c>
      <c r="H274" s="135">
        <f>+ก.ค.!H274+ส.ค.!H274+ก.ย.!H274</f>
        <v>0</v>
      </c>
      <c r="I274" s="135">
        <f>+ก.ค.!I274+ส.ค.!I274+ก.ย.!I274</f>
        <v>0</v>
      </c>
      <c r="J274" s="135">
        <f>+ก.ค.!J274+ส.ค.!J274+ก.ย.!J274</f>
        <v>0</v>
      </c>
      <c r="K274" s="135">
        <f>+ก.ค.!K274+ส.ค.!K274+ก.ย.!K274</f>
        <v>0</v>
      </c>
      <c r="L274" s="135">
        <f>+ก.ค.!L274+ส.ค.!L274+ก.ย.!L274</f>
        <v>0</v>
      </c>
      <c r="M274" s="135">
        <f>+ก.ค.!M274+ส.ค.!M274+ก.ย.!M274</f>
        <v>0</v>
      </c>
      <c r="N274" s="135">
        <f>+ก.ค.!N274+ส.ค.!N274+ก.ย.!N274</f>
        <v>0</v>
      </c>
      <c r="O274" s="135">
        <f>+ก.ค.!O274+ส.ค.!O274+ก.ย.!O274</f>
        <v>0</v>
      </c>
      <c r="P274" s="135">
        <f>+ก.ค.!P274+ส.ค.!P274+ก.ย.!P274</f>
        <v>0</v>
      </c>
      <c r="Q274" s="135">
        <f>+ก.ค.!Q274+ส.ค.!Q274+ก.ย.!Q274</f>
        <v>0</v>
      </c>
      <c r="R274" s="135">
        <f>+ก.ค.!R274+ส.ค.!R274+ก.ย.!R274</f>
        <v>0</v>
      </c>
      <c r="S274" s="135">
        <f>+ก.ค.!S274+ส.ค.!S274+ก.ย.!S274</f>
        <v>0</v>
      </c>
      <c r="T274" s="135">
        <f>+ก.ค.!T274+ส.ค.!T274+ก.ย.!T274</f>
        <v>0</v>
      </c>
      <c r="U274" s="135">
        <f>+ก.ค.!U274+ส.ค.!U274+ก.ย.!U274</f>
        <v>0</v>
      </c>
      <c r="V274" s="135">
        <f>+ก.ค.!V274+ส.ค.!V274+ก.ย.!V274</f>
        <v>0</v>
      </c>
      <c r="W274" s="310"/>
    </row>
    <row r="275" spans="1:23" s="221" customFormat="1" ht="25.5" customHeight="1">
      <c r="A275" s="20"/>
      <c r="B275" s="130" t="s">
        <v>405</v>
      </c>
      <c r="C275" s="192">
        <v>105000</v>
      </c>
      <c r="D275" s="131"/>
      <c r="E275" s="135">
        <f>+ก.ค.!E275+ส.ค.!E275+ก.ย.!E275</f>
        <v>0</v>
      </c>
      <c r="F275" s="135">
        <f>+ก.ค.!F275+ส.ค.!F275+ก.ย.!F275</f>
        <v>0</v>
      </c>
      <c r="G275" s="135">
        <f>+ก.ค.!G275+ส.ค.!G275+ก.ย.!G275</f>
        <v>0</v>
      </c>
      <c r="H275" s="135">
        <f>+ก.ค.!H275+ส.ค.!H275+ก.ย.!H275</f>
        <v>0</v>
      </c>
      <c r="I275" s="135">
        <f>+ก.ค.!I275+ส.ค.!I275+ก.ย.!I275</f>
        <v>0</v>
      </c>
      <c r="J275" s="135">
        <f>+ก.ค.!J275+ส.ค.!J275+ก.ย.!J275</f>
        <v>0</v>
      </c>
      <c r="K275" s="135">
        <f>+ก.ค.!K275+ส.ค.!K275+ก.ย.!K275</f>
        <v>0</v>
      </c>
      <c r="L275" s="135">
        <f>+ก.ค.!L275+ส.ค.!L275+ก.ย.!L275</f>
        <v>0</v>
      </c>
      <c r="M275" s="135">
        <f>+ก.ค.!M275+ส.ค.!M275+ก.ย.!M275</f>
        <v>0</v>
      </c>
      <c r="N275" s="135">
        <f>+ก.ค.!N275+ส.ค.!N275+ก.ย.!N275</f>
        <v>0</v>
      </c>
      <c r="O275" s="135">
        <f>+ก.ค.!O275+ส.ค.!O275+ก.ย.!O275</f>
        <v>0</v>
      </c>
      <c r="P275" s="135">
        <f>+ก.ค.!P275+ส.ค.!P275+ก.ย.!P275</f>
        <v>0</v>
      </c>
      <c r="Q275" s="135">
        <f>+ก.ค.!Q275+ส.ค.!Q275+ก.ย.!Q275</f>
        <v>0</v>
      </c>
      <c r="R275" s="135">
        <f>+ก.ค.!R275+ส.ค.!R275+ก.ย.!R275</f>
        <v>0</v>
      </c>
      <c r="S275" s="135">
        <f>+ก.ค.!S275+ส.ค.!S275+ก.ย.!S275</f>
        <v>0</v>
      </c>
      <c r="T275" s="135">
        <f>+ก.ค.!T275+ส.ค.!T275+ก.ย.!T275</f>
        <v>0</v>
      </c>
      <c r="U275" s="135">
        <f>+ก.ค.!U275+ส.ค.!U275+ก.ย.!U275</f>
        <v>0</v>
      </c>
      <c r="V275" s="135">
        <f>+ก.ค.!V275+ส.ค.!V275+ก.ย.!V275</f>
        <v>0</v>
      </c>
      <c r="W275" s="310"/>
    </row>
    <row r="276" spans="1:23" s="221" customFormat="1" ht="25.5" customHeight="1" thickBot="1">
      <c r="A276" s="15"/>
      <c r="B276" s="14" t="s">
        <v>5</v>
      </c>
      <c r="C276" s="298">
        <f>SUM(C274:C275)</f>
        <v>226500</v>
      </c>
      <c r="D276" s="255">
        <f>SUM(D274:D275)</f>
        <v>0</v>
      </c>
      <c r="E276" s="254">
        <f t="shared" ref="E276:V276" si="14">SUM(E274:E275)</f>
        <v>0</v>
      </c>
      <c r="F276" s="254">
        <f t="shared" si="14"/>
        <v>0</v>
      </c>
      <c r="G276" s="254">
        <f t="shared" si="14"/>
        <v>0</v>
      </c>
      <c r="H276" s="254">
        <f t="shared" si="14"/>
        <v>0</v>
      </c>
      <c r="I276" s="255">
        <f t="shared" si="14"/>
        <v>0</v>
      </c>
      <c r="J276" s="255">
        <f t="shared" si="14"/>
        <v>0</v>
      </c>
      <c r="K276" s="254">
        <f t="shared" si="14"/>
        <v>0</v>
      </c>
      <c r="L276" s="255">
        <f t="shared" si="14"/>
        <v>0</v>
      </c>
      <c r="M276" s="254">
        <f t="shared" si="14"/>
        <v>0</v>
      </c>
      <c r="N276" s="255">
        <f t="shared" si="14"/>
        <v>0</v>
      </c>
      <c r="O276" s="255">
        <f t="shared" si="14"/>
        <v>0</v>
      </c>
      <c r="P276" s="255">
        <f t="shared" si="14"/>
        <v>0</v>
      </c>
      <c r="Q276" s="255">
        <f t="shared" si="14"/>
        <v>0</v>
      </c>
      <c r="R276" s="255">
        <f t="shared" si="14"/>
        <v>0</v>
      </c>
      <c r="S276" s="255">
        <f t="shared" si="14"/>
        <v>0</v>
      </c>
      <c r="T276" s="255"/>
      <c r="U276" s="255">
        <f t="shared" si="14"/>
        <v>0</v>
      </c>
      <c r="V276" s="255">
        <f t="shared" si="14"/>
        <v>0</v>
      </c>
      <c r="W276" s="314">
        <f>SUM(D276:V276)</f>
        <v>0</v>
      </c>
    </row>
    <row r="277" spans="1:23" s="221" customFormat="1" ht="25.5" customHeight="1" thickTop="1">
      <c r="A277" s="20" t="s">
        <v>44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6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  <c r="W277" s="310"/>
    </row>
    <row r="278" spans="1:23" s="221" customFormat="1" ht="25.5" customHeight="1">
      <c r="A278" s="20"/>
      <c r="B278" s="185" t="s">
        <v>420</v>
      </c>
      <c r="C278" s="192">
        <v>20000</v>
      </c>
      <c r="D278" s="133"/>
      <c r="E278" s="136">
        <f>+ก.ค.!E278+ส.ค.!E278+ก.ย.!E278</f>
        <v>0</v>
      </c>
      <c r="F278" s="136">
        <f>+ก.ค.!F278+ส.ค.!F278+ก.ย.!F278</f>
        <v>0</v>
      </c>
      <c r="G278" s="136">
        <f>+ก.ค.!G278+ส.ค.!G278+ก.ย.!G278</f>
        <v>0</v>
      </c>
      <c r="H278" s="136">
        <f>+ก.ค.!H278+ส.ค.!H278+ก.ย.!H278</f>
        <v>0</v>
      </c>
      <c r="I278" s="136">
        <f>+ก.ค.!I278+ส.ค.!I278+ก.ย.!I278</f>
        <v>0</v>
      </c>
      <c r="J278" s="136">
        <f>+ก.ค.!J278+ส.ค.!J278+ก.ย.!J278</f>
        <v>0</v>
      </c>
      <c r="K278" s="136">
        <f>+ก.ค.!K278+ส.ค.!K278+ก.ย.!K278</f>
        <v>0</v>
      </c>
      <c r="L278" s="136">
        <f>+ก.ค.!L278+ส.ค.!L278+ก.ย.!L278</f>
        <v>0</v>
      </c>
      <c r="M278" s="136">
        <f>+ก.ค.!M278+ส.ค.!M278+ก.ย.!M278</f>
        <v>0</v>
      </c>
      <c r="N278" s="136">
        <f>+ก.ค.!N278+ส.ค.!N278+ก.ย.!N278</f>
        <v>0</v>
      </c>
      <c r="O278" s="136">
        <f>+ก.ค.!O278+ส.ค.!O278+ก.ย.!O278</f>
        <v>0</v>
      </c>
      <c r="P278" s="136">
        <f>+ก.ค.!P278+ส.ค.!P278+ก.ย.!P278</f>
        <v>0</v>
      </c>
      <c r="Q278" s="136">
        <f>+ก.ค.!Q278+ส.ค.!Q278+ก.ย.!Q278</f>
        <v>0</v>
      </c>
      <c r="R278" s="136">
        <f>+ก.ค.!R278+ส.ค.!R278+ก.ย.!R278</f>
        <v>0</v>
      </c>
      <c r="S278" s="136">
        <f>+ก.ค.!S278+ส.ค.!S278+ก.ย.!S278</f>
        <v>0</v>
      </c>
      <c r="T278" s="136">
        <f>+ก.ค.!T278+ส.ค.!T278+ก.ย.!T278</f>
        <v>0</v>
      </c>
      <c r="U278" s="136">
        <f>+ก.ค.!U278+ส.ค.!U278+ก.ย.!U278</f>
        <v>0</v>
      </c>
      <c r="V278" s="136">
        <f>+ก.ค.!V278+ส.ค.!V278+ก.ย.!V278</f>
        <v>0</v>
      </c>
      <c r="W278" s="310"/>
    </row>
    <row r="279" spans="1:23" s="221" customFormat="1" ht="25.5" customHeight="1">
      <c r="A279" s="20"/>
      <c r="B279" s="185" t="s">
        <v>435</v>
      </c>
      <c r="C279" s="190">
        <v>10000</v>
      </c>
      <c r="D279" s="133"/>
      <c r="E279" s="136">
        <f>+ก.ค.!E279+ส.ค.!E279+ก.ย.!E279</f>
        <v>0</v>
      </c>
      <c r="F279" s="136">
        <f>+ก.ค.!F279+ส.ค.!F279+ก.ย.!F279</f>
        <v>0</v>
      </c>
      <c r="G279" s="136">
        <f>+ก.ค.!G279+ส.ค.!G279+ก.ย.!G279</f>
        <v>0</v>
      </c>
      <c r="H279" s="136">
        <f>+ก.ค.!H279+ส.ค.!H279+ก.ย.!H279</f>
        <v>0</v>
      </c>
      <c r="I279" s="136">
        <f>+ก.ค.!I279+ส.ค.!I279+ก.ย.!I279</f>
        <v>0</v>
      </c>
      <c r="J279" s="136">
        <f>+ก.ค.!J279+ส.ค.!J279+ก.ย.!J279</f>
        <v>0</v>
      </c>
      <c r="K279" s="136">
        <f>+ก.ค.!K279+ส.ค.!K279+ก.ย.!K279</f>
        <v>10000</v>
      </c>
      <c r="L279" s="136">
        <f>+ก.ค.!L279+ส.ค.!L279+ก.ย.!L279</f>
        <v>0</v>
      </c>
      <c r="M279" s="136">
        <f>+ก.ค.!M279+ส.ค.!M279+ก.ย.!M279</f>
        <v>0</v>
      </c>
      <c r="N279" s="136">
        <f>+ก.ค.!N279+ส.ค.!N279+ก.ย.!N279</f>
        <v>0</v>
      </c>
      <c r="O279" s="136">
        <f>+ก.ค.!O279+ส.ค.!O279+ก.ย.!O279</f>
        <v>0</v>
      </c>
      <c r="P279" s="136">
        <f>+ก.ค.!P279+ส.ค.!P279+ก.ย.!P279</f>
        <v>0</v>
      </c>
      <c r="Q279" s="136">
        <f>+ก.ค.!Q279+ส.ค.!Q279+ก.ย.!Q279</f>
        <v>0</v>
      </c>
      <c r="R279" s="136">
        <f>+ก.ค.!R279+ส.ค.!R279+ก.ย.!R279</f>
        <v>0</v>
      </c>
      <c r="S279" s="136">
        <f>+ก.ค.!S279+ส.ค.!S279+ก.ย.!S279</f>
        <v>0</v>
      </c>
      <c r="T279" s="136">
        <f>+ก.ค.!T279+ส.ค.!T279+ก.ย.!T279</f>
        <v>0</v>
      </c>
      <c r="U279" s="136">
        <f>+ก.ค.!U279+ส.ค.!U279+ก.ย.!U279</f>
        <v>0</v>
      </c>
      <c r="V279" s="136">
        <f>+ก.ค.!V279+ส.ค.!V279+ก.ย.!V279</f>
        <v>0</v>
      </c>
      <c r="W279" s="310"/>
    </row>
    <row r="280" spans="1:23" s="221" customFormat="1" ht="25.5" customHeight="1">
      <c r="A280" s="20"/>
      <c r="B280" s="602" t="s">
        <v>443</v>
      </c>
      <c r="C280" s="190">
        <v>40400</v>
      </c>
      <c r="D280" s="603"/>
      <c r="E280" s="136">
        <f>+ก.ค.!E280+ส.ค.!E280+ก.ย.!E280</f>
        <v>0</v>
      </c>
      <c r="F280" s="136">
        <f>+ก.ค.!F280+ส.ค.!F280+ก.ย.!F280</f>
        <v>0</v>
      </c>
      <c r="G280" s="136">
        <f>+ก.ค.!G280+ส.ค.!G280+ก.ย.!G280</f>
        <v>0</v>
      </c>
      <c r="H280" s="136">
        <f>+ก.ค.!H280+ส.ค.!H280+ก.ย.!H280</f>
        <v>0</v>
      </c>
      <c r="I280" s="136">
        <f>+ก.ค.!I280+ส.ค.!I280+ก.ย.!I280</f>
        <v>0</v>
      </c>
      <c r="J280" s="136">
        <f>+ก.ค.!J280+ส.ค.!J280+ก.ย.!J280</f>
        <v>0</v>
      </c>
      <c r="K280" s="136">
        <f>+ก.ค.!K280+ส.ค.!K280+ก.ย.!K280</f>
        <v>0</v>
      </c>
      <c r="L280" s="136">
        <f>+ก.ค.!L280+ส.ค.!L280+ก.ย.!L280</f>
        <v>0</v>
      </c>
      <c r="M280" s="136">
        <f>+ก.ค.!M280+ส.ค.!M280+ก.ย.!M280</f>
        <v>0</v>
      </c>
      <c r="N280" s="136">
        <f>+ก.ค.!N280+ส.ค.!N280+ก.ย.!N280</f>
        <v>0</v>
      </c>
      <c r="O280" s="136">
        <f>+ก.ค.!O280+ส.ค.!O280+ก.ย.!O280</f>
        <v>0</v>
      </c>
      <c r="P280" s="136">
        <f>+ก.ค.!P280+ส.ค.!P280+ก.ย.!P280</f>
        <v>0</v>
      </c>
      <c r="Q280" s="136">
        <f>+ก.ค.!Q280+ส.ค.!Q280+ก.ย.!Q280</f>
        <v>40400</v>
      </c>
      <c r="R280" s="136">
        <f>+ก.ค.!R280+ส.ค.!R280+ก.ย.!R280</f>
        <v>0</v>
      </c>
      <c r="S280" s="136">
        <f>+ก.ค.!S280+ส.ค.!S280+ก.ย.!S280</f>
        <v>0</v>
      </c>
      <c r="T280" s="136">
        <f>+ก.ค.!T280+ส.ค.!T280+ก.ย.!T280</f>
        <v>0</v>
      </c>
      <c r="U280" s="136">
        <f>+ก.ค.!U280+ส.ค.!U280+ก.ย.!U280</f>
        <v>0</v>
      </c>
      <c r="V280" s="136">
        <f>+ก.ค.!V280+ส.ค.!V280+ก.ย.!V280</f>
        <v>0</v>
      </c>
      <c r="W280" s="310"/>
    </row>
    <row r="281" spans="1:23" s="221" customFormat="1" ht="25.5" customHeight="1">
      <c r="A281" s="20"/>
      <c r="B281" s="185" t="s">
        <v>444</v>
      </c>
      <c r="C281" s="216">
        <v>10000</v>
      </c>
      <c r="D281" s="357"/>
      <c r="E281" s="136">
        <f>+ก.ค.!E281+ส.ค.!E281+ก.ย.!E281</f>
        <v>0</v>
      </c>
      <c r="F281" s="136">
        <f>+ก.ค.!F281+ส.ค.!F281+ก.ย.!F281</f>
        <v>0</v>
      </c>
      <c r="G281" s="136">
        <f>+ก.ค.!G281+ส.ค.!G281+ก.ย.!G281</f>
        <v>0</v>
      </c>
      <c r="H281" s="136">
        <f>+ก.ค.!H281+ส.ค.!H281+ก.ย.!H281</f>
        <v>0</v>
      </c>
      <c r="I281" s="136">
        <f>+ก.ค.!I281+ส.ค.!I281+ก.ย.!I281</f>
        <v>0</v>
      </c>
      <c r="J281" s="136">
        <f>+ก.ค.!J281+ส.ค.!J281+ก.ย.!J281</f>
        <v>0</v>
      </c>
      <c r="K281" s="136">
        <f>+ก.ค.!K281+ส.ค.!K281+ก.ย.!K281</f>
        <v>10000</v>
      </c>
      <c r="L281" s="136">
        <f>+ก.ค.!L281+ส.ค.!L281+ก.ย.!L281</f>
        <v>0</v>
      </c>
      <c r="M281" s="136">
        <f>+ก.ค.!M281+ส.ค.!M281+ก.ย.!M281</f>
        <v>0</v>
      </c>
      <c r="N281" s="136">
        <f>+ก.ค.!N281+ส.ค.!N281+ก.ย.!N281</f>
        <v>0</v>
      </c>
      <c r="O281" s="136">
        <f>+ก.ค.!O281+ส.ค.!O281+ก.ย.!O281</f>
        <v>0</v>
      </c>
      <c r="P281" s="136">
        <f>+ก.ค.!P281+ส.ค.!P281+ก.ย.!P281</f>
        <v>0</v>
      </c>
      <c r="Q281" s="136">
        <f>+ก.ค.!Q281+ส.ค.!Q281+ก.ย.!Q281</f>
        <v>0</v>
      </c>
      <c r="R281" s="136">
        <f>+ก.ค.!R281+ส.ค.!R281+ก.ย.!R281</f>
        <v>0</v>
      </c>
      <c r="S281" s="136">
        <f>+ก.ค.!S281+ส.ค.!S281+ก.ย.!S281</f>
        <v>0</v>
      </c>
      <c r="T281" s="136">
        <f>+ก.ค.!T281+ส.ค.!T281+ก.ย.!T281</f>
        <v>0</v>
      </c>
      <c r="U281" s="136">
        <f>+ก.ค.!U281+ส.ค.!U281+ก.ย.!U281</f>
        <v>0</v>
      </c>
      <c r="V281" s="136">
        <f>+ก.ค.!V281+ส.ค.!V281+ก.ย.!V281</f>
        <v>0</v>
      </c>
      <c r="W281" s="310"/>
    </row>
    <row r="282" spans="1:23" s="221" customFormat="1" ht="25.5" customHeight="1">
      <c r="A282" s="20"/>
      <c r="B282" s="185"/>
      <c r="C282" s="216"/>
      <c r="D282" s="357"/>
      <c r="E282" s="136">
        <f>+ก.ค.!E282+ส.ค.!E282+ก.ย.!E282</f>
        <v>0</v>
      </c>
      <c r="F282" s="136">
        <f>+ก.ค.!F282+ส.ค.!F282+ก.ย.!F282</f>
        <v>0</v>
      </c>
      <c r="G282" s="136">
        <f>+ก.ค.!G282+ส.ค.!G282+ก.ย.!G282</f>
        <v>0</v>
      </c>
      <c r="H282" s="136">
        <f>+ก.ค.!H282+ส.ค.!H282+ก.ย.!H282</f>
        <v>0</v>
      </c>
      <c r="I282" s="136">
        <f>+ก.ค.!I282+ส.ค.!I282+ก.ย.!I282</f>
        <v>0</v>
      </c>
      <c r="J282" s="136">
        <f>+ก.ค.!J282+ส.ค.!J282+ก.ย.!J282</f>
        <v>0</v>
      </c>
      <c r="K282" s="136">
        <f>+ก.ค.!K282+ส.ค.!K282+ก.ย.!K282</f>
        <v>0</v>
      </c>
      <c r="L282" s="136">
        <f>+ก.ค.!L282+ส.ค.!L282+ก.ย.!L282</f>
        <v>0</v>
      </c>
      <c r="M282" s="136">
        <f>+ก.ค.!M282+ส.ค.!M282+ก.ย.!M282</f>
        <v>0</v>
      </c>
      <c r="N282" s="136">
        <f>+ก.ค.!N282+ส.ค.!N282+ก.ย.!N282</f>
        <v>0</v>
      </c>
      <c r="O282" s="136">
        <f>+ก.ค.!O282+ส.ค.!O282+ก.ย.!O282</f>
        <v>0</v>
      </c>
      <c r="P282" s="136">
        <f>+ก.ค.!P282+ส.ค.!P282+ก.ย.!P282</f>
        <v>0</v>
      </c>
      <c r="Q282" s="136">
        <f>+ก.ค.!Q282+ส.ค.!Q282+ก.ย.!Q282</f>
        <v>0</v>
      </c>
      <c r="R282" s="136">
        <f>+ก.ค.!R282+ส.ค.!R282+ก.ย.!R282</f>
        <v>0</v>
      </c>
      <c r="S282" s="136">
        <f>+ก.ค.!S282+ส.ค.!S282+ก.ย.!S282</f>
        <v>0</v>
      </c>
      <c r="T282" s="136">
        <f>+ก.ค.!T282+ส.ค.!T282+ก.ย.!T282</f>
        <v>0</v>
      </c>
      <c r="U282" s="136">
        <f>+ก.ค.!U282+ส.ค.!U282+ก.ย.!U282</f>
        <v>0</v>
      </c>
      <c r="V282" s="136">
        <f>+ก.ค.!V282+ส.ค.!V282+ก.ย.!V282</f>
        <v>0</v>
      </c>
      <c r="W282" s="310"/>
    </row>
    <row r="283" spans="1:23" s="221" customFormat="1" ht="25.5" customHeight="1">
      <c r="A283" s="20"/>
      <c r="B283" s="185" t="s">
        <v>445</v>
      </c>
      <c r="C283" s="216">
        <v>10000</v>
      </c>
      <c r="D283" s="357"/>
      <c r="E283" s="136">
        <f>+ก.ค.!E283+ส.ค.!E283+ก.ย.!E283</f>
        <v>0</v>
      </c>
      <c r="F283" s="136">
        <f>+ก.ค.!F283+ส.ค.!F283+ก.ย.!F283</f>
        <v>0</v>
      </c>
      <c r="G283" s="136">
        <f>+ก.ค.!G283+ส.ค.!G283+ก.ย.!G283</f>
        <v>0</v>
      </c>
      <c r="H283" s="136">
        <f>+ก.ค.!H283+ส.ค.!H283+ก.ย.!H283</f>
        <v>0</v>
      </c>
      <c r="I283" s="136">
        <f>+ก.ค.!I283+ส.ค.!I283+ก.ย.!I283</f>
        <v>0</v>
      </c>
      <c r="J283" s="136">
        <f>+ก.ค.!J283+ส.ค.!J283+ก.ย.!J283</f>
        <v>0</v>
      </c>
      <c r="K283" s="136">
        <f>+ก.ค.!K283+ส.ค.!K283+ก.ย.!K283</f>
        <v>10000</v>
      </c>
      <c r="L283" s="136">
        <f>+ก.ค.!L283+ส.ค.!L283+ก.ย.!L283</f>
        <v>0</v>
      </c>
      <c r="M283" s="136">
        <f>+ก.ค.!M283+ส.ค.!M283+ก.ย.!M283</f>
        <v>0</v>
      </c>
      <c r="N283" s="136">
        <f>+ก.ค.!N283+ส.ค.!N283+ก.ย.!N283</f>
        <v>0</v>
      </c>
      <c r="O283" s="136">
        <f>+ก.ค.!O283+ส.ค.!O283+ก.ย.!O283</f>
        <v>0</v>
      </c>
      <c r="P283" s="136">
        <f>+ก.ค.!P283+ส.ค.!P283+ก.ย.!P283</f>
        <v>0</v>
      </c>
      <c r="Q283" s="136">
        <f>+ก.ค.!Q283+ส.ค.!Q283+ก.ย.!Q283</f>
        <v>0</v>
      </c>
      <c r="R283" s="136">
        <f>+ก.ค.!R283+ส.ค.!R283+ก.ย.!R283</f>
        <v>0</v>
      </c>
      <c r="S283" s="136">
        <f>+ก.ค.!S283+ส.ค.!S283+ก.ย.!S283</f>
        <v>0</v>
      </c>
      <c r="T283" s="136">
        <f>+ก.ค.!T283+ส.ค.!T283+ก.ย.!T283</f>
        <v>0</v>
      </c>
      <c r="U283" s="136">
        <f>+ก.ค.!U283+ส.ค.!U283+ก.ย.!U283</f>
        <v>0</v>
      </c>
      <c r="V283" s="136">
        <f>+ก.ค.!V283+ส.ค.!V283+ก.ย.!V283</f>
        <v>0</v>
      </c>
      <c r="W283" s="310"/>
    </row>
    <row r="284" spans="1:23" s="221" customFormat="1" ht="25.5" customHeight="1">
      <c r="A284" s="20"/>
      <c r="B284" s="23" t="s">
        <v>446</v>
      </c>
      <c r="C284" s="290">
        <v>40000</v>
      </c>
      <c r="D284" s="345"/>
      <c r="E284" s="136">
        <f>+ก.ค.!E284+ส.ค.!E284+ก.ย.!E284</f>
        <v>0</v>
      </c>
      <c r="F284" s="136">
        <f>+ก.ค.!F284+ส.ค.!F284+ก.ย.!F284</f>
        <v>0</v>
      </c>
      <c r="G284" s="136">
        <f>+ก.ค.!G284+ส.ค.!G284+ก.ย.!G284</f>
        <v>0</v>
      </c>
      <c r="H284" s="136">
        <f>+ก.ค.!H284+ส.ค.!H284+ก.ย.!H284</f>
        <v>0</v>
      </c>
      <c r="I284" s="136">
        <f>+ก.ค.!I284+ส.ค.!I284+ก.ย.!I284</f>
        <v>0</v>
      </c>
      <c r="J284" s="136">
        <f>+ก.ค.!J284+ส.ค.!J284+ก.ย.!J284</f>
        <v>0</v>
      </c>
      <c r="K284" s="136">
        <f>+ก.ค.!K284+ส.ค.!K284+ก.ย.!K284</f>
        <v>40000</v>
      </c>
      <c r="L284" s="136">
        <f>+ก.ค.!L284+ส.ค.!L284+ก.ย.!L284</f>
        <v>0</v>
      </c>
      <c r="M284" s="136">
        <f>+ก.ค.!M284+ส.ค.!M284+ก.ย.!M284</f>
        <v>0</v>
      </c>
      <c r="N284" s="136">
        <f>+ก.ค.!N284+ส.ค.!N284+ก.ย.!N284</f>
        <v>0</v>
      </c>
      <c r="O284" s="136">
        <f>+ก.ค.!O284+ส.ค.!O284+ก.ย.!O284</f>
        <v>0</v>
      </c>
      <c r="P284" s="136">
        <f>+ก.ค.!P284+ส.ค.!P284+ก.ย.!P284</f>
        <v>0</v>
      </c>
      <c r="Q284" s="136">
        <f>+ก.ค.!Q284+ส.ค.!Q284+ก.ย.!Q284</f>
        <v>0</v>
      </c>
      <c r="R284" s="136">
        <f>+ก.ค.!R284+ส.ค.!R284+ก.ย.!R284</f>
        <v>0</v>
      </c>
      <c r="S284" s="136">
        <f>+ก.ค.!S284+ส.ค.!S284+ก.ย.!S284</f>
        <v>0</v>
      </c>
      <c r="T284" s="136">
        <f>+ก.ค.!T284+ส.ค.!T284+ก.ย.!T284</f>
        <v>0</v>
      </c>
      <c r="U284" s="136">
        <f>+ก.ค.!U284+ส.ค.!U284+ก.ย.!U284</f>
        <v>0</v>
      </c>
      <c r="V284" s="136">
        <f>+ก.ค.!V284+ส.ค.!V284+ก.ย.!V284</f>
        <v>0</v>
      </c>
      <c r="W284" s="310"/>
    </row>
    <row r="285" spans="1:23" s="221" customFormat="1" ht="25.5" customHeight="1" thickBot="1">
      <c r="A285" s="15"/>
      <c r="B285" s="53" t="s">
        <v>5</v>
      </c>
      <c r="C285" s="105">
        <f>SUM(C278:C284)</f>
        <v>130400</v>
      </c>
      <c r="D285" s="255">
        <f t="shared" ref="D285:J285" si="15">SUM(D278:D279)</f>
        <v>0</v>
      </c>
      <c r="E285" s="254">
        <f t="shared" si="15"/>
        <v>0</v>
      </c>
      <c r="F285" s="254">
        <f t="shared" si="15"/>
        <v>0</v>
      </c>
      <c r="G285" s="254">
        <f t="shared" si="15"/>
        <v>0</v>
      </c>
      <c r="H285" s="254">
        <f t="shared" si="15"/>
        <v>0</v>
      </c>
      <c r="I285" s="255">
        <f t="shared" si="15"/>
        <v>0</v>
      </c>
      <c r="J285" s="255">
        <f t="shared" si="15"/>
        <v>0</v>
      </c>
      <c r="K285" s="254">
        <f>SUM(K278:K284)</f>
        <v>70000</v>
      </c>
      <c r="L285" s="255">
        <f>SUM(L278:L279)</f>
        <v>0</v>
      </c>
      <c r="M285" s="254">
        <f>SUM(M278:M279)</f>
        <v>0</v>
      </c>
      <c r="N285" s="255">
        <f>SUM(N278:N279)</f>
        <v>0</v>
      </c>
      <c r="O285" s="255">
        <f>SUM(O278:O279)</f>
        <v>0</v>
      </c>
      <c r="P285" s="255">
        <f>SUM(P278:P279)</f>
        <v>0</v>
      </c>
      <c r="Q285" s="255">
        <f>SUM(Q278:Q284)</f>
        <v>40400</v>
      </c>
      <c r="R285" s="255">
        <f>SUM(R278:R279)</f>
        <v>0</v>
      </c>
      <c r="S285" s="255">
        <f>SUM(S278:S279)</f>
        <v>0</v>
      </c>
      <c r="T285" s="255"/>
      <c r="U285" s="255">
        <f>SUM(U278:U279)</f>
        <v>0</v>
      </c>
      <c r="V285" s="255">
        <f>SUM(V278:V279)</f>
        <v>0</v>
      </c>
      <c r="W285" s="314">
        <f>SUM(D285:V285)</f>
        <v>110400</v>
      </c>
    </row>
    <row r="286" spans="1:23" s="221" customFormat="1" ht="25.5" customHeight="1" thickTop="1">
      <c r="A286" s="20" t="s">
        <v>276</v>
      </c>
      <c r="B286" s="23"/>
      <c r="C286" s="193"/>
      <c r="D286" s="133"/>
      <c r="E286" s="269"/>
      <c r="F286" s="136"/>
      <c r="G286" s="136"/>
      <c r="H286" s="136"/>
      <c r="I286" s="133"/>
      <c r="J286" s="133"/>
      <c r="K286" s="136"/>
      <c r="L286" s="133"/>
      <c r="M286" s="136"/>
      <c r="N286" s="133"/>
      <c r="O286" s="133"/>
      <c r="P286" s="133"/>
      <c r="Q286" s="133"/>
      <c r="R286" s="258"/>
      <c r="S286" s="259"/>
      <c r="T286" s="259"/>
      <c r="U286" s="258"/>
      <c r="V286" s="258"/>
      <c r="W286" s="310"/>
    </row>
    <row r="287" spans="1:23" s="221" customFormat="1" ht="25.5" customHeight="1">
      <c r="A287" s="20"/>
      <c r="B287" s="185" t="s">
        <v>226</v>
      </c>
      <c r="C287" s="192">
        <f>+'ต.ค. '!E284+'ต.ค. '!F284+'ต.ค. '!H284+'ต.ค. '!M284</f>
        <v>37500</v>
      </c>
      <c r="D287" s="133"/>
      <c r="E287" s="136"/>
      <c r="F287" s="136"/>
      <c r="G287" s="136"/>
      <c r="H287" s="136"/>
      <c r="I287" s="133"/>
      <c r="J287" s="133"/>
      <c r="K287" s="136"/>
      <c r="L287" s="133"/>
      <c r="M287" s="136"/>
      <c r="N287" s="133"/>
      <c r="O287" s="133"/>
      <c r="P287" s="133"/>
      <c r="Q287" s="133"/>
      <c r="R287" s="133"/>
      <c r="S287" s="133"/>
      <c r="T287" s="133"/>
      <c r="U287" s="133"/>
      <c r="V287" s="133"/>
      <c r="W287" s="310"/>
    </row>
    <row r="288" spans="1:23" s="221" customFormat="1" ht="25.5" customHeight="1">
      <c r="A288" s="20"/>
      <c r="B288" s="185" t="s">
        <v>233</v>
      </c>
      <c r="C288" s="299">
        <v>7500</v>
      </c>
      <c r="D288" s="133"/>
      <c r="E288" s="136"/>
      <c r="F288" s="136"/>
      <c r="G288" s="136"/>
      <c r="H288" s="136"/>
      <c r="I288" s="133"/>
      <c r="J288" s="133"/>
      <c r="K288" s="136"/>
      <c r="L288" s="133"/>
      <c r="M288" s="136"/>
      <c r="N288" s="133"/>
      <c r="O288" s="133"/>
      <c r="P288" s="133"/>
      <c r="Q288" s="133"/>
      <c r="R288" s="133"/>
      <c r="S288" s="133"/>
      <c r="T288" s="133"/>
      <c r="U288" s="133"/>
      <c r="V288" s="133"/>
      <c r="W288" s="310"/>
    </row>
    <row r="289" spans="1:24" s="221" customFormat="1" ht="25.5" customHeight="1">
      <c r="A289" s="20"/>
      <c r="B289" s="274" t="s">
        <v>378</v>
      </c>
      <c r="C289" s="299">
        <v>37500</v>
      </c>
      <c r="D289" s="133"/>
      <c r="E289" s="136"/>
      <c r="F289" s="136"/>
      <c r="G289" s="136"/>
      <c r="H289" s="136"/>
      <c r="I289" s="133"/>
      <c r="J289" s="133"/>
      <c r="K289" s="136"/>
      <c r="L289" s="133"/>
      <c r="M289" s="136"/>
      <c r="N289" s="133"/>
      <c r="O289" s="133"/>
      <c r="P289" s="133"/>
      <c r="Q289" s="133"/>
      <c r="R289" s="133"/>
      <c r="S289" s="133"/>
      <c r="T289" s="133"/>
      <c r="U289" s="133"/>
      <c r="V289" s="133"/>
      <c r="W289" s="310"/>
    </row>
    <row r="290" spans="1:24" s="221" customFormat="1" ht="25.5" customHeight="1">
      <c r="A290" s="20"/>
      <c r="B290" s="185" t="s">
        <v>379</v>
      </c>
      <c r="C290" s="299">
        <v>10000</v>
      </c>
      <c r="D290" s="133"/>
      <c r="E290" s="136"/>
      <c r="F290" s="136"/>
      <c r="G290" s="136"/>
      <c r="H290" s="136"/>
      <c r="I290" s="133"/>
      <c r="J290" s="133"/>
      <c r="K290" s="136"/>
      <c r="L290" s="133"/>
      <c r="M290" s="136"/>
      <c r="N290" s="133"/>
      <c r="O290" s="133"/>
      <c r="P290" s="133"/>
      <c r="Q290" s="133"/>
      <c r="R290" s="133"/>
      <c r="S290" s="133"/>
      <c r="T290" s="133"/>
      <c r="U290" s="133"/>
      <c r="V290" s="133"/>
      <c r="W290" s="310"/>
    </row>
    <row r="291" spans="1:24" s="221" customFormat="1" ht="25.5" customHeight="1">
      <c r="A291" s="20"/>
      <c r="B291" s="185" t="s">
        <v>382</v>
      </c>
      <c r="C291" s="299">
        <v>1950</v>
      </c>
      <c r="D291" s="133"/>
      <c r="E291" s="136"/>
      <c r="F291" s="136"/>
      <c r="G291" s="136"/>
      <c r="H291" s="136"/>
      <c r="I291" s="133"/>
      <c r="J291" s="133"/>
      <c r="K291" s="136"/>
      <c r="L291" s="133"/>
      <c r="M291" s="136"/>
      <c r="N291" s="133"/>
      <c r="O291" s="133"/>
      <c r="P291" s="133"/>
      <c r="Q291" s="133"/>
      <c r="R291" s="133"/>
      <c r="S291" s="133"/>
      <c r="T291" s="133"/>
      <c r="U291" s="133"/>
      <c r="V291" s="133"/>
      <c r="W291" s="310"/>
    </row>
    <row r="292" spans="1:24" s="221" customFormat="1" ht="25.5" customHeight="1">
      <c r="A292" s="20"/>
      <c r="B292" s="185" t="s">
        <v>380</v>
      </c>
      <c r="C292" s="299">
        <v>4550</v>
      </c>
      <c r="D292" s="133"/>
      <c r="E292" s="136"/>
      <c r="F292" s="136"/>
      <c r="G292" s="136"/>
      <c r="H292" s="136"/>
      <c r="I292" s="133"/>
      <c r="J292" s="133"/>
      <c r="K292" s="136"/>
      <c r="L292" s="133"/>
      <c r="M292" s="136"/>
      <c r="N292" s="133"/>
      <c r="O292" s="133"/>
      <c r="P292" s="133"/>
      <c r="Q292" s="133"/>
      <c r="R292" s="133"/>
      <c r="S292" s="133"/>
      <c r="T292" s="133"/>
      <c r="U292" s="133"/>
      <c r="V292" s="133"/>
      <c r="W292" s="310"/>
    </row>
    <row r="293" spans="1:24" s="221" customFormat="1" ht="25.5" customHeight="1">
      <c r="A293" s="20"/>
      <c r="B293" s="185" t="s">
        <v>386</v>
      </c>
      <c r="C293" s="192">
        <v>409940.96</v>
      </c>
      <c r="D293" s="133"/>
      <c r="E293" s="136"/>
      <c r="F293" s="136"/>
      <c r="G293" s="136"/>
      <c r="H293" s="136"/>
      <c r="I293" s="133"/>
      <c r="J293" s="133"/>
      <c r="K293" s="136"/>
      <c r="L293" s="133"/>
      <c r="M293" s="136"/>
      <c r="N293" s="133"/>
      <c r="O293" s="133"/>
      <c r="P293" s="133"/>
      <c r="Q293" s="133"/>
      <c r="R293" s="133"/>
      <c r="S293" s="133"/>
      <c r="T293" s="133"/>
      <c r="U293" s="133"/>
      <c r="V293" s="133"/>
      <c r="W293" s="310"/>
    </row>
    <row r="294" spans="1:24" s="221" customFormat="1" ht="25.5" customHeight="1">
      <c r="A294" s="20"/>
      <c r="B294" s="185" t="s">
        <v>387</v>
      </c>
      <c r="C294" s="192">
        <v>40000</v>
      </c>
      <c r="D294" s="133"/>
      <c r="E294" s="136"/>
      <c r="F294" s="136"/>
      <c r="G294" s="136"/>
      <c r="H294" s="136"/>
      <c r="I294" s="133"/>
      <c r="J294" s="133"/>
      <c r="K294" s="136"/>
      <c r="L294" s="133"/>
      <c r="M294" s="136"/>
      <c r="N294" s="133"/>
      <c r="O294" s="133"/>
      <c r="P294" s="133"/>
      <c r="Q294" s="133"/>
      <c r="R294" s="133"/>
      <c r="S294" s="133"/>
      <c r="T294" s="133"/>
      <c r="U294" s="133"/>
      <c r="V294" s="133"/>
      <c r="W294" s="310"/>
    </row>
    <row r="295" spans="1:24" ht="25.5" customHeight="1">
      <c r="A295" s="20"/>
      <c r="B295" s="347" t="s">
        <v>409</v>
      </c>
      <c r="C295" s="192">
        <v>175000</v>
      </c>
      <c r="D295" s="131"/>
      <c r="E295" s="135"/>
      <c r="F295" s="135"/>
      <c r="G295" s="135"/>
      <c r="H295" s="135"/>
      <c r="I295" s="131"/>
      <c r="J295" s="131"/>
      <c r="K295" s="135"/>
      <c r="L295" s="131"/>
      <c r="M295" s="135"/>
      <c r="N295" s="131"/>
      <c r="O295" s="131"/>
      <c r="P295" s="131"/>
      <c r="Q295" s="131"/>
      <c r="R295" s="131"/>
      <c r="S295" s="131"/>
      <c r="T295" s="131"/>
      <c r="U295" s="131"/>
      <c r="V295" s="131"/>
    </row>
    <row r="296" spans="1:24" ht="25.5" customHeight="1">
      <c r="A296" s="20"/>
      <c r="B296" s="348"/>
      <c r="C296" s="350"/>
      <c r="D296" s="345"/>
      <c r="E296" s="346"/>
      <c r="F296" s="346"/>
      <c r="G296" s="346"/>
      <c r="H296" s="346"/>
      <c r="I296" s="345"/>
      <c r="J296" s="345"/>
      <c r="K296" s="346"/>
      <c r="L296" s="345"/>
      <c r="M296" s="346"/>
      <c r="N296" s="345"/>
      <c r="O296" s="345"/>
      <c r="P296" s="345"/>
      <c r="Q296" s="345"/>
      <c r="R296" s="345"/>
      <c r="S296" s="345"/>
      <c r="T296" s="345"/>
      <c r="U296" s="345"/>
      <c r="V296" s="345"/>
    </row>
    <row r="297" spans="1:24" ht="25.5" customHeight="1" thickBot="1">
      <c r="A297" s="15"/>
      <c r="B297" s="53" t="s">
        <v>5</v>
      </c>
      <c r="C297" s="105">
        <f>SUM(C287:C296)</f>
        <v>723940.96</v>
      </c>
      <c r="D297" s="132">
        <f>SUM(D287:D296)</f>
        <v>0</v>
      </c>
      <c r="E297" s="137">
        <f t="shared" ref="E297:V297" si="16">SUM(E287:E296)</f>
        <v>0</v>
      </c>
      <c r="F297" s="137">
        <f t="shared" si="16"/>
        <v>0</v>
      </c>
      <c r="G297" s="132">
        <f t="shared" si="16"/>
        <v>0</v>
      </c>
      <c r="H297" s="137">
        <f t="shared" si="16"/>
        <v>0</v>
      </c>
      <c r="I297" s="132">
        <f t="shared" si="16"/>
        <v>0</v>
      </c>
      <c r="J297" s="132">
        <f t="shared" si="16"/>
        <v>0</v>
      </c>
      <c r="K297" s="137">
        <f t="shared" si="16"/>
        <v>0</v>
      </c>
      <c r="L297" s="132">
        <f t="shared" si="16"/>
        <v>0</v>
      </c>
      <c r="M297" s="137">
        <f t="shared" si="16"/>
        <v>0</v>
      </c>
      <c r="N297" s="132">
        <f t="shared" si="16"/>
        <v>0</v>
      </c>
      <c r="O297" s="132">
        <f t="shared" si="16"/>
        <v>0</v>
      </c>
      <c r="P297" s="132">
        <f t="shared" si="16"/>
        <v>0</v>
      </c>
      <c r="Q297" s="132">
        <f t="shared" si="16"/>
        <v>0</v>
      </c>
      <c r="R297" s="132">
        <f t="shared" si="16"/>
        <v>0</v>
      </c>
      <c r="S297" s="132">
        <f t="shared" si="16"/>
        <v>0</v>
      </c>
      <c r="T297" s="132"/>
      <c r="U297" s="132">
        <f t="shared" si="16"/>
        <v>0</v>
      </c>
      <c r="V297" s="132">
        <f t="shared" si="16"/>
        <v>0</v>
      </c>
      <c r="W297" s="318">
        <f>SUM(D297:V297)</f>
        <v>0</v>
      </c>
    </row>
    <row r="298" spans="1:24" ht="25.5" customHeight="1" thickTop="1" thickBot="1">
      <c r="A298" s="16"/>
      <c r="B298" s="52" t="s">
        <v>49</v>
      </c>
      <c r="C298" s="229">
        <f>+C272+C262+C221+C210+C204++C49+C39+C21+C176+C28+C224</f>
        <v>39208280</v>
      </c>
      <c r="D298" s="229">
        <f t="shared" ref="D298:V298" si="17">+D272+D262+D221+D210+D204++D49+D39+D21+D176+D28+D224</f>
        <v>2241152</v>
      </c>
      <c r="E298" s="229">
        <f>+E272+E262+E221+E210+E204++E49+E39+E21+E176+E28+E224+E242</f>
        <v>2710908.8600000003</v>
      </c>
      <c r="F298" s="229">
        <f t="shared" si="17"/>
        <v>509230.4</v>
      </c>
      <c r="G298" s="229">
        <f t="shared" si="17"/>
        <v>326246</v>
      </c>
      <c r="H298" s="229">
        <f>+H272+H262+H221+H210+H204++H49+H39+H21+H176+H28+H224+H235</f>
        <v>1426033.66</v>
      </c>
      <c r="I298" s="229">
        <f t="shared" si="17"/>
        <v>1865830.64</v>
      </c>
      <c r="J298" s="229">
        <f t="shared" si="17"/>
        <v>39998</v>
      </c>
      <c r="K298" s="229">
        <f>+K272+K262+K221+K210+K204++K49+K39+K21+K176+K28+K224</f>
        <v>160821.32</v>
      </c>
      <c r="L298" s="229">
        <f t="shared" si="17"/>
        <v>0</v>
      </c>
      <c r="M298" s="229">
        <f t="shared" si="17"/>
        <v>605947.80000000005</v>
      </c>
      <c r="N298" s="229">
        <f t="shared" si="17"/>
        <v>1246000</v>
      </c>
      <c r="O298" s="229">
        <f t="shared" si="17"/>
        <v>0</v>
      </c>
      <c r="P298" s="229">
        <f t="shared" si="17"/>
        <v>14395</v>
      </c>
      <c r="Q298" s="229">
        <f t="shared" si="17"/>
        <v>0</v>
      </c>
      <c r="R298" s="229">
        <f t="shared" si="17"/>
        <v>0</v>
      </c>
      <c r="S298" s="229">
        <f t="shared" si="17"/>
        <v>30984</v>
      </c>
      <c r="T298" s="229"/>
      <c r="U298" s="229">
        <f t="shared" si="17"/>
        <v>0</v>
      </c>
      <c r="V298" s="51">
        <f t="shared" si="17"/>
        <v>21360</v>
      </c>
      <c r="W298" s="353">
        <f>SUM(D298:V298)</f>
        <v>11198907.680000002</v>
      </c>
      <c r="X298" s="522"/>
    </row>
    <row r="299" spans="1:24" ht="25.5" customHeight="1" thickTop="1" thickBot="1">
      <c r="A299" s="16"/>
      <c r="B299" s="41" t="s">
        <v>25</v>
      </c>
      <c r="C299" s="260">
        <f>+C297+C285+C276+C272+C262+C224+C221+C210+C176+C49+C28+C21+C39++C204</f>
        <v>40289120.960000001</v>
      </c>
      <c r="D299" s="260">
        <f>+D297+D285+D276+D272+D262+D224+D221+D210+D176+D49+D28+D21+D39++D204</f>
        <v>2241152</v>
      </c>
      <c r="E299" s="260">
        <f>+E297+E285+E276+E272+E262+E224+E221+E210+E176+E49+E28+E21+E39++E204+E242</f>
        <v>2710908.8600000003</v>
      </c>
      <c r="F299" s="260">
        <f t="shared" ref="F299:V299" si="18">+F297+F285+F276+F272+F262+F224+F221+F210+F176+F49+F28+F21+F39++F204</f>
        <v>509230.4</v>
      </c>
      <c r="G299" s="260">
        <f t="shared" si="18"/>
        <v>326246</v>
      </c>
      <c r="H299" s="260">
        <f>+H297+H285+H276+H272+H262+H224+H221+H210+H176+H49+H28+H21+H39++H204+H235</f>
        <v>1426033.6600000001</v>
      </c>
      <c r="I299" s="260">
        <f t="shared" si="18"/>
        <v>1865830.64</v>
      </c>
      <c r="J299" s="260">
        <f t="shared" si="18"/>
        <v>39998</v>
      </c>
      <c r="K299" s="260">
        <f>+K297+K285+K276+K272+K262+K224+K221+K210+K176+K49+K28+K21+K39++K204</f>
        <v>230821.32</v>
      </c>
      <c r="L299" s="260">
        <f t="shared" si="18"/>
        <v>0</v>
      </c>
      <c r="M299" s="260">
        <f t="shared" si="18"/>
        <v>605947.80000000005</v>
      </c>
      <c r="N299" s="260">
        <f t="shared" si="18"/>
        <v>1246000</v>
      </c>
      <c r="O299" s="260">
        <f t="shared" si="18"/>
        <v>0</v>
      </c>
      <c r="P299" s="260">
        <f t="shared" si="18"/>
        <v>14395</v>
      </c>
      <c r="Q299" s="260">
        <f t="shared" si="18"/>
        <v>40400</v>
      </c>
      <c r="R299" s="260">
        <f t="shared" si="18"/>
        <v>0</v>
      </c>
      <c r="S299" s="260">
        <f t="shared" si="18"/>
        <v>30984</v>
      </c>
      <c r="T299" s="260"/>
      <c r="U299" s="260">
        <f t="shared" si="18"/>
        <v>0</v>
      </c>
      <c r="V299" s="309">
        <f t="shared" si="18"/>
        <v>21360</v>
      </c>
      <c r="W299" s="495">
        <f>SUM(D299:V299)</f>
        <v>11309307.680000002</v>
      </c>
      <c r="X299" s="522"/>
    </row>
    <row r="300" spans="1:24" ht="25.5" customHeight="1" thickTop="1">
      <c r="B300" s="246" t="s">
        <v>273</v>
      </c>
      <c r="C300" s="182"/>
      <c r="D300" s="300"/>
      <c r="E300" s="301"/>
      <c r="F300" s="302"/>
      <c r="G300" s="302"/>
      <c r="H300" s="302"/>
      <c r="I300" s="300"/>
      <c r="J300" s="300"/>
      <c r="K300" s="302"/>
      <c r="L300" s="300"/>
      <c r="M300" s="302"/>
      <c r="N300" s="300"/>
      <c r="O300" s="300"/>
      <c r="P300" s="300"/>
      <c r="Q300" s="300"/>
      <c r="R300" s="303"/>
      <c r="S300" s="304"/>
      <c r="T300" s="304"/>
      <c r="U300" s="303"/>
      <c r="V300" s="303"/>
      <c r="W300" s="529"/>
      <c r="X300" s="522"/>
    </row>
    <row r="301" spans="1:24" ht="25.5" customHeight="1">
      <c r="C301" s="182"/>
      <c r="D301" s="521"/>
      <c r="E301" s="527"/>
      <c r="F301" s="520"/>
      <c r="G301" s="520"/>
      <c r="H301" s="520"/>
      <c r="I301" s="521"/>
      <c r="J301" s="521"/>
      <c r="K301" s="520"/>
      <c r="L301" s="521"/>
      <c r="M301" s="520"/>
      <c r="N301" s="521"/>
      <c r="O301" s="521"/>
      <c r="P301" s="521"/>
      <c r="Q301" s="521"/>
      <c r="R301" s="522"/>
      <c r="S301" s="523"/>
      <c r="T301" s="523"/>
      <c r="U301" s="522"/>
      <c r="V301" s="522"/>
      <c r="W301" s="529"/>
      <c r="X301" s="522"/>
    </row>
    <row r="302" spans="1:24" ht="25.5" customHeight="1">
      <c r="C302" s="182"/>
      <c r="D302" s="521"/>
      <c r="E302" s="527"/>
      <c r="F302" s="520"/>
      <c r="G302" s="520"/>
      <c r="H302" s="520"/>
      <c r="I302" s="521"/>
      <c r="J302" s="521"/>
      <c r="K302" s="520"/>
      <c r="L302" s="521"/>
      <c r="M302" s="520"/>
      <c r="N302" s="521"/>
      <c r="O302" s="521"/>
      <c r="P302" s="521"/>
      <c r="Q302" s="521"/>
      <c r="R302" s="522"/>
      <c r="S302" s="523"/>
      <c r="T302" s="523"/>
      <c r="U302" s="522"/>
      <c r="V302" s="522"/>
      <c r="W302" s="529"/>
      <c r="X302" s="522"/>
    </row>
    <row r="303" spans="1:24" ht="25.5" customHeight="1">
      <c r="B303" s="253">
        <f>39148280-C298</f>
        <v>-60000</v>
      </c>
      <c r="C303" s="182"/>
      <c r="W303" s="322"/>
    </row>
    <row r="304" spans="1:24" ht="25.5" customHeight="1">
      <c r="C304" s="182"/>
      <c r="W304" s="328"/>
    </row>
    <row r="305" spans="1:24" ht="25.5" customHeight="1">
      <c r="C305" s="182"/>
      <c r="W305" s="321"/>
    </row>
    <row r="306" spans="1:24" ht="25.5" customHeight="1">
      <c r="W306" s="321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265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 s="221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265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 s="221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265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 s="221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265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 s="2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265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 s="221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265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 s="221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265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 s="221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265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 s="221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265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 s="221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265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 s="221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265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 s="221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265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 s="221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265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 s="221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265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 s="22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265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 s="221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265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 s="221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265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 s="221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265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 s="221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265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 s="221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265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 s="221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265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 s="221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265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 s="221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265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 s="221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265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 s="22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265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 s="221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265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 s="221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265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 s="221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265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 s="221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265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 s="221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265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 s="221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265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 s="221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265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 s="221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265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 s="221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265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 s="22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265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 s="221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265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 s="221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265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 s="221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265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 s="221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265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 s="221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265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 s="221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265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 s="221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265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 s="221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265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 s="221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265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 s="22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265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 s="221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265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 s="221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265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 s="221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265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 s="221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265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 s="221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265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 s="221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265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 s="221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265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 s="221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265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 s="221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265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 s="22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265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 s="221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265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 s="221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265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 s="221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265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 s="221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265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 s="221"/>
    </row>
    <row r="377" spans="1:24" s="310" customFormat="1" ht="25.5" customHeight="1">
      <c r="A377"/>
      <c r="B377"/>
      <c r="C377" s="282"/>
      <c r="D377" s="181"/>
      <c r="E377" s="272"/>
      <c r="F377" s="265"/>
      <c r="G377" s="265"/>
      <c r="H377" s="265"/>
      <c r="I377" s="181"/>
      <c r="J377" s="181"/>
      <c r="K377" s="265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  <c r="X377" s="221"/>
    </row>
    <row r="378" spans="1:24" s="310" customFormat="1" ht="25.5" customHeight="1">
      <c r="A378"/>
      <c r="B378"/>
      <c r="C378" s="282"/>
      <c r="D378" s="181"/>
      <c r="E378" s="272"/>
      <c r="F378" s="265"/>
      <c r="G378" s="265"/>
      <c r="H378" s="265"/>
      <c r="I378" s="181"/>
      <c r="J378" s="181"/>
      <c r="K378" s="265"/>
      <c r="L378" s="181"/>
      <c r="M378" s="265"/>
      <c r="N378" s="181"/>
      <c r="O378" s="181"/>
      <c r="P378" s="181"/>
      <c r="Q378" s="181"/>
      <c r="R378" s="221"/>
      <c r="S378" s="234"/>
      <c r="T378" s="234"/>
      <c r="U378" s="221"/>
      <c r="V378" s="221"/>
      <c r="X378" s="221"/>
    </row>
    <row r="379" spans="1:24" s="310" customFormat="1" ht="25.5" customHeight="1">
      <c r="A379"/>
      <c r="B379"/>
      <c r="C379" s="282"/>
      <c r="D379" s="181"/>
      <c r="E379" s="272"/>
      <c r="F379" s="265"/>
      <c r="G379" s="265"/>
      <c r="H379" s="265"/>
      <c r="I379" s="181"/>
      <c r="J379" s="181"/>
      <c r="K379" s="265"/>
      <c r="L379" s="181"/>
      <c r="M379" s="265"/>
      <c r="N379" s="181"/>
      <c r="O379" s="181"/>
      <c r="P379" s="181"/>
      <c r="Q379" s="181"/>
      <c r="R379" s="221"/>
      <c r="S379" s="234"/>
      <c r="T379" s="234"/>
      <c r="U379" s="221"/>
      <c r="V379" s="221"/>
      <c r="X379" s="221"/>
    </row>
    <row r="380" spans="1:24" s="310" customFormat="1" ht="25.5" customHeight="1">
      <c r="A380"/>
      <c r="B380"/>
      <c r="C380" s="282"/>
      <c r="D380" s="181"/>
      <c r="E380" s="272"/>
      <c r="F380" s="265"/>
      <c r="G380" s="265"/>
      <c r="H380" s="265"/>
      <c r="I380" s="181"/>
      <c r="J380" s="181"/>
      <c r="K380" s="265"/>
      <c r="L380" s="181"/>
      <c r="M380" s="265"/>
      <c r="N380" s="181"/>
      <c r="O380" s="181"/>
      <c r="P380" s="181"/>
      <c r="Q380" s="181"/>
      <c r="R380" s="221"/>
      <c r="S380" s="234"/>
      <c r="T380" s="234"/>
      <c r="U380" s="221"/>
      <c r="V380" s="221"/>
      <c r="X380" s="221"/>
    </row>
    <row r="381" spans="1:24" s="310" customFormat="1" ht="25.5" customHeight="1">
      <c r="A381"/>
      <c r="B381"/>
      <c r="C381" s="282"/>
      <c r="D381" s="181"/>
      <c r="E381" s="272"/>
      <c r="F381" s="265"/>
      <c r="G381" s="265"/>
      <c r="H381" s="265"/>
      <c r="I381" s="181"/>
      <c r="J381" s="181"/>
      <c r="K381" s="265"/>
      <c r="L381" s="181"/>
      <c r="M381" s="265"/>
      <c r="N381" s="181"/>
      <c r="O381" s="181"/>
      <c r="P381" s="181"/>
      <c r="Q381" s="181"/>
      <c r="R381" s="221"/>
      <c r="S381" s="234"/>
      <c r="T381" s="234"/>
      <c r="U381" s="221"/>
      <c r="V381" s="221"/>
      <c r="X381" s="221"/>
    </row>
    <row r="382" spans="1:24" s="310" customFormat="1" ht="25.5" customHeight="1">
      <c r="A382"/>
      <c r="B382"/>
      <c r="C382" s="282"/>
      <c r="D382" s="181"/>
      <c r="E382" s="272"/>
      <c r="F382" s="265"/>
      <c r="G382" s="265"/>
      <c r="H382" s="265"/>
      <c r="I382" s="181"/>
      <c r="J382" s="181"/>
      <c r="K382" s="265"/>
      <c r="L382" s="181"/>
      <c r="M382" s="265"/>
      <c r="N382" s="181"/>
      <c r="O382" s="181"/>
      <c r="P382" s="181"/>
      <c r="Q382" s="181"/>
      <c r="R382" s="221"/>
      <c r="S382" s="234"/>
      <c r="T382" s="234"/>
      <c r="U382" s="221"/>
      <c r="V382" s="221"/>
      <c r="X382" s="221"/>
    </row>
    <row r="383" spans="1:24" s="310" customFormat="1" ht="25.5" customHeight="1">
      <c r="A383"/>
      <c r="B383"/>
      <c r="C383" s="282"/>
      <c r="D383" s="181"/>
      <c r="E383" s="272"/>
      <c r="F383" s="265"/>
      <c r="G383" s="265"/>
      <c r="H383" s="265"/>
      <c r="I383" s="181"/>
      <c r="J383" s="181"/>
      <c r="K383" s="265"/>
      <c r="L383" s="181"/>
      <c r="M383" s="265"/>
      <c r="N383" s="181"/>
      <c r="O383" s="181"/>
      <c r="P383" s="181"/>
      <c r="Q383" s="181"/>
      <c r="R383" s="221"/>
      <c r="S383" s="234"/>
      <c r="T383" s="234"/>
      <c r="U383" s="221"/>
      <c r="V383" s="221"/>
      <c r="X383" s="221"/>
    </row>
    <row r="384" spans="1:24" s="310" customFormat="1" ht="25.5" customHeight="1">
      <c r="A384"/>
      <c r="B384"/>
      <c r="C384" s="282"/>
      <c r="D384" s="181"/>
      <c r="E384" s="272"/>
      <c r="F384" s="265"/>
      <c r="G384" s="265"/>
      <c r="H384" s="265"/>
      <c r="I384" s="181"/>
      <c r="J384" s="181"/>
      <c r="K384" s="265"/>
      <c r="L384" s="181"/>
      <c r="M384" s="265"/>
      <c r="N384" s="181"/>
      <c r="O384" s="181"/>
      <c r="P384" s="181"/>
      <c r="Q384" s="181"/>
      <c r="R384" s="221"/>
      <c r="S384" s="234"/>
      <c r="T384" s="234"/>
      <c r="U384" s="221"/>
      <c r="V384" s="221"/>
      <c r="X384" s="221"/>
    </row>
    <row r="385" spans="1:24" s="310" customFormat="1" ht="25.5" customHeight="1">
      <c r="A385"/>
      <c r="B385"/>
      <c r="C385" s="282"/>
      <c r="D385" s="181"/>
      <c r="E385" s="272"/>
      <c r="F385" s="265"/>
      <c r="G385" s="265"/>
      <c r="H385" s="265"/>
      <c r="I385" s="181"/>
      <c r="J385" s="181"/>
      <c r="K385" s="265"/>
      <c r="L385" s="181"/>
      <c r="M385" s="265"/>
      <c r="N385" s="181"/>
      <c r="O385" s="181"/>
      <c r="P385" s="181"/>
      <c r="Q385" s="181"/>
      <c r="R385" s="221"/>
      <c r="S385" s="234"/>
      <c r="T385" s="234"/>
      <c r="U385" s="221"/>
      <c r="V385" s="221"/>
      <c r="X385" s="221"/>
    </row>
    <row r="386" spans="1:24" s="310" customFormat="1" ht="25.5" customHeight="1">
      <c r="A386"/>
      <c r="B386"/>
      <c r="C386" s="282"/>
      <c r="D386" s="181"/>
      <c r="E386" s="272"/>
      <c r="F386" s="265"/>
      <c r="G386" s="265"/>
      <c r="H386" s="265"/>
      <c r="I386" s="181"/>
      <c r="J386" s="181"/>
      <c r="K386" s="265"/>
      <c r="L386" s="181"/>
      <c r="M386" s="265"/>
      <c r="N386" s="181"/>
      <c r="O386" s="181"/>
      <c r="P386" s="181"/>
      <c r="Q386" s="181"/>
      <c r="R386" s="221"/>
      <c r="S386" s="234"/>
      <c r="T386" s="234"/>
      <c r="U386" s="221"/>
      <c r="V386" s="221"/>
      <c r="X386" s="221"/>
    </row>
  </sheetData>
  <mergeCells count="33"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T6"/>
    <mergeCell ref="U5:U6"/>
    <mergeCell ref="V5:V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V7:V8"/>
    <mergeCell ref="P7:P8"/>
    <mergeCell ref="Q7:Q8"/>
    <mergeCell ref="R7:R8"/>
    <mergeCell ref="S7:S8"/>
    <mergeCell ref="T7:T8"/>
    <mergeCell ref="U7:U8"/>
  </mergeCells>
  <pageMargins left="0.32" right="0.17" top="0.19685039370078741" bottom="0.17" header="0.19685039370078741" footer="0.15748031496062992"/>
  <pageSetup paperSize="9" scale="8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1:AA438"/>
  <sheetViews>
    <sheetView tabSelected="1" workbookViewId="0">
      <pane ySplit="8" topLeftCell="A9" activePane="bottomLeft" state="frozen"/>
      <selection activeCell="J212" sqref="J212"/>
      <selection pane="bottomLeft" activeCell="J32" sqref="J32"/>
    </sheetView>
  </sheetViews>
  <sheetFormatPr defaultRowHeight="26.25"/>
  <cols>
    <col min="1" max="1" width="1.5703125" customWidth="1"/>
    <col min="2" max="2" width="29.5703125" customWidth="1"/>
    <col min="3" max="3" width="11" style="265" customWidth="1"/>
    <col min="4" max="4" width="10.5703125" style="1" customWidth="1"/>
    <col min="5" max="5" width="11.42578125" style="1" customWidth="1"/>
    <col min="6" max="6" width="10.140625" style="1" customWidth="1"/>
    <col min="7" max="7" width="11.42578125" style="1" customWidth="1"/>
    <col min="8" max="8" width="10.85546875" style="1" customWidth="1"/>
    <col min="9" max="9" width="10.42578125" style="1" customWidth="1"/>
    <col min="10" max="10" width="23.140625" style="233" customWidth="1"/>
    <col min="11" max="11" width="13.5703125" style="329" customWidth="1"/>
    <col min="12" max="12" width="18.28515625" style="330" customWidth="1"/>
    <col min="13" max="13" width="12.85546875" style="330" bestFit="1" customWidth="1"/>
  </cols>
  <sheetData>
    <row r="1" spans="1:27" s="1" customFormat="1" ht="21.75" customHeight="1">
      <c r="A1" s="652" t="s">
        <v>274</v>
      </c>
      <c r="B1" s="652"/>
      <c r="C1" s="652"/>
      <c r="D1" s="652"/>
      <c r="E1" s="652"/>
      <c r="F1" s="652"/>
      <c r="G1" s="652"/>
      <c r="H1" s="652"/>
      <c r="I1" s="652"/>
      <c r="J1" s="245"/>
      <c r="K1" s="329"/>
      <c r="L1" s="330"/>
      <c r="M1" s="247"/>
    </row>
    <row r="2" spans="1:27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245"/>
      <c r="K2" s="331"/>
      <c r="L2" s="247"/>
      <c r="M2" s="247"/>
    </row>
    <row r="3" spans="1:27" s="1" customFormat="1" ht="21.75" customHeight="1">
      <c r="A3" s="653" t="s">
        <v>449</v>
      </c>
      <c r="B3" s="653"/>
      <c r="C3" s="653"/>
      <c r="D3" s="653"/>
      <c r="E3" s="653"/>
      <c r="F3" s="653"/>
      <c r="G3" s="653"/>
      <c r="H3" s="653"/>
      <c r="I3" s="653"/>
      <c r="J3" s="245"/>
      <c r="K3" s="331"/>
      <c r="L3" s="332"/>
      <c r="M3" s="247"/>
    </row>
    <row r="4" spans="1:27" s="34" customFormat="1" ht="5.25" customHeight="1">
      <c r="C4" s="520"/>
      <c r="D4" s="108"/>
      <c r="E4" s="108"/>
      <c r="F4" s="108"/>
      <c r="G4" s="108"/>
      <c r="H4" s="108"/>
      <c r="I4" s="108"/>
      <c r="J4" s="243"/>
      <c r="K4" s="333"/>
      <c r="L4" s="334"/>
      <c r="M4" s="334"/>
    </row>
    <row r="5" spans="1:27" s="2" customFormat="1" ht="21.75" customHeight="1">
      <c r="A5" s="683" t="s">
        <v>1</v>
      </c>
      <c r="B5" s="684"/>
      <c r="C5" s="689" t="s">
        <v>2</v>
      </c>
      <c r="D5" s="692" t="s">
        <v>54</v>
      </c>
      <c r="E5" s="692" t="s">
        <v>55</v>
      </c>
      <c r="F5" s="692" t="s">
        <v>56</v>
      </c>
      <c r="G5" s="692" t="s">
        <v>57</v>
      </c>
      <c r="H5" s="694" t="s">
        <v>58</v>
      </c>
      <c r="I5" s="677" t="s">
        <v>59</v>
      </c>
      <c r="J5" s="247"/>
      <c r="K5" s="329"/>
      <c r="L5" s="330"/>
      <c r="M5" s="330"/>
    </row>
    <row r="6" spans="1:27" s="2" customFormat="1" ht="21.75" customHeight="1">
      <c r="A6" s="685"/>
      <c r="B6" s="686"/>
      <c r="C6" s="690"/>
      <c r="D6" s="693"/>
      <c r="E6" s="693"/>
      <c r="F6" s="693"/>
      <c r="G6" s="693"/>
      <c r="H6" s="695"/>
      <c r="I6" s="680"/>
      <c r="J6" s="245"/>
      <c r="K6" s="329"/>
      <c r="L6" s="330"/>
      <c r="M6" s="330"/>
    </row>
    <row r="7" spans="1:27" s="2" customFormat="1" ht="21.75" customHeight="1">
      <c r="A7" s="685"/>
      <c r="B7" s="686"/>
      <c r="C7" s="690"/>
      <c r="D7" s="681" t="s">
        <v>275</v>
      </c>
      <c r="E7" s="681" t="s">
        <v>418</v>
      </c>
      <c r="F7" s="681" t="s">
        <v>431</v>
      </c>
      <c r="G7" s="681" t="s">
        <v>448</v>
      </c>
      <c r="H7" s="695"/>
      <c r="I7" s="680"/>
      <c r="J7" s="245"/>
      <c r="K7" s="329"/>
      <c r="L7" s="330"/>
      <c r="M7" s="330"/>
    </row>
    <row r="8" spans="1:27" s="2" customFormat="1" ht="12" customHeight="1">
      <c r="A8" s="687"/>
      <c r="B8" s="688"/>
      <c r="C8" s="691"/>
      <c r="D8" s="682"/>
      <c r="E8" s="682"/>
      <c r="F8" s="682"/>
      <c r="G8" s="682"/>
      <c r="H8" s="696"/>
      <c r="I8" s="678"/>
      <c r="J8" s="245"/>
      <c r="K8" s="331"/>
      <c r="L8" s="247"/>
      <c r="M8" s="330"/>
    </row>
    <row r="9" spans="1:27" ht="21.75" customHeight="1">
      <c r="A9" s="3" t="s">
        <v>3</v>
      </c>
      <c r="B9" s="4"/>
      <c r="C9" s="287"/>
      <c r="D9" s="517"/>
      <c r="E9" s="517"/>
      <c r="F9" s="517"/>
      <c r="G9" s="517"/>
      <c r="H9" s="517"/>
      <c r="I9" s="517"/>
      <c r="K9" s="331"/>
      <c r="L9" s="247"/>
      <c r="M9" s="247"/>
    </row>
    <row r="10" spans="1:27" ht="21.75" customHeight="1">
      <c r="A10" s="5"/>
      <c r="B10" s="130" t="s">
        <v>4</v>
      </c>
      <c r="C10" s="216">
        <f>130062+10100+2000+1800</f>
        <v>143962</v>
      </c>
      <c r="D10" s="230">
        <f>+'ต.ค.-ธ.ค.'!D10</f>
        <v>18508</v>
      </c>
      <c r="E10" s="230">
        <f>+'ม.ค.-มี.ค.'!D10</f>
        <v>34990</v>
      </c>
      <c r="F10" s="230">
        <f>+'เม.ย.-มิ.ย.'!D10</f>
        <v>38742</v>
      </c>
      <c r="G10" s="230">
        <f>+'ก.ค.-ก.ย.'!D10</f>
        <v>50992</v>
      </c>
      <c r="H10" s="230">
        <f>SUM(D10:G10)</f>
        <v>143232</v>
      </c>
      <c r="I10" s="498">
        <f t="shared" ref="I10:I19" si="0">+C10-H10</f>
        <v>730</v>
      </c>
      <c r="K10" s="331"/>
      <c r="L10" s="247"/>
      <c r="M10" s="247"/>
    </row>
    <row r="11" spans="1:27" ht="21.75" customHeight="1">
      <c r="A11" s="5"/>
      <c r="B11" s="130" t="s">
        <v>221</v>
      </c>
      <c r="C11" s="216">
        <v>13680</v>
      </c>
      <c r="D11" s="230">
        <f>+'ต.ค.-ธ.ค.'!D11</f>
        <v>2280</v>
      </c>
      <c r="E11" s="230">
        <f>+'ม.ค.-มี.ค.'!D11</f>
        <v>3420</v>
      </c>
      <c r="F11" s="230">
        <f>+'เม.ย.-มิ.ย.'!D11</f>
        <v>3420</v>
      </c>
      <c r="G11" s="230">
        <f>+'ก.ค.-ก.ย.'!D11</f>
        <v>4560</v>
      </c>
      <c r="H11" s="230">
        <f t="shared" ref="H11:H17" si="1">SUM(D11:G11)</f>
        <v>13680</v>
      </c>
      <c r="I11" s="498">
        <f t="shared" si="0"/>
        <v>0</v>
      </c>
      <c r="K11" s="377"/>
      <c r="L11" s="247"/>
      <c r="M11" s="247"/>
    </row>
    <row r="12" spans="1:27" s="221" customFormat="1" ht="21.75" customHeight="1">
      <c r="A12" s="20"/>
      <c r="B12" s="130" t="s">
        <v>45</v>
      </c>
      <c r="C12" s="31">
        <f>6548400-100000-20000-1000</f>
        <v>6427400</v>
      </c>
      <c r="D12" s="230">
        <f>+'ต.ค.-ธ.ค.'!D12</f>
        <v>1601200</v>
      </c>
      <c r="E12" s="230">
        <f>+'ม.ค.-มี.ค.'!D12</f>
        <v>1591700</v>
      </c>
      <c r="F12" s="230">
        <f>+'เม.ย.-มิ.ย.'!D12</f>
        <v>1582600</v>
      </c>
      <c r="G12" s="230">
        <f>+'ก.ค.-ก.ย.'!D12</f>
        <v>1580300</v>
      </c>
      <c r="H12" s="230">
        <f>SUM(D12:G12)</f>
        <v>6355800</v>
      </c>
      <c r="I12" s="498">
        <f t="shared" si="0"/>
        <v>71600</v>
      </c>
      <c r="J12" s="233"/>
      <c r="K12" s="377"/>
      <c r="L12" s="247"/>
      <c r="M12" s="247"/>
    </row>
    <row r="13" spans="1:27" ht="21.75" customHeight="1">
      <c r="A13" s="8"/>
      <c r="B13" s="130" t="s">
        <v>75</v>
      </c>
      <c r="C13" s="216">
        <v>18000</v>
      </c>
      <c r="D13" s="230">
        <f>+'ต.ค.-ธ.ค.'!D13</f>
        <v>4500</v>
      </c>
      <c r="E13" s="230">
        <f>+'ม.ค.-มี.ค.'!D13</f>
        <v>4500</v>
      </c>
      <c r="F13" s="230">
        <f>+'เม.ย.-มิ.ย.'!D13</f>
        <v>4500</v>
      </c>
      <c r="G13" s="230">
        <f>+'ก.ค.-ก.ย.'!D13</f>
        <v>4500</v>
      </c>
      <c r="H13" s="230">
        <f t="shared" si="1"/>
        <v>18000</v>
      </c>
      <c r="I13" s="498">
        <f t="shared" si="0"/>
        <v>0</v>
      </c>
      <c r="K13" s="377"/>
      <c r="L13" s="247"/>
      <c r="M13" s="247"/>
    </row>
    <row r="14" spans="1:27" ht="21.75" customHeight="1">
      <c r="A14" s="8"/>
      <c r="B14" s="130" t="s">
        <v>222</v>
      </c>
      <c r="C14" s="216">
        <f>2620800-200000</f>
        <v>2420800</v>
      </c>
      <c r="D14" s="230">
        <f>+'ต.ค.-ธ.ค.'!D14</f>
        <v>590400</v>
      </c>
      <c r="E14" s="230">
        <f>+'ม.ค.-มี.ค.'!D14</f>
        <v>595200</v>
      </c>
      <c r="F14" s="230">
        <f>+'เม.ย.-มิ.ย.'!D14</f>
        <v>596000</v>
      </c>
      <c r="G14" s="230">
        <f>+'ก.ค.-ก.ย.'!D14</f>
        <v>600800</v>
      </c>
      <c r="H14" s="230">
        <f t="shared" si="1"/>
        <v>2382400</v>
      </c>
      <c r="I14" s="498">
        <f t="shared" si="0"/>
        <v>38400</v>
      </c>
      <c r="K14" s="377"/>
      <c r="L14" s="247"/>
      <c r="M14" s="247"/>
    </row>
    <row r="15" spans="1:27" ht="21.75" customHeight="1">
      <c r="A15" s="9"/>
      <c r="B15" s="130" t="s">
        <v>209</v>
      </c>
      <c r="C15" s="216">
        <v>151291</v>
      </c>
      <c r="D15" s="230">
        <f>+'ต.ค.-ธ.ค.'!D15</f>
        <v>0</v>
      </c>
      <c r="E15" s="230">
        <f>+'ม.ค.-มี.ค.'!D15</f>
        <v>150410</v>
      </c>
      <c r="F15" s="230">
        <f>+'เม.ย.-มิ.ย.'!D15</f>
        <v>0</v>
      </c>
      <c r="G15" s="230">
        <f>+'ก.ค.-ก.ย.'!D15</f>
        <v>0</v>
      </c>
      <c r="H15" s="230">
        <f t="shared" si="1"/>
        <v>150410</v>
      </c>
      <c r="I15" s="498">
        <f t="shared" si="0"/>
        <v>881</v>
      </c>
      <c r="K15" s="377"/>
      <c r="L15" s="247"/>
      <c r="M15" s="247"/>
    </row>
    <row r="16" spans="1:27" s="172" customFormat="1" ht="21.75" customHeight="1">
      <c r="A16" s="9"/>
      <c r="B16" s="130" t="s">
        <v>77</v>
      </c>
      <c r="C16" s="216">
        <v>29000</v>
      </c>
      <c r="D16" s="230">
        <f>+'ต.ค.-ธ.ค.'!D16</f>
        <v>28939.279999999999</v>
      </c>
      <c r="E16" s="230">
        <f>+'ม.ค.-มี.ค.'!D16</f>
        <v>0</v>
      </c>
      <c r="F16" s="230">
        <f>+'เม.ย.-มิ.ย.'!D16</f>
        <v>0</v>
      </c>
      <c r="G16" s="230">
        <f>+'ก.ค.-ก.ย.'!D16</f>
        <v>0</v>
      </c>
      <c r="H16" s="230">
        <f t="shared" si="1"/>
        <v>28939.279999999999</v>
      </c>
      <c r="I16" s="498">
        <f t="shared" si="0"/>
        <v>60.720000000001164</v>
      </c>
      <c r="J16" s="233"/>
      <c r="K16" s="377"/>
      <c r="L16" s="377"/>
      <c r="M16" s="377"/>
      <c r="N16" s="377"/>
      <c r="O16" s="377"/>
      <c r="P16" s="377"/>
      <c r="Q16" s="377"/>
      <c r="R16" s="377"/>
      <c r="S16" s="377"/>
      <c r="T16" s="377"/>
      <c r="U16" s="377"/>
      <c r="V16" s="377"/>
      <c r="W16" s="377"/>
      <c r="X16" s="377"/>
      <c r="Y16" s="377"/>
      <c r="Z16" s="377"/>
      <c r="AA16" s="377"/>
    </row>
    <row r="17" spans="1:27" ht="21.75" customHeight="1">
      <c r="A17" s="9"/>
      <c r="B17" s="130" t="s">
        <v>78</v>
      </c>
      <c r="C17" s="216">
        <v>216399</v>
      </c>
      <c r="D17" s="230">
        <f>+'ต.ค.-ธ.ค.'!D17</f>
        <v>0</v>
      </c>
      <c r="E17" s="230">
        <f>+'ม.ค.-มี.ค.'!D17</f>
        <v>0</v>
      </c>
      <c r="F17" s="230">
        <f>+'เม.ย.-มิ.ย.'!D17</f>
        <v>216399</v>
      </c>
      <c r="G17" s="230">
        <f>+'ก.ค.-ก.ย.'!D17</f>
        <v>0</v>
      </c>
      <c r="H17" s="230">
        <f t="shared" si="1"/>
        <v>216399</v>
      </c>
      <c r="I17" s="498">
        <f t="shared" si="0"/>
        <v>0</v>
      </c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  <c r="X17" s="331"/>
      <c r="Y17" s="331"/>
      <c r="Z17" s="331"/>
      <c r="AA17" s="331"/>
    </row>
    <row r="18" spans="1:27" ht="21.75" customHeight="1">
      <c r="A18" s="9"/>
      <c r="B18" s="6" t="s">
        <v>220</v>
      </c>
      <c r="C18" s="285">
        <v>15000</v>
      </c>
      <c r="D18" s="230">
        <f>+'ต.ค.-ธ.ค.'!D18</f>
        <v>15000</v>
      </c>
      <c r="E18" s="230">
        <f>+'ม.ค.-มี.ค.'!D18</f>
        <v>0</v>
      </c>
      <c r="F18" s="230">
        <f>+'เม.ย.-มิ.ย.'!D18</f>
        <v>0</v>
      </c>
      <c r="G18" s="230">
        <f>+'ก.ค.-ก.ย.'!D18</f>
        <v>0</v>
      </c>
      <c r="H18" s="230">
        <f>SUM(D18:G18)</f>
        <v>15000</v>
      </c>
      <c r="I18" s="498">
        <f t="shared" si="0"/>
        <v>0</v>
      </c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</row>
    <row r="19" spans="1:27" s="613" customFormat="1" ht="21.75" customHeight="1">
      <c r="A19" s="9"/>
      <c r="B19" s="228" t="s">
        <v>81</v>
      </c>
      <c r="C19" s="285">
        <f>344150-20000+20000</f>
        <v>344150</v>
      </c>
      <c r="D19" s="612">
        <f>+'ต.ค.-ธ.ค.'!D19</f>
        <v>323840</v>
      </c>
      <c r="E19" s="612">
        <f>+'ม.ค.-มี.ค.'!D19</f>
        <v>0</v>
      </c>
      <c r="F19" s="612">
        <f>+'เม.ย.-มิ.ย.'!D19</f>
        <v>20310</v>
      </c>
      <c r="G19" s="230">
        <f>+'ก.ค.-ก.ย.'!D19</f>
        <v>0</v>
      </c>
      <c r="H19" s="612">
        <f>SUM(D19:G19)</f>
        <v>344150</v>
      </c>
      <c r="I19" s="498">
        <f t="shared" si="0"/>
        <v>0</v>
      </c>
      <c r="J19" s="233"/>
      <c r="K19" s="331"/>
      <c r="L19" s="331"/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  <c r="X19" s="331"/>
      <c r="Y19" s="331"/>
      <c r="Z19" s="331"/>
      <c r="AA19" s="331"/>
    </row>
    <row r="20" spans="1:27" ht="21.75" customHeight="1">
      <c r="A20" s="9"/>
      <c r="B20" s="198" t="s">
        <v>424</v>
      </c>
      <c r="C20" s="290">
        <v>70650</v>
      </c>
      <c r="D20" s="519"/>
      <c r="E20" s="519"/>
      <c r="F20" s="502">
        <f>+'เม.ย.-มิ.ย.'!D20</f>
        <v>70650</v>
      </c>
      <c r="G20" s="230">
        <f>+'ก.ค.-ก.ย.'!D20</f>
        <v>0</v>
      </c>
      <c r="H20" s="230">
        <f>SUM(D20:G20)</f>
        <v>70650</v>
      </c>
      <c r="I20" s="498">
        <f>+C20-H20</f>
        <v>0</v>
      </c>
      <c r="K20" s="331"/>
      <c r="L20" s="331"/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X20" s="331"/>
      <c r="Y20" s="331"/>
      <c r="Z20" s="331"/>
      <c r="AA20" s="331"/>
    </row>
    <row r="21" spans="1:27" s="221" customFormat="1" ht="21.75" customHeight="1" thickBot="1">
      <c r="A21" s="13"/>
      <c r="B21" s="14" t="s">
        <v>5</v>
      </c>
      <c r="C21" s="170">
        <f t="shared" ref="C21:I21" si="2">SUM(C10:C20)</f>
        <v>9850332</v>
      </c>
      <c r="D21" s="26">
        <f t="shared" si="2"/>
        <v>2584667.2799999998</v>
      </c>
      <c r="E21" s="26">
        <f t="shared" si="2"/>
        <v>2380220</v>
      </c>
      <c r="F21" s="26">
        <f t="shared" si="2"/>
        <v>2532621</v>
      </c>
      <c r="G21" s="26">
        <f t="shared" si="2"/>
        <v>2241152</v>
      </c>
      <c r="H21" s="26">
        <f t="shared" si="2"/>
        <v>9738660.2799999993</v>
      </c>
      <c r="I21" s="139">
        <f t="shared" si="2"/>
        <v>111671.72</v>
      </c>
      <c r="J21" s="233"/>
      <c r="K21" s="329"/>
      <c r="L21" s="329"/>
      <c r="M21" s="329"/>
      <c r="N21" s="329"/>
      <c r="O21" s="329"/>
      <c r="P21" s="329"/>
      <c r="Q21" s="329"/>
      <c r="R21" s="329"/>
      <c r="S21" s="329"/>
      <c r="T21" s="329"/>
      <c r="U21" s="329"/>
      <c r="V21" s="329"/>
      <c r="W21" s="329"/>
      <c r="X21" s="329"/>
      <c r="Y21" s="329"/>
      <c r="Z21" s="329"/>
      <c r="AA21" s="329"/>
    </row>
    <row r="22" spans="1:27" ht="21.75" customHeight="1" thickTop="1">
      <c r="A22" s="5" t="s">
        <v>82</v>
      </c>
      <c r="B22" s="6"/>
      <c r="C22" s="190"/>
      <c r="D22" s="230"/>
      <c r="E22" s="230"/>
      <c r="F22" s="230"/>
      <c r="G22" s="230"/>
      <c r="H22" s="230"/>
      <c r="I22" s="230"/>
    </row>
    <row r="23" spans="1:27" ht="21.75" customHeight="1">
      <c r="A23" s="9"/>
      <c r="B23" s="130" t="s">
        <v>6</v>
      </c>
      <c r="C23" s="216">
        <f>695520-1000-10100</f>
        <v>684420</v>
      </c>
      <c r="D23" s="230">
        <f>+'ต.ค.-ธ.ค.'!E23</f>
        <v>173880</v>
      </c>
      <c r="E23" s="230">
        <f>+'ม.ค.-มี.ค.'!E23</f>
        <v>173880</v>
      </c>
      <c r="F23" s="230">
        <f>+'เม.ย.-มิ.ย.'!E23</f>
        <v>162617</v>
      </c>
      <c r="G23" s="230">
        <f>+'ก.ค.-ก.ย.'!E23</f>
        <v>173880</v>
      </c>
      <c r="H23" s="230">
        <f>SUM(D23:G23)</f>
        <v>684257</v>
      </c>
      <c r="I23" s="498">
        <f>+C23-H23</f>
        <v>163</v>
      </c>
    </row>
    <row r="24" spans="1:27" ht="21.75" customHeight="1">
      <c r="A24" s="9"/>
      <c r="B24" s="130" t="s">
        <v>83</v>
      </c>
      <c r="C24" s="216">
        <f>120000-200-2000</f>
        <v>117800</v>
      </c>
      <c r="D24" s="230">
        <f>+'ต.ค.-ธ.ค.'!E24</f>
        <v>30000</v>
      </c>
      <c r="E24" s="230">
        <f>+'ม.ค.-มี.ค.'!E24</f>
        <v>30000</v>
      </c>
      <c r="F24" s="230">
        <f>+'เม.ย.-มิ.ย.'!E24</f>
        <v>27774</v>
      </c>
      <c r="G24" s="230">
        <f>+'ก.ค.-ก.ย.'!E24</f>
        <v>30000</v>
      </c>
      <c r="H24" s="230">
        <f>SUM(D24:G24)</f>
        <v>117774</v>
      </c>
      <c r="I24" s="498">
        <f>+C24-H24</f>
        <v>26</v>
      </c>
    </row>
    <row r="25" spans="1:27" s="172" customFormat="1" ht="21.75" customHeight="1">
      <c r="A25" s="9"/>
      <c r="B25" s="130" t="s">
        <v>84</v>
      </c>
      <c r="C25" s="216">
        <f>120000-2200</f>
        <v>117800</v>
      </c>
      <c r="D25" s="230">
        <f>+'ต.ค.-ธ.ค.'!E25</f>
        <v>30000</v>
      </c>
      <c r="E25" s="230">
        <f>+'ม.ค.-มี.ค.'!E25</f>
        <v>30000</v>
      </c>
      <c r="F25" s="230">
        <f>+'เม.ย.-มิ.ย.'!E25</f>
        <v>27774</v>
      </c>
      <c r="G25" s="230">
        <f>+'ก.ค.-ก.ย.'!E25</f>
        <v>30000</v>
      </c>
      <c r="H25" s="230">
        <f>SUM(D25:G25)</f>
        <v>117774</v>
      </c>
      <c r="I25" s="498">
        <f>+C25-H25</f>
        <v>26</v>
      </c>
      <c r="J25" s="233"/>
      <c r="K25" s="329"/>
      <c r="L25" s="330"/>
      <c r="M25" s="330"/>
    </row>
    <row r="26" spans="1:27" ht="21.75" customHeight="1">
      <c r="A26" s="9"/>
      <c r="B26" s="130" t="s">
        <v>85</v>
      </c>
      <c r="C26" s="216">
        <v>198720</v>
      </c>
      <c r="D26" s="230">
        <f>+'ต.ค.-ธ.ค.'!E26</f>
        <v>49680</v>
      </c>
      <c r="E26" s="230">
        <f>+'ม.ค.-มี.ค.'!E26</f>
        <v>49680</v>
      </c>
      <c r="F26" s="230">
        <f>+'เม.ย.-มิ.ย.'!E26</f>
        <v>49680</v>
      </c>
      <c r="G26" s="230">
        <f>+'ก.ค.-ก.ย.'!E26</f>
        <v>49680</v>
      </c>
      <c r="H26" s="230">
        <f>SUM(D26:G26)</f>
        <v>198720</v>
      </c>
      <c r="I26" s="498">
        <f>+C26-H26</f>
        <v>0</v>
      </c>
    </row>
    <row r="27" spans="1:27" ht="21.75" customHeight="1">
      <c r="A27" s="9"/>
      <c r="B27" s="6" t="s">
        <v>270</v>
      </c>
      <c r="C27" s="216">
        <f>1283280-10000-14000-48300-6800</f>
        <v>1204180</v>
      </c>
      <c r="D27" s="230">
        <f>+'ต.ค.-ธ.ค.'!E27</f>
        <v>314640</v>
      </c>
      <c r="E27" s="230">
        <f>+'ม.ค.-มี.ค.'!E27</f>
        <v>314640</v>
      </c>
      <c r="F27" s="230">
        <f>+'เม.ย.-มิ.ย.'!E27</f>
        <v>289202</v>
      </c>
      <c r="G27" s="230">
        <f>+'ก.ค.-ก.ย.'!E27</f>
        <v>285660</v>
      </c>
      <c r="H27" s="230">
        <f>SUM(D27:G27)</f>
        <v>1204142</v>
      </c>
      <c r="I27" s="498">
        <f>+C27-H27</f>
        <v>38</v>
      </c>
    </row>
    <row r="28" spans="1:27" s="221" customFormat="1" ht="21.75" customHeight="1" thickBot="1">
      <c r="A28" s="15"/>
      <c r="B28" s="14" t="s">
        <v>5</v>
      </c>
      <c r="C28" s="170">
        <f>SUM(C23:C27)</f>
        <v>2322920</v>
      </c>
      <c r="D28" s="26">
        <f t="shared" ref="D28:I28" si="3">SUM(D23:D27)</f>
        <v>598200</v>
      </c>
      <c r="E28" s="26">
        <f t="shared" si="3"/>
        <v>598200</v>
      </c>
      <c r="F28" s="26">
        <f t="shared" si="3"/>
        <v>557047</v>
      </c>
      <c r="G28" s="26">
        <f t="shared" si="3"/>
        <v>569220</v>
      </c>
      <c r="H28" s="26">
        <f t="shared" si="3"/>
        <v>2322667</v>
      </c>
      <c r="I28" s="139">
        <f t="shared" si="3"/>
        <v>253</v>
      </c>
      <c r="J28" s="233"/>
      <c r="K28" s="329"/>
      <c r="L28" s="330"/>
      <c r="M28" s="330"/>
    </row>
    <row r="29" spans="1:27" ht="21.75" customHeight="1" thickTop="1">
      <c r="A29" s="5" t="s">
        <v>87</v>
      </c>
      <c r="B29" s="6"/>
      <c r="C29" s="190"/>
      <c r="D29" s="230"/>
      <c r="E29" s="230"/>
      <c r="F29" s="230"/>
      <c r="G29" s="230"/>
      <c r="H29" s="230"/>
      <c r="I29" s="230"/>
    </row>
    <row r="30" spans="1:27" s="221" customFormat="1" ht="21.75" customHeight="1">
      <c r="A30" s="20"/>
      <c r="B30" s="130" t="s">
        <v>7</v>
      </c>
      <c r="C30" s="32">
        <f>3188820+1300000+884640+1648500-60000-100000-22000-19000-60000-184500-25100-50000-100000-20000-50000-64500-70650-40000-53200-40000-15000-23000-33400-400-400-60000+12000-38470+38470-13160-5000-2000-21600-15000-20000</f>
        <v>5866050</v>
      </c>
      <c r="D30" s="230">
        <f>+'ต.ค.-ธ.ค.'!E30+'ต.ค.-ธ.ค.'!F30+'ต.ค.-ธ.ค.'!H30+'ต.ค.-ธ.ค.'!M30</f>
        <v>1455873</v>
      </c>
      <c r="E30" s="230">
        <f>+'ม.ค.-มี.ค.'!E30+'ม.ค.-มี.ค.'!F30+'ม.ค.-มี.ค.'!H30+'ม.ค.-มี.ค.'!M30</f>
        <v>1405189</v>
      </c>
      <c r="F30" s="230">
        <f>+'เม.ย.-มิ.ย.'!E30+'เม.ย.-มิ.ย.'!F30+'เม.ย.-มิ.ย.'!H30+'เม.ย.-มิ.ย.'!M30</f>
        <v>1443120</v>
      </c>
      <c r="G30" s="230">
        <f>+'ก.ค.-ก.ย.'!E30+'ก.ค.-ก.ย.'!F30+'ก.ค.-ก.ย.'!H30+'ก.ค.-ก.ย.'!M30</f>
        <v>1413390</v>
      </c>
      <c r="H30" s="230">
        <f>SUM(D30:G30)</f>
        <v>5717572</v>
      </c>
      <c r="I30" s="230">
        <f>+C30-H30</f>
        <v>148478</v>
      </c>
      <c r="J30" s="233"/>
      <c r="K30" s="329"/>
      <c r="L30" s="330"/>
      <c r="M30" s="330"/>
    </row>
    <row r="31" spans="1:27" s="221" customFormat="1" ht="21.75" customHeight="1">
      <c r="A31" s="20"/>
      <c r="B31" s="130" t="s">
        <v>239</v>
      </c>
      <c r="C31" s="32">
        <v>1899600</v>
      </c>
      <c r="D31" s="230">
        <f>+'ต.ค.-ธ.ค.'!E31+'ต.ค.-ธ.ค.'!F31+'ต.ค.-ธ.ค.'!H31+'ต.ค.-ธ.ค.'!M31</f>
        <v>462780</v>
      </c>
      <c r="E31" s="230">
        <f>+'ม.ค.-มี.ค.'!E31+'ม.ค.-มี.ค.'!F31+'ม.ค.-มี.ค.'!H31+'ม.ค.-มี.ค.'!M31</f>
        <v>462780</v>
      </c>
      <c r="F31" s="230">
        <f>+'เม.ย.-มิ.ย.'!E31+'เม.ย.-มิ.ย.'!F31+'เม.ย.-มิ.ย.'!H31+'เม.ย.-มิ.ย.'!M31</f>
        <v>473760</v>
      </c>
      <c r="G31" s="230">
        <f>+'ก.ค.-ก.ย.'!E31+'ก.ค.-ก.ย.'!F31+'ก.ค.-ก.ย.'!H31+'ก.ค.-ก.ย.'!M31</f>
        <v>474660</v>
      </c>
      <c r="H31" s="230">
        <f t="shared" ref="H31:H37" si="4">SUM(D31:G31)</f>
        <v>1873980</v>
      </c>
      <c r="I31" s="230">
        <f t="shared" ref="I31:I37" si="5">+C31-H31</f>
        <v>25620</v>
      </c>
      <c r="J31" s="233"/>
      <c r="K31" s="329"/>
      <c r="L31" s="330"/>
      <c r="M31" s="330"/>
    </row>
    <row r="32" spans="1:27" s="221" customFormat="1" ht="21.75" customHeight="1">
      <c r="A32" s="20"/>
      <c r="B32" s="130" t="s">
        <v>47</v>
      </c>
      <c r="C32" s="32">
        <f>10580+400</f>
        <v>10980</v>
      </c>
      <c r="D32" s="230">
        <f>+'ต.ค.-ธ.ค.'!E32+'ต.ค.-ธ.ค.'!F32+'ต.ค.-ธ.ค.'!H32+'ต.ค.-ธ.ค.'!M32</f>
        <v>1320</v>
      </c>
      <c r="E32" s="230">
        <f>+'ม.ค.-มี.ค.'!E32+'ม.ค.-มี.ค.'!F32+'ม.ค.-มี.ค.'!H32+'ม.ค.-มี.ค.'!M32</f>
        <v>1320</v>
      </c>
      <c r="F32" s="230">
        <f>+'เม.ย.-มิ.ย.'!E32+'เม.ย.-มิ.ย.'!F32+'เม.ย.-มิ.ย.'!H32+'เม.ย.-มิ.ย.'!M32</f>
        <v>1320</v>
      </c>
      <c r="G32" s="230">
        <f>+'ก.ค.-ก.ย.'!E32+'ก.ค.-ก.ย.'!F32+'ก.ค.-ก.ย.'!H32+'ก.ค.-ก.ย.'!M32</f>
        <v>1320</v>
      </c>
      <c r="H32" s="230">
        <f t="shared" si="4"/>
        <v>5280</v>
      </c>
      <c r="I32" s="230">
        <f t="shared" si="5"/>
        <v>5700</v>
      </c>
      <c r="J32" s="233"/>
      <c r="K32" s="331"/>
      <c r="L32" s="330"/>
      <c r="M32" s="330"/>
    </row>
    <row r="33" spans="1:13" s="234" customFormat="1" ht="21.75" customHeight="1">
      <c r="A33" s="20"/>
      <c r="B33" s="130" t="s">
        <v>8</v>
      </c>
      <c r="C33" s="32">
        <f>132000+42000+42000+42000-3000-1000-10000-10000</f>
        <v>234000</v>
      </c>
      <c r="D33" s="498">
        <f>+'ต.ค.-ธ.ค.'!E33+'ต.ค.-ธ.ค.'!F33+'ต.ค.-ธ.ค.'!H33+'ต.ค.-ธ.ค.'!M33</f>
        <v>57500</v>
      </c>
      <c r="E33" s="498">
        <f>+'ม.ค.-มี.ค.'!E33+'ม.ค.-มี.ค.'!F33+'ม.ค.-มี.ค.'!H33+'ม.ค.-มี.ค.'!M33</f>
        <v>54000</v>
      </c>
      <c r="F33" s="498">
        <f>+'เม.ย.-มิ.ย.'!E33+'เม.ย.-มิ.ย.'!F33+'เม.ย.-มิ.ย.'!H33+'เม.ย.-มิ.ย.'!M33</f>
        <v>54000</v>
      </c>
      <c r="G33" s="498">
        <f>+'ก.ค.-ก.ย.'!E33+'ก.ค.-ก.ย.'!F33+'ก.ค.-ก.ย.'!H33+'ก.ค.-ก.ย.'!M33</f>
        <v>112130</v>
      </c>
      <c r="H33" s="498">
        <f>SUM(D33:G33)</f>
        <v>277630</v>
      </c>
      <c r="I33" s="631">
        <f>+C33-H33</f>
        <v>-43630</v>
      </c>
      <c r="J33" s="233"/>
      <c r="K33" s="331"/>
      <c r="L33" s="247"/>
      <c r="M33" s="247"/>
    </row>
    <row r="34" spans="1:13" s="221" customFormat="1" ht="21.75" customHeight="1">
      <c r="A34" s="9"/>
      <c r="B34" s="130" t="s">
        <v>186</v>
      </c>
      <c r="C34" s="31">
        <f>787000+589000+559480+350880+100000+184500+153000-9400-12000-12000-40000</f>
        <v>2650460</v>
      </c>
      <c r="D34" s="230">
        <f>+'ต.ค.-ธ.ค.'!E34+'ต.ค.-ธ.ค.'!F34+'ต.ค.-ธ.ค.'!H34+'ต.ค.-ธ.ค.'!M34</f>
        <v>524330</v>
      </c>
      <c r="E34" s="230">
        <f>+'ม.ค.-มี.ค.'!E34+'ม.ค.-มี.ค.'!F34+'ม.ค.-มี.ค.'!H34+'ม.ค.-มี.ค.'!M34</f>
        <v>676008</v>
      </c>
      <c r="F34" s="230">
        <f>+'เม.ย.-มิ.ย.'!E34+'เม.ย.-มิ.ย.'!F34+'เม.ย.-มิ.ย.'!H34+'เม.ย.-มิ.ย.'!M34</f>
        <v>712830</v>
      </c>
      <c r="G34" s="230">
        <f>+'ก.ค.-ก.ย.'!E34+'ก.ค.-ก.ย.'!F34+'ก.ค.-ก.ย.'!H34+'ก.ค.-ก.ย.'!M34</f>
        <v>649555</v>
      </c>
      <c r="H34" s="230">
        <f>SUM(D34:G34)</f>
        <v>2562723</v>
      </c>
      <c r="I34" s="230">
        <f t="shared" si="5"/>
        <v>87737</v>
      </c>
      <c r="J34" s="233"/>
      <c r="K34" s="329"/>
      <c r="L34" s="330"/>
      <c r="M34" s="330"/>
    </row>
    <row r="35" spans="1:13" s="221" customFormat="1" ht="21.75" customHeight="1">
      <c r="A35" s="9"/>
      <c r="B35" s="130" t="s">
        <v>269</v>
      </c>
      <c r="C35" s="288">
        <f>225600+26040</f>
        <v>251640</v>
      </c>
      <c r="D35" s="230">
        <f>+'ต.ค.-ธ.ค.'!E35+'ต.ค.-ธ.ค.'!F35+'ต.ค.-ธ.ค.'!H35+'ต.ค.-ธ.ค.'!M35</f>
        <v>62910</v>
      </c>
      <c r="E35" s="230">
        <f>+'ม.ค.-มี.ค.'!E35+'ม.ค.-มี.ค.'!F35+'ม.ค.-มี.ค.'!H35+'ม.ค.-มี.ค.'!M35</f>
        <v>62910</v>
      </c>
      <c r="F35" s="230">
        <f>+'เม.ย.-มิ.ย.'!E35+'เม.ย.-มิ.ย.'!F35+'เม.ย.-มิ.ย.'!H35+'เม.ย.-มิ.ย.'!M35</f>
        <v>62910</v>
      </c>
      <c r="G35" s="230">
        <f>+'ก.ค.-ก.ย.'!E35+'ก.ค.-ก.ย.'!F35+'ก.ค.-ก.ย.'!H35+'ก.ค.-ก.ย.'!M35</f>
        <v>62910</v>
      </c>
      <c r="H35" s="230">
        <f t="shared" si="4"/>
        <v>251640</v>
      </c>
      <c r="I35" s="498">
        <f t="shared" si="5"/>
        <v>0</v>
      </c>
      <c r="J35" s="617">
        <f>+-K35</f>
        <v>0</v>
      </c>
      <c r="K35" s="329"/>
      <c r="L35" s="618">
        <f>+J35-K35</f>
        <v>0</v>
      </c>
      <c r="M35" s="330"/>
    </row>
    <row r="36" spans="1:13" s="221" customFormat="1" ht="21.75" customHeight="1">
      <c r="A36" s="9"/>
      <c r="B36" s="130" t="s">
        <v>91</v>
      </c>
      <c r="C36" s="288">
        <f>76000+72000+84000+22000+25100+11000-5700+300</f>
        <v>284700</v>
      </c>
      <c r="D36" s="230">
        <f>+'ต.ค.-ธ.ค.'!E36+'ต.ค.-ธ.ค.'!F36+'ต.ค.-ธ.ค.'!H36+'ต.ค.-ธ.ค.'!M36</f>
        <v>47550</v>
      </c>
      <c r="E36" s="230">
        <f>+'ม.ค.-มี.ค.'!E36+'ม.ค.-มี.ค.'!F36+'ม.ค.-มี.ค.'!H36+'ม.ค.-มี.ค.'!M36</f>
        <v>100375</v>
      </c>
      <c r="F36" s="230">
        <f>+'เม.ย.-มิ.ย.'!E36+'เม.ย.-มิ.ย.'!F36+'เม.ย.-มิ.ย.'!H36+'เม.ย.-มิ.ย.'!M36</f>
        <v>72045</v>
      </c>
      <c r="G36" s="230">
        <f>+'ก.ค.-ก.ย.'!E36+'ก.ค.-ก.ย.'!F36+'ก.ค.-ก.ย.'!H36+'ก.ค.-ก.ย.'!M36</f>
        <v>63905</v>
      </c>
      <c r="H36" s="230">
        <f t="shared" si="4"/>
        <v>283875</v>
      </c>
      <c r="I36" s="230">
        <f t="shared" si="5"/>
        <v>825</v>
      </c>
      <c r="J36" s="233"/>
      <c r="K36" s="329"/>
      <c r="L36" s="330"/>
      <c r="M36" s="330"/>
    </row>
    <row r="37" spans="1:13" s="221" customFormat="1" ht="21.75" customHeight="1">
      <c r="A37" s="227"/>
      <c r="B37" s="228" t="s">
        <v>240</v>
      </c>
      <c r="C37" s="288">
        <f>48000-26040</f>
        <v>21960</v>
      </c>
      <c r="D37" s="230">
        <f>+'ต.ค.-ธ.ค.'!E37+'ต.ค.-ธ.ค.'!F37+'ต.ค.-ธ.ค.'!H37+'ต.ค.-ธ.ค.'!M37</f>
        <v>5490</v>
      </c>
      <c r="E37" s="230">
        <f>+'ม.ค.-มี.ค.'!E37+'ม.ค.-มี.ค.'!F37+'ม.ค.-มี.ค.'!H37+'ม.ค.-มี.ค.'!M37</f>
        <v>5490</v>
      </c>
      <c r="F37" s="230">
        <f>+'เม.ย.-มิ.ย.'!E37+'เม.ย.-มิ.ย.'!F37+'เม.ย.-มิ.ย.'!H37+'เม.ย.-มิ.ย.'!M37</f>
        <v>5490</v>
      </c>
      <c r="G37" s="230">
        <f>+'ก.ค.-ก.ย.'!E37+'ก.ค.-ก.ย.'!F37+'ก.ค.-ก.ย.'!H37+'ก.ค.-ก.ย.'!M37</f>
        <v>5490</v>
      </c>
      <c r="H37" s="230">
        <f t="shared" si="4"/>
        <v>21960</v>
      </c>
      <c r="I37" s="230">
        <f t="shared" si="5"/>
        <v>0</v>
      </c>
      <c r="J37" s="233"/>
      <c r="K37" s="329"/>
      <c r="L37" s="330"/>
      <c r="M37" s="330"/>
    </row>
    <row r="38" spans="1:13" s="221" customFormat="1" ht="21.75" customHeight="1">
      <c r="A38" s="629"/>
      <c r="B38" s="198" t="s">
        <v>440</v>
      </c>
      <c r="C38" s="630">
        <v>35000</v>
      </c>
      <c r="D38" s="519"/>
      <c r="E38" s="519"/>
      <c r="F38" s="519"/>
      <c r="G38" s="502">
        <f>+'ก.ค.-ก.ย.'!E38+'ก.ค.-ก.ย.'!F38+'ก.ค.-ก.ย.'!H38+'ก.ค.-ก.ย.'!M38</f>
        <v>35000</v>
      </c>
      <c r="H38" s="519">
        <f>SUM(D38:G38)</f>
        <v>35000</v>
      </c>
      <c r="I38" s="502">
        <f>+C38-H38</f>
        <v>0</v>
      </c>
      <c r="J38" s="233"/>
      <c r="K38" s="329"/>
      <c r="L38" s="330"/>
      <c r="M38" s="330"/>
    </row>
    <row r="39" spans="1:13" s="221" customFormat="1" ht="21.75" customHeight="1" thickBot="1">
      <c r="A39" s="46"/>
      <c r="B39" s="47" t="s">
        <v>5</v>
      </c>
      <c r="C39" s="289">
        <f>SUM(C30:C38)</f>
        <v>11254390</v>
      </c>
      <c r="D39" s="236">
        <f>SUM(D30:D38)</f>
        <v>2617753</v>
      </c>
      <c r="E39" s="236">
        <f>SUM(E30:E37)</f>
        <v>2768072</v>
      </c>
      <c r="F39" s="236">
        <f>SUM(F30:F37)</f>
        <v>2825475</v>
      </c>
      <c r="G39" s="236">
        <f>SUM(G30:G38)</f>
        <v>2818360</v>
      </c>
      <c r="H39" s="236">
        <f>SUM(H30:H38)</f>
        <v>11029660</v>
      </c>
      <c r="I39" s="237">
        <f>SUM(I30:I38)</f>
        <v>224730</v>
      </c>
      <c r="J39" s="233"/>
      <c r="K39" s="329"/>
      <c r="L39" s="330"/>
      <c r="M39" s="330"/>
    </row>
    <row r="40" spans="1:13" ht="21.75" customHeight="1" thickTop="1">
      <c r="A40" s="5" t="s">
        <v>98</v>
      </c>
      <c r="B40" s="6"/>
      <c r="C40" s="190"/>
      <c r="D40" s="501"/>
      <c r="E40" s="501"/>
      <c r="F40" s="501"/>
      <c r="G40" s="501"/>
      <c r="H40" s="501"/>
      <c r="I40" s="501"/>
    </row>
    <row r="41" spans="1:13" ht="21.75" customHeight="1">
      <c r="A41" s="9"/>
      <c r="B41" s="130" t="s">
        <v>93</v>
      </c>
      <c r="C41" s="216">
        <f>5000+6000</f>
        <v>11000</v>
      </c>
      <c r="D41" s="230">
        <f>+'ต.ค.-ธ.ค.'!E41+'ต.ค.-ธ.ค.'!F41+'ต.ค.-ธ.ค.'!H41+'ต.ค.-ธ.ค.'!I41+'ต.ค.-ธ.ค.'!M41+'ต.ค.-ธ.ค.'!Q41+'ต.ค.-ธ.ค.'!S41</f>
        <v>0</v>
      </c>
      <c r="E41" s="230">
        <f>+'ม.ค.-มี.ค.'!E41+'ม.ค.-มี.ค.'!F41+'ม.ค.-มี.ค.'!H41+'ม.ค.-มี.ค.'!I41+'ม.ค.-มี.ค.'!K41+'ม.ค.-มี.ค.'!M41+'ม.ค.-มี.ค.'!N41</f>
        <v>0</v>
      </c>
      <c r="F41" s="230">
        <f>+'เม.ย.-มิ.ย.'!E41+'เม.ย.-มิ.ย.'!F41+'เม.ย.-มิ.ย.'!G41+'เม.ย.-มิ.ย.'!H41+'เม.ย.-มิ.ย.'!I41+'เม.ย.-มิ.ย.'!M41+'เม.ย.-มิ.ย.'!N41+'เม.ย.-มิ.ย.'!P41+'เม.ย.-มิ.ย.'!R41+'เม.ย.-มิ.ย.'!S41</f>
        <v>0</v>
      </c>
      <c r="G41" s="230">
        <f>+'ก.ค.-ก.ย.'!E41+'ก.ค.-ก.ย.'!F41+'ก.ค.-ก.ย.'!G41+'ก.ค.-ก.ย.'!H41+'ก.ค.-ก.ย.'!I41+'ก.ค.-ก.ย.'!J41+'ก.ค.-ก.ย.'!K41+'ก.ค.-ก.ย.'!M41+'ก.ค.-ก.ย.'!N41+'ก.ค.-ก.ย.'!Q41+'ก.ค.-ก.ย.'!V41</f>
        <v>11000</v>
      </c>
      <c r="H41" s="230">
        <f>SUM(D41:G41)</f>
        <v>11000</v>
      </c>
      <c r="I41" s="498">
        <f t="shared" ref="I41:I48" si="6">+C41-H41</f>
        <v>0</v>
      </c>
    </row>
    <row r="42" spans="1:13" s="172" customFormat="1" ht="21.75" customHeight="1">
      <c r="A42" s="9"/>
      <c r="B42" s="130" t="s">
        <v>205</v>
      </c>
      <c r="C42" s="285">
        <f>10000+40000+5000</f>
        <v>55000</v>
      </c>
      <c r="D42" s="230">
        <f>+'ต.ค.-ธ.ค.'!E42+'ต.ค.-ธ.ค.'!F42+'ต.ค.-ธ.ค.'!H42+'ต.ค.-ธ.ค.'!I42+'ต.ค.-ธ.ค.'!M42+'ต.ค.-ธ.ค.'!Q42+'ต.ค.-ธ.ค.'!S42</f>
        <v>0</v>
      </c>
      <c r="E42" s="230">
        <f>+'ม.ค.-มี.ค.'!E42+'ม.ค.-มี.ค.'!F42+'ม.ค.-มี.ค.'!H42+'ม.ค.-มี.ค.'!I42+'ม.ค.-มี.ค.'!K42+'ม.ค.-มี.ค.'!M42+'ม.ค.-มี.ค.'!N42</f>
        <v>0</v>
      </c>
      <c r="F42" s="230">
        <f>+'เม.ย.-มิ.ย.'!E42+'เม.ย.-มิ.ย.'!F42+'เม.ย.-มิ.ย.'!G42+'เม.ย.-มิ.ย.'!H42+'เม.ย.-มิ.ย.'!I42+'เม.ย.-มิ.ย.'!M42+'เม.ย.-มิ.ย.'!N42+'เม.ย.-มิ.ย.'!P42+'เม.ย.-มิ.ย.'!R42+'เม.ย.-มิ.ย.'!S42</f>
        <v>0</v>
      </c>
      <c r="G42" s="230">
        <f>+'ก.ค.-ก.ย.'!E42+'ก.ค.-ก.ย.'!F42+'ก.ค.-ก.ย.'!G42+'ก.ค.-ก.ย.'!H42+'ก.ค.-ก.ย.'!I42+'ก.ค.-ก.ย.'!J42+'ก.ค.-ก.ย.'!K42+'ก.ค.-ก.ย.'!M42+'ก.ค.-ก.ย.'!N42+'ก.ค.-ก.ย.'!Q42+'ก.ค.-ก.ย.'!V42</f>
        <v>15000</v>
      </c>
      <c r="H42" s="230">
        <f>SUM(D42:G42)</f>
        <v>15000</v>
      </c>
      <c r="I42" s="498">
        <f>+C42-H42</f>
        <v>40000</v>
      </c>
      <c r="J42" s="233"/>
      <c r="K42" s="329"/>
      <c r="L42" s="330"/>
      <c r="M42" s="330"/>
    </row>
    <row r="43" spans="1:13" ht="21.75" customHeight="1">
      <c r="A43" s="9"/>
      <c r="B43" s="130" t="s">
        <v>94</v>
      </c>
      <c r="C43" s="285">
        <f>10000-10000</f>
        <v>0</v>
      </c>
      <c r="D43" s="230">
        <f>+'ต.ค.-ธ.ค.'!E43+'ต.ค.-ธ.ค.'!F43+'ต.ค.-ธ.ค.'!H43+'ต.ค.-ธ.ค.'!I43+'ต.ค.-ธ.ค.'!M43+'ต.ค.-ธ.ค.'!Q43+'ต.ค.-ธ.ค.'!S43</f>
        <v>0</v>
      </c>
      <c r="E43" s="230">
        <f>+'ม.ค.-มี.ค.'!E43+'ม.ค.-มี.ค.'!F43+'ม.ค.-มี.ค.'!H43+'ม.ค.-มี.ค.'!I43+'ม.ค.-มี.ค.'!K43+'ม.ค.-มี.ค.'!M43+'ม.ค.-มี.ค.'!N43</f>
        <v>0</v>
      </c>
      <c r="F43" s="230">
        <f>+'เม.ย.-มิ.ย.'!E43+'เม.ย.-มิ.ย.'!F43+'เม.ย.-มิ.ย.'!G43+'เม.ย.-มิ.ย.'!H43+'เม.ย.-มิ.ย.'!I43+'เม.ย.-มิ.ย.'!M43+'เม.ย.-มิ.ย.'!N43+'เม.ย.-มิ.ย.'!P43+'เม.ย.-มิ.ย.'!R43+'เม.ย.-มิ.ย.'!S43</f>
        <v>0</v>
      </c>
      <c r="G43" s="230">
        <f>+'ก.ค.-ก.ย.'!E43+'ก.ค.-ก.ย.'!F43+'ก.ค.-ก.ย.'!G43+'ก.ค.-ก.ย.'!H43+'ก.ค.-ก.ย.'!I43+'ก.ค.-ก.ย.'!J43+'ก.ค.-ก.ย.'!K43+'ก.ค.-ก.ย.'!M43+'ก.ค.-ก.ย.'!N43+'ก.ค.-ก.ย.'!Q43+'ก.ค.-ก.ย.'!V43</f>
        <v>0</v>
      </c>
      <c r="H43" s="230">
        <f t="shared" ref="H43:H48" si="7">SUM(D43:G43)</f>
        <v>0</v>
      </c>
      <c r="I43" s="230">
        <f t="shared" si="6"/>
        <v>0</v>
      </c>
      <c r="L43" s="337"/>
      <c r="M43" s="337"/>
    </row>
    <row r="44" spans="1:13" s="168" customFormat="1" ht="21" customHeight="1">
      <c r="A44" s="9"/>
      <c r="B44" s="130" t="s">
        <v>95</v>
      </c>
      <c r="C44" s="192">
        <v>5000</v>
      </c>
      <c r="D44" s="230">
        <f>+'ต.ค.-ธ.ค.'!E44+'ต.ค.-ธ.ค.'!F44+'ต.ค.-ธ.ค.'!H44+'ต.ค.-ธ.ค.'!I44+'ต.ค.-ธ.ค.'!M44+'ต.ค.-ธ.ค.'!Q44+'ต.ค.-ธ.ค.'!S44</f>
        <v>0</v>
      </c>
      <c r="E44" s="230">
        <f>+'ม.ค.-มี.ค.'!E44+'ม.ค.-มี.ค.'!F44+'ม.ค.-มี.ค.'!H44+'ม.ค.-มี.ค.'!I44+'ม.ค.-มี.ค.'!K44+'ม.ค.-มี.ค.'!M44+'ม.ค.-มี.ค.'!N44</f>
        <v>0</v>
      </c>
      <c r="F44" s="230">
        <f>+'เม.ย.-มิ.ย.'!E44+'เม.ย.-มิ.ย.'!F44+'เม.ย.-มิ.ย.'!G44+'เม.ย.-มิ.ย.'!H44+'เม.ย.-มิ.ย.'!I44+'เม.ย.-มิ.ย.'!M44+'เม.ย.-มิ.ย.'!N44+'เม.ย.-มิ.ย.'!P44+'เม.ย.-มิ.ย.'!R44+'เม.ย.-มิ.ย.'!S44</f>
        <v>0</v>
      </c>
      <c r="G44" s="230">
        <f>+'ก.ค.-ก.ย.'!E44+'ก.ค.-ก.ย.'!F44+'ก.ค.-ก.ย.'!G44+'ก.ค.-ก.ย.'!H44+'ก.ค.-ก.ย.'!I44+'ก.ค.-ก.ย.'!J44+'ก.ค.-ก.ย.'!K44+'ก.ค.-ก.ย.'!M44+'ก.ค.-ก.ย.'!N44+'ก.ค.-ก.ย.'!Q44+'ก.ค.-ก.ย.'!V44</f>
        <v>0</v>
      </c>
      <c r="H44" s="230">
        <f t="shared" si="7"/>
        <v>0</v>
      </c>
      <c r="I44" s="230">
        <f t="shared" si="6"/>
        <v>5000</v>
      </c>
      <c r="J44" s="233"/>
      <c r="K44" s="331"/>
      <c r="L44" s="338"/>
      <c r="M44" s="338"/>
    </row>
    <row r="45" spans="1:13" ht="21.75" customHeight="1">
      <c r="A45" s="9"/>
      <c r="B45" s="130" t="s">
        <v>96</v>
      </c>
      <c r="C45" s="192">
        <v>5000</v>
      </c>
      <c r="D45" s="230">
        <f>+'ต.ค.-ธ.ค.'!E45+'ต.ค.-ธ.ค.'!F45+'ต.ค.-ธ.ค.'!H45+'ต.ค.-ธ.ค.'!I45+'ต.ค.-ธ.ค.'!M45+'ต.ค.-ธ.ค.'!Q45+'ต.ค.-ธ.ค.'!S45</f>
        <v>0</v>
      </c>
      <c r="E45" s="230">
        <f>+'ม.ค.-มี.ค.'!E45+'ม.ค.-มี.ค.'!F45+'ม.ค.-มี.ค.'!H45+'ม.ค.-มี.ค.'!I45+'ม.ค.-มี.ค.'!K45+'ม.ค.-มี.ค.'!M45+'ม.ค.-มี.ค.'!N45</f>
        <v>0</v>
      </c>
      <c r="F45" s="230">
        <f>+'เม.ย.-มิ.ย.'!E45+'เม.ย.-มิ.ย.'!F45+'เม.ย.-มิ.ย.'!G45+'เม.ย.-มิ.ย.'!H45+'เม.ย.-มิ.ย.'!I45+'เม.ย.-มิ.ย.'!M45+'เม.ย.-มิ.ย.'!N45+'เม.ย.-มิ.ย.'!P45+'เม.ย.-มิ.ย.'!R45+'เม.ย.-มิ.ย.'!S45</f>
        <v>0</v>
      </c>
      <c r="G45" s="230">
        <f>+'ก.ค.-ก.ย.'!E45+'ก.ค.-ก.ย.'!F45+'ก.ค.-ก.ย.'!G45+'ก.ค.-ก.ย.'!H45+'ก.ค.-ก.ย.'!I45+'ก.ค.-ก.ย.'!J45+'ก.ค.-ก.ย.'!K45+'ก.ค.-ก.ย.'!M45+'ก.ค.-ก.ย.'!N45+'ก.ค.-ก.ย.'!Q45+'ก.ค.-ก.ย.'!V45</f>
        <v>1980</v>
      </c>
      <c r="H45" s="230">
        <f t="shared" si="7"/>
        <v>1980</v>
      </c>
      <c r="I45" s="230">
        <f t="shared" si="6"/>
        <v>3020</v>
      </c>
      <c r="L45" s="337"/>
      <c r="M45" s="337"/>
    </row>
    <row r="46" spans="1:13" ht="21.75" customHeight="1">
      <c r="A46" s="9"/>
      <c r="B46" s="130" t="s">
        <v>10</v>
      </c>
      <c r="C46" s="216">
        <f>144000+36000+78000+78000-15500+1000</f>
        <v>321500</v>
      </c>
      <c r="D46" s="230">
        <f>+'ต.ค.-ธ.ค.'!E46+'ต.ค.-ธ.ค.'!F46+'ต.ค.-ธ.ค.'!H46+'ต.ค.-ธ.ค.'!I46+'ต.ค.-ธ.ค.'!M46+'ต.ค.-ธ.ค.'!Q46+'ต.ค.-ธ.ค.'!S46</f>
        <v>77500</v>
      </c>
      <c r="E46" s="230">
        <f>+'ม.ค.-มี.ค.'!E46+'ม.ค.-มี.ค.'!F46+'ม.ค.-มี.ค.'!H46+'ม.ค.-มี.ค.'!I46+'ม.ค.-มี.ค.'!K46+'ม.ค.-มี.ค.'!M46+'ม.ค.-มี.ค.'!N46</f>
        <v>78000</v>
      </c>
      <c r="F46" s="230">
        <f>+'เม.ย.-มิ.ย.'!E46+'เม.ย.-มิ.ย.'!F46+'เม.ย.-มิ.ย.'!G46+'เม.ย.-มิ.ย.'!H46+'เม.ย.-มิ.ย.'!I46+'เม.ย.-มิ.ย.'!M46+'เม.ย.-มิ.ย.'!N46+'เม.ย.-มิ.ย.'!P46+'เม.ย.-มิ.ย.'!R46+'เม.ย.-มิ.ย.'!S46</f>
        <v>78000</v>
      </c>
      <c r="G46" s="230">
        <f>+'ก.ค.-ก.ย.'!E46+'ก.ค.-ก.ย.'!F46+'ก.ค.-ก.ย.'!G46+'ก.ค.-ก.ย.'!H46+'ก.ค.-ก.ย.'!I46+'ก.ค.-ก.ย.'!J46+'ก.ค.-ก.ย.'!K46+'ก.ค.-ก.ย.'!M46+'ก.ค.-ก.ย.'!N46+'ก.ค.-ก.ย.'!Q46+'ก.ค.-ก.ย.'!V46</f>
        <v>78000</v>
      </c>
      <c r="H46" s="230">
        <f t="shared" si="7"/>
        <v>311500</v>
      </c>
      <c r="I46" s="230">
        <f t="shared" si="6"/>
        <v>10000</v>
      </c>
      <c r="M46" s="337"/>
    </row>
    <row r="47" spans="1:13" ht="21.75" customHeight="1">
      <c r="A47" s="9"/>
      <c r="B47" s="130" t="s">
        <v>9</v>
      </c>
      <c r="C47" s="216">
        <f>25000+10000+30000+20000-3900-16000-7700+12000</f>
        <v>69400</v>
      </c>
      <c r="D47" s="230">
        <f>+'ต.ค.-ธ.ค.'!E47+'ต.ค.-ธ.ค.'!F47+'ต.ค.-ธ.ค.'!H47+'ต.ค.-ธ.ค.'!I47+'ต.ค.-ธ.ค.'!M47+'ต.ค.-ธ.ค.'!Q47+'ต.ค.-ธ.ค.'!S47</f>
        <v>2800</v>
      </c>
      <c r="E47" s="230">
        <f>+'ม.ค.-มี.ค.'!E47+'ม.ค.-มี.ค.'!F47+'ม.ค.-มี.ค.'!H47+'ม.ค.-มี.ค.'!I47+'ม.ค.-มี.ค.'!K47+'ม.ค.-มี.ค.'!M47+'ม.ค.-มี.ค.'!N47</f>
        <v>36300</v>
      </c>
      <c r="F47" s="230">
        <f>+'เม.ย.-มิ.ย.'!E47+'เม.ย.-มิ.ย.'!F47+'เม.ย.-มิ.ย.'!G47+'เม.ย.-มิ.ย.'!H47+'เม.ย.-มิ.ย.'!I47+'เม.ย.-มิ.ย.'!M47+'เม.ย.-มิ.ย.'!N47+'เม.ย.-มิ.ย.'!P47+'เม.ย.-มิ.ย.'!R47+'เม.ย.-มิ.ย.'!S47</f>
        <v>4800</v>
      </c>
      <c r="G47" s="230">
        <f>+'ก.ค.-ก.ย.'!E47+'ก.ค.-ก.ย.'!F47+'ก.ค.-ก.ย.'!G47+'ก.ค.-ก.ย.'!H47+'ก.ค.-ก.ย.'!I47+'ก.ค.-ก.ย.'!J47+'ก.ค.-ก.ย.'!K47+'ก.ค.-ก.ย.'!M47+'ก.ค.-ก.ย.'!N47+'ก.ค.-ก.ย.'!Q47+'ก.ค.-ก.ย.'!V47</f>
        <v>21600</v>
      </c>
      <c r="H47" s="230">
        <f t="shared" si="7"/>
        <v>65500</v>
      </c>
      <c r="I47" s="498">
        <f t="shared" si="6"/>
        <v>3900</v>
      </c>
      <c r="M47" s="337"/>
    </row>
    <row r="48" spans="1:13" ht="21.75" customHeight="1">
      <c r="A48" s="197"/>
      <c r="B48" s="198" t="s">
        <v>241</v>
      </c>
      <c r="C48" s="286">
        <v>44200</v>
      </c>
      <c r="D48" s="502">
        <f>+'ต.ค.-ธ.ค.'!E48+'ต.ค.-ธ.ค.'!F48+'ต.ค.-ธ.ค.'!H48+'ต.ค.-ธ.ค.'!I48+'ต.ค.-ธ.ค.'!M48+'ต.ค.-ธ.ค.'!Q48+'ต.ค.-ธ.ค.'!S48</f>
        <v>0</v>
      </c>
      <c r="E48" s="502">
        <f>+'ม.ค.-มี.ค.'!E48+'ม.ค.-มี.ค.'!F48+'ม.ค.-มี.ค.'!H48+'ม.ค.-มี.ค.'!I48+'ม.ค.-มี.ค.'!K48+'ม.ค.-มี.ค.'!M48+'ม.ค.-มี.ค.'!N48</f>
        <v>0</v>
      </c>
      <c r="F48" s="502">
        <f>+'เม.ย.-มิ.ย.'!E48+'เม.ย.-มิ.ย.'!F48+'เม.ย.-มิ.ย.'!G48+'เม.ย.-มิ.ย.'!H48+'เม.ย.-มิ.ย.'!I48+'เม.ย.-มิ.ย.'!M48+'เม.ย.-มิ.ย.'!N48+'เม.ย.-มิ.ย.'!P48+'เม.ย.-มิ.ย.'!R48+'เม.ย.-มิ.ย.'!S48</f>
        <v>0</v>
      </c>
      <c r="G48" s="502">
        <f>+'ก.ค.-ก.ย.'!E48+'ก.ค.-ก.ย.'!F48+'ก.ค.-ก.ย.'!G48+'ก.ค.-ก.ย.'!H48+'ก.ค.-ก.ย.'!I48+'ก.ค.-ก.ย.'!J48+'ก.ค.-ก.ย.'!K48+'ก.ค.-ก.ย.'!M48+'ก.ค.-ก.ย.'!N48+'ก.ค.-ก.ย.'!Q48+'ก.ค.-ก.ย.'!V48</f>
        <v>17650</v>
      </c>
      <c r="H48" s="502">
        <f t="shared" si="7"/>
        <v>17650</v>
      </c>
      <c r="I48" s="502">
        <f t="shared" si="6"/>
        <v>26550</v>
      </c>
    </row>
    <row r="49" spans="1:13" s="221" customFormat="1" ht="21.75" customHeight="1" thickBot="1">
      <c r="A49" s="46"/>
      <c r="B49" s="47" t="s">
        <v>5</v>
      </c>
      <c r="C49" s="289">
        <f t="shared" ref="C49:I49" si="8">SUM(C41:C48)</f>
        <v>511100</v>
      </c>
      <c r="D49" s="236">
        <f t="shared" si="8"/>
        <v>80300</v>
      </c>
      <c r="E49" s="236">
        <f t="shared" si="8"/>
        <v>114300</v>
      </c>
      <c r="F49" s="236">
        <f t="shared" si="8"/>
        <v>82800</v>
      </c>
      <c r="G49" s="236">
        <f t="shared" si="8"/>
        <v>145230</v>
      </c>
      <c r="H49" s="236">
        <f t="shared" si="8"/>
        <v>422630</v>
      </c>
      <c r="I49" s="237">
        <f t="shared" si="8"/>
        <v>88470</v>
      </c>
      <c r="J49" s="233"/>
      <c r="K49" s="329"/>
      <c r="L49" s="330"/>
      <c r="M49" s="330"/>
    </row>
    <row r="50" spans="1:13" s="168" customFormat="1" ht="21.75" customHeight="1" thickTop="1">
      <c r="A50" s="5" t="s">
        <v>99</v>
      </c>
      <c r="B50" s="6"/>
      <c r="C50" s="190"/>
      <c r="D50" s="498"/>
      <c r="E50" s="498"/>
      <c r="F50" s="498"/>
      <c r="G50" s="498"/>
      <c r="H50" s="498"/>
      <c r="I50" s="498"/>
      <c r="J50" s="233"/>
      <c r="K50" s="331"/>
      <c r="L50" s="247"/>
      <c r="M50" s="247"/>
    </row>
    <row r="51" spans="1:13" ht="21.75" customHeight="1">
      <c r="A51" s="5"/>
      <c r="B51" s="130" t="s">
        <v>100</v>
      </c>
      <c r="C51" s="281">
        <f>15000+7000+20000+15000+2000</f>
        <v>59000</v>
      </c>
      <c r="D51" s="230">
        <f>+'ต.ค.-ธ.ค.'!E52+'ต.ค.-ธ.ค.'!F52+'ต.ค.-ธ.ค.'!H52+'ต.ค.-ธ.ค.'!I52+'ต.ค.-ธ.ค.'!M52+'ต.ค.-ธ.ค.'!Q52+'ต.ค.-ธ.ค.'!S52</f>
        <v>0</v>
      </c>
      <c r="E51" s="230">
        <f>+'ม.ค.-มี.ค.'!D51+'ม.ค.-มี.ค.'!E51+'ม.ค.-มี.ค.'!F51+'ม.ค.-มี.ค.'!G51+'ม.ค.-มี.ค.'!H51+'ม.ค.-มี.ค.'!I51+'ม.ค.-มี.ค.'!J51+'ม.ค.-มี.ค.'!K51+'ม.ค.-มี.ค.'!L51+'ม.ค.-มี.ค.'!M51+'ม.ค.-มี.ค.'!N51+'ม.ค.-มี.ค.'!O51+'ม.ค.-มี.ค.'!P51+'ม.ค.-มี.ค.'!Q51+'ม.ค.-มี.ค.'!R51+'ม.ค.-มี.ค.'!S51+'ม.ค.-มี.ค.'!U51+'ม.ค.-มี.ค.'!V51</f>
        <v>7102</v>
      </c>
      <c r="F51" s="230">
        <f>+'เม.ย.-มิ.ย.'!E51+'เม.ย.-มิ.ย.'!F51+'เม.ย.-มิ.ย.'!G51+'เม.ย.-มิ.ย.'!H51+'เม.ย.-มิ.ย.'!I51+'เม.ย.-มิ.ย.'!M51+'เม.ย.-มิ.ย.'!N51+'เม.ย.-มิ.ย.'!P51+'เม.ย.-มิ.ย.'!R51+'เม.ย.-มิ.ย.'!S51</f>
        <v>29250</v>
      </c>
      <c r="G51" s="498">
        <f>+'ก.ค.-ก.ย.'!D51+'ก.ค.-ก.ย.'!E51+'ก.ค.-ก.ย.'!F51+'ก.ค.-ก.ย.'!G51+'ก.ค.-ก.ย.'!H51+'ก.ค.-ก.ย.'!I51+'ก.ค.-ก.ย.'!J51+'ก.ค.-ก.ย.'!K51+'ก.ค.-ก.ย.'!L51+'ก.ค.-ก.ย.'!M51+'ก.ค.-ก.ย.'!N51+'ก.ค.-ก.ย.'!O51+'ก.ค.-ก.ย.'!P51+'ก.ค.-ก.ย.'!Q51+'ก.ค.-ก.ย.'!R51+'ก.ค.-ก.ย.'!S51+'ก.ค.-ก.ย.'!T51+'ก.ค.-ก.ย.'!U51+'ก.ค.-ก.ย.'!V51</f>
        <v>7188</v>
      </c>
      <c r="H51" s="498">
        <f>SUM(D51:G51)</f>
        <v>43540</v>
      </c>
      <c r="I51" s="230">
        <f t="shared" ref="I51:I82" si="9">+C51-H51</f>
        <v>15460</v>
      </c>
    </row>
    <row r="52" spans="1:13" s="168" customFormat="1" ht="21.75" customHeight="1">
      <c r="A52" s="5"/>
      <c r="B52" s="130" t="s">
        <v>226</v>
      </c>
      <c r="C52" s="281">
        <f>1044000+124000+384000+296000-47000+10000+156000+65000+50000+64500-15000+20000+48300+53200+5700+9400+10000+15500+10000+6400+23000+3000+15000+10000+7000+15000+10000+10000+33400+400+1000+1000+1100+12000+3900+16000+1000-20000</f>
        <v>2452800</v>
      </c>
      <c r="D52" s="498">
        <f>+'ต.ค.-ธ.ค.'!E53+'ต.ค.-ธ.ค.'!F53+'ต.ค.-ธ.ค.'!H53+'ต.ค.-ธ.ค.'!I53+'ต.ค.-ธ.ค.'!M53+'ต.ค.-ธ.ค.'!Q53+'ต.ค.-ธ.ค.'!S53</f>
        <v>462503</v>
      </c>
      <c r="E52" s="498">
        <f>+'ม.ค.-มี.ค.'!D52+'ม.ค.-มี.ค.'!E52+'ม.ค.-มี.ค.'!F52+'ม.ค.-มี.ค.'!G52+'ม.ค.-มี.ค.'!H52+'ม.ค.-มี.ค.'!I52+'ม.ค.-มี.ค.'!J52+'ม.ค.-มี.ค.'!K52+'ม.ค.-มี.ค.'!L52+'ม.ค.-มี.ค.'!M52+'ม.ค.-มี.ค.'!N52+'ม.ค.-มี.ค.'!O52+'ม.ค.-มี.ค.'!P52+'ม.ค.-มี.ค.'!Q52+'ม.ค.-มี.ค.'!R52+'ม.ค.-มี.ค.'!S52+'ม.ค.-มี.ค.'!U52+'ม.ค.-มี.ค.'!V52</f>
        <v>683071</v>
      </c>
      <c r="F52" s="498">
        <f>+'เม.ย.-มิ.ย.'!E52+'เม.ย.-มิ.ย.'!F52+'เม.ย.-มิ.ย.'!G52+'เม.ย.-มิ.ย.'!H52+'เม.ย.-มิ.ย.'!I52+'เม.ย.-มิ.ย.'!M52+'เม.ย.-มิ.ย.'!N52+'เม.ย.-มิ.ย.'!P52+'เม.ย.-มิ.ย.'!R52+'เม.ย.-มิ.ย.'!S52</f>
        <v>659467</v>
      </c>
      <c r="G52" s="498">
        <f>+'ก.ค.-ก.ย.'!D52+'ก.ค.-ก.ย.'!E52+'ก.ค.-ก.ย.'!F52+'ก.ค.-ก.ย.'!G52+'ก.ค.-ก.ย.'!H52+'ก.ค.-ก.ย.'!I52+'ก.ค.-ก.ย.'!J52+'ก.ค.-ก.ย.'!K52+'ก.ค.-ก.ย.'!L52+'ก.ค.-ก.ย.'!M52+'ก.ค.-ก.ย.'!N52+'ก.ค.-ก.ย.'!O52+'ก.ค.-ก.ย.'!P52+'ก.ค.-ก.ย.'!Q52+'ก.ค.-ก.ย.'!R52+'ก.ค.-ก.ย.'!S52+'ก.ค.-ก.ย.'!T52+'ก.ค.-ก.ย.'!U52+'ก.ค.-ก.ย.'!V52</f>
        <v>910000</v>
      </c>
      <c r="H52" s="498">
        <f>SUM(D52:G52)</f>
        <v>2715041</v>
      </c>
      <c r="I52" s="631">
        <f>+C52-H52</f>
        <v>-262241</v>
      </c>
      <c r="J52" s="242">
        <f>124000+384000+296000+1044000-47000+50000+156000+65000+15000+1000+1000+1100+12000+3900+16000+64500+75000+227500-20000+156000+146800+1000</f>
        <v>2772800</v>
      </c>
      <c r="K52" s="331"/>
      <c r="L52" s="247"/>
      <c r="M52" s="247"/>
    </row>
    <row r="53" spans="1:13" ht="21.75" customHeight="1">
      <c r="A53" s="5"/>
      <c r="B53" s="130" t="s">
        <v>223</v>
      </c>
      <c r="C53" s="281">
        <v>200000</v>
      </c>
      <c r="D53" s="230">
        <f>+'ต.ค.-ธ.ค.'!E54+'ต.ค.-ธ.ค.'!F54+'ต.ค.-ธ.ค.'!H54+'ต.ค.-ธ.ค.'!I54+'ต.ค.-ธ.ค.'!M54+'ต.ค.-ธ.ค.'!Q54+'ต.ค.-ธ.ค.'!S54</f>
        <v>0</v>
      </c>
      <c r="E53" s="230">
        <f>+'ม.ค.-มี.ค.'!D53+'ม.ค.-มี.ค.'!E53+'ม.ค.-มี.ค.'!F53+'ม.ค.-มี.ค.'!G53+'ม.ค.-มี.ค.'!H53+'ม.ค.-มี.ค.'!I53+'ม.ค.-มี.ค.'!J53+'ม.ค.-มี.ค.'!K53+'ม.ค.-มี.ค.'!L53+'ม.ค.-มี.ค.'!M53+'ม.ค.-มี.ค.'!N53+'ม.ค.-มี.ค.'!O53+'ม.ค.-มี.ค.'!P53+'ม.ค.-มี.ค.'!Q53+'ม.ค.-มี.ค.'!R53+'ม.ค.-มี.ค.'!S53+'ม.ค.-มี.ค.'!U53+'ม.ค.-มี.ค.'!V53</f>
        <v>50000</v>
      </c>
      <c r="F53" s="230">
        <f>+'เม.ย.-มิ.ย.'!E53+'เม.ย.-มิ.ย.'!F53+'เม.ย.-มิ.ย.'!G53+'เม.ย.-มิ.ย.'!H53+'เม.ย.-มิ.ย.'!I53+'เม.ย.-มิ.ย.'!M53+'เม.ย.-มิ.ย.'!N53+'เม.ย.-มิ.ย.'!P53+'เม.ย.-มิ.ย.'!R53+'เม.ย.-มิ.ย.'!S53</f>
        <v>50000</v>
      </c>
      <c r="G53" s="498">
        <f>+'ก.ค.-ก.ย.'!D53+'ก.ค.-ก.ย.'!E53+'ก.ค.-ก.ย.'!F53+'ก.ค.-ก.ย.'!G53+'ก.ค.-ก.ย.'!H53+'ก.ค.-ก.ย.'!I53+'ก.ค.-ก.ย.'!J53+'ก.ค.-ก.ย.'!K53+'ก.ค.-ก.ย.'!L53+'ก.ค.-ก.ย.'!M53+'ก.ค.-ก.ย.'!N53+'ก.ค.-ก.ย.'!O53+'ก.ค.-ก.ย.'!P53+'ก.ค.-ก.ย.'!Q53+'ก.ค.-ก.ย.'!R53+'ก.ค.-ก.ย.'!S53+'ก.ค.-ก.ย.'!T53+'ก.ค.-ก.ย.'!U53+'ก.ค.-ก.ย.'!V53</f>
        <v>100000</v>
      </c>
      <c r="H53" s="498">
        <f t="shared" ref="H53:H71" si="10">SUM(D53:G53)</f>
        <v>200000</v>
      </c>
      <c r="I53" s="230">
        <f t="shared" si="9"/>
        <v>0</v>
      </c>
    </row>
    <row r="54" spans="1:13" ht="21.75" customHeight="1">
      <c r="A54" s="5"/>
      <c r="B54" s="130" t="s">
        <v>224</v>
      </c>
      <c r="C54" s="281">
        <v>20000</v>
      </c>
      <c r="D54" s="230">
        <f>+'ต.ค.-ธ.ค.'!E55+'ต.ค.-ธ.ค.'!F55+'ต.ค.-ธ.ค.'!H55+'ต.ค.-ธ.ค.'!I55+'ต.ค.-ธ.ค.'!M55+'ต.ค.-ธ.ค.'!Q55+'ต.ค.-ธ.ค.'!S55</f>
        <v>0</v>
      </c>
      <c r="E54" s="230">
        <f>+'ม.ค.-มี.ค.'!D54+'ม.ค.-มี.ค.'!E54+'ม.ค.-มี.ค.'!F54+'ม.ค.-มี.ค.'!G54+'ม.ค.-มี.ค.'!H54+'ม.ค.-มี.ค.'!I54+'ม.ค.-มี.ค.'!J54+'ม.ค.-มี.ค.'!K54+'ม.ค.-มี.ค.'!L54+'ม.ค.-มี.ค.'!M54+'ม.ค.-มี.ค.'!N54+'ม.ค.-มี.ค.'!O54+'ม.ค.-มี.ค.'!P54+'ม.ค.-มี.ค.'!Q54+'ม.ค.-มี.ค.'!R54+'ม.ค.-มี.ค.'!S54+'ม.ค.-มี.ค.'!U54+'ม.ค.-มี.ค.'!V54</f>
        <v>0</v>
      </c>
      <c r="F54" s="230">
        <f>+'เม.ย.-มิ.ย.'!E54+'เม.ย.-มิ.ย.'!F54+'เม.ย.-มิ.ย.'!G54+'เม.ย.-มิ.ย.'!H54+'เม.ย.-มิ.ย.'!I54+'เม.ย.-มิ.ย.'!M54+'เม.ย.-มิ.ย.'!N54+'เม.ย.-มิ.ย.'!P54+'เม.ย.-มิ.ย.'!R54+'เม.ย.-มิ.ย.'!S54</f>
        <v>0</v>
      </c>
      <c r="G54" s="498">
        <f>+'ก.ค.-ก.ย.'!D54+'ก.ค.-ก.ย.'!E54+'ก.ค.-ก.ย.'!F54+'ก.ค.-ก.ย.'!G54+'ก.ค.-ก.ย.'!H54+'ก.ค.-ก.ย.'!I54+'ก.ค.-ก.ย.'!J54+'ก.ค.-ก.ย.'!K54+'ก.ค.-ก.ย.'!L54+'ก.ค.-ก.ย.'!M54+'ก.ค.-ก.ย.'!N54+'ก.ค.-ก.ย.'!O54+'ก.ค.-ก.ย.'!P54+'ก.ค.-ก.ย.'!Q54+'ก.ค.-ก.ย.'!R54+'ก.ค.-ก.ย.'!S54+'ก.ค.-ก.ย.'!T54+'ก.ค.-ก.ย.'!U54+'ก.ค.-ก.ย.'!V54</f>
        <v>7500</v>
      </c>
      <c r="H54" s="498">
        <f t="shared" si="10"/>
        <v>7500</v>
      </c>
      <c r="I54" s="230">
        <f t="shared" si="9"/>
        <v>12500</v>
      </c>
      <c r="J54" s="244">
        <f>+J52-C52</f>
        <v>320000</v>
      </c>
    </row>
    <row r="55" spans="1:13" ht="21.75" customHeight="1">
      <c r="A55" s="5"/>
      <c r="B55" s="130" t="s">
        <v>225</v>
      </c>
      <c r="C55" s="281">
        <f>10000+14000-1300-300-1800</f>
        <v>20600</v>
      </c>
      <c r="D55" s="230">
        <f>+'ต.ค.-ธ.ค.'!E56+'ต.ค.-ธ.ค.'!F56+'ต.ค.-ธ.ค.'!H56+'ต.ค.-ธ.ค.'!I56+'ต.ค.-ธ.ค.'!M56+'ต.ค.-ธ.ค.'!Q56+'ต.ค.-ธ.ค.'!S56</f>
        <v>4810</v>
      </c>
      <c r="E55" s="230">
        <f>+'ม.ค.-มี.ค.'!D55+'ม.ค.-มี.ค.'!E55+'ม.ค.-มี.ค.'!F55+'ม.ค.-มี.ค.'!G55+'ม.ค.-มี.ค.'!H55+'ม.ค.-มี.ค.'!I55+'ม.ค.-มี.ค.'!J55+'ม.ค.-มี.ค.'!K55+'ม.ค.-มี.ค.'!L55+'ม.ค.-มี.ค.'!M55+'ม.ค.-มี.ค.'!N55+'ม.ค.-มี.ค.'!O55+'ม.ค.-มี.ค.'!P55+'ม.ค.-มี.ค.'!Q55+'ม.ค.-มี.ค.'!R55+'ม.ค.-มี.ค.'!S55+'ม.ค.-มี.ค.'!U55+'ม.ค.-มี.ค.'!V55</f>
        <v>7450</v>
      </c>
      <c r="F55" s="230">
        <f>+'เม.ย.-มิ.ย.'!E55+'เม.ย.-มิ.ย.'!F55+'เม.ย.-มิ.ย.'!G55+'เม.ย.-มิ.ย.'!H55+'เม.ย.-มิ.ย.'!I55+'เม.ย.-มิ.ย.'!M55+'เม.ย.-มิ.ย.'!N55+'เม.ย.-มิ.ย.'!P55+'เม.ย.-มิ.ย.'!R55+'เม.ย.-มิ.ย.'!S55</f>
        <v>8250</v>
      </c>
      <c r="G55" s="498">
        <f>+'ก.ค.-ก.ย.'!D55+'ก.ค.-ก.ย.'!E55+'ก.ค.-ก.ย.'!F55+'ก.ค.-ก.ย.'!G55+'ก.ค.-ก.ย.'!H55+'ก.ค.-ก.ย.'!I55+'ก.ค.-ก.ย.'!J55+'ก.ค.-ก.ย.'!K55+'ก.ค.-ก.ย.'!L55+'ก.ค.-ก.ย.'!M55+'ก.ค.-ก.ย.'!N55+'ก.ค.-ก.ย.'!O55+'ก.ค.-ก.ย.'!P55+'ก.ค.-ก.ย.'!Q55+'ก.ค.-ก.ย.'!R55+'ก.ค.-ก.ย.'!S55+'ก.ค.-ก.ย.'!T55+'ก.ค.-ก.ย.'!U55+'ก.ค.-ก.ย.'!V55</f>
        <v>0</v>
      </c>
      <c r="H55" s="498">
        <f>SUM(D55:G55)</f>
        <v>20510</v>
      </c>
      <c r="I55" s="230">
        <f t="shared" si="9"/>
        <v>90</v>
      </c>
    </row>
    <row r="56" spans="1:13" ht="21.75" customHeight="1">
      <c r="A56" s="5"/>
      <c r="B56" s="130" t="s">
        <v>227</v>
      </c>
      <c r="C56" s="281">
        <v>40000</v>
      </c>
      <c r="D56" s="230">
        <f>+'ต.ค.-ธ.ค.'!E57+'ต.ค.-ธ.ค.'!F57+'ต.ค.-ธ.ค.'!H57+'ต.ค.-ธ.ค.'!I57+'ต.ค.-ธ.ค.'!M57+'ต.ค.-ธ.ค.'!Q57+'ต.ค.-ธ.ค.'!S57</f>
        <v>0</v>
      </c>
      <c r="E56" s="230">
        <f>+'ม.ค.-มี.ค.'!D56+'ม.ค.-มี.ค.'!E56+'ม.ค.-มี.ค.'!F56+'ม.ค.-มี.ค.'!G56+'ม.ค.-มี.ค.'!H56+'ม.ค.-มี.ค.'!I56+'ม.ค.-มี.ค.'!J56+'ม.ค.-มี.ค.'!K56+'ม.ค.-มี.ค.'!L56+'ม.ค.-มี.ค.'!M56+'ม.ค.-มี.ค.'!N56+'ม.ค.-มี.ค.'!O56+'ม.ค.-มี.ค.'!P56+'ม.ค.-มี.ค.'!Q56+'ม.ค.-มี.ค.'!R56+'ม.ค.-มี.ค.'!S56+'ม.ค.-มี.ค.'!U56+'ม.ค.-มี.ค.'!V56</f>
        <v>0</v>
      </c>
      <c r="F56" s="230">
        <f>+'เม.ย.-มิ.ย.'!E56+'เม.ย.-มิ.ย.'!F56+'เม.ย.-มิ.ย.'!G56+'เม.ย.-มิ.ย.'!H56+'เม.ย.-มิ.ย.'!I56+'เม.ย.-มิ.ย.'!M56+'เม.ย.-มิ.ย.'!N56+'เม.ย.-มิ.ย.'!P56+'เม.ย.-มิ.ย.'!R56+'เม.ย.-มิ.ย.'!S56</f>
        <v>0</v>
      </c>
      <c r="G56" s="498">
        <f>+'ก.ค.-ก.ย.'!D56+'ก.ค.-ก.ย.'!E56+'ก.ค.-ก.ย.'!F56+'ก.ค.-ก.ย.'!G56+'ก.ค.-ก.ย.'!H56+'ก.ค.-ก.ย.'!I56+'ก.ค.-ก.ย.'!J56+'ก.ค.-ก.ย.'!K56+'ก.ค.-ก.ย.'!L56+'ก.ค.-ก.ย.'!M56+'ก.ค.-ก.ย.'!N56+'ก.ค.-ก.ย.'!O56+'ก.ค.-ก.ย.'!P56+'ก.ค.-ก.ย.'!Q56+'ก.ค.-ก.ย.'!R56+'ก.ค.-ก.ย.'!S56+'ก.ค.-ก.ย.'!T56+'ก.ค.-ก.ย.'!U56+'ก.ค.-ก.ย.'!V56</f>
        <v>0</v>
      </c>
      <c r="H56" s="498">
        <f t="shared" si="10"/>
        <v>0</v>
      </c>
      <c r="I56" s="230">
        <f t="shared" si="9"/>
        <v>40000</v>
      </c>
    </row>
    <row r="57" spans="1:13" ht="21.75" customHeight="1">
      <c r="A57" s="5"/>
      <c r="B57" s="130" t="s">
        <v>228</v>
      </c>
      <c r="C57" s="281">
        <v>9000</v>
      </c>
      <c r="D57" s="230">
        <f>+'ต.ค.-ธ.ค.'!E58+'ต.ค.-ธ.ค.'!F58+'ต.ค.-ธ.ค.'!H58+'ต.ค.-ธ.ค.'!I58+'ต.ค.-ธ.ค.'!M58+'ต.ค.-ธ.ค.'!Q58+'ต.ค.-ธ.ค.'!S58</f>
        <v>0</v>
      </c>
      <c r="E57" s="230">
        <f>+'ม.ค.-มี.ค.'!D57+'ม.ค.-มี.ค.'!E57+'ม.ค.-มี.ค.'!F57+'ม.ค.-มี.ค.'!G57+'ม.ค.-มี.ค.'!H57+'ม.ค.-มี.ค.'!I57+'ม.ค.-มี.ค.'!J57+'ม.ค.-มี.ค.'!K57+'ม.ค.-มี.ค.'!L57+'ม.ค.-มี.ค.'!M57+'ม.ค.-มี.ค.'!N57+'ม.ค.-มี.ค.'!O57+'ม.ค.-มี.ค.'!P57+'ม.ค.-มี.ค.'!Q57+'ม.ค.-มี.ค.'!R57+'ม.ค.-มี.ค.'!S57+'ม.ค.-มี.ค.'!U57+'ม.ค.-มี.ค.'!V57</f>
        <v>0</v>
      </c>
      <c r="F57" s="230">
        <f>+'เม.ย.-มิ.ย.'!E57+'เม.ย.-มิ.ย.'!F57+'เม.ย.-มิ.ย.'!G57+'เม.ย.-มิ.ย.'!H57+'เม.ย.-มิ.ย.'!I57+'เม.ย.-มิ.ย.'!M57+'เม.ย.-มิ.ย.'!N57+'เม.ย.-มิ.ย.'!P57+'เม.ย.-มิ.ย.'!R57+'เม.ย.-มิ.ย.'!S57</f>
        <v>0</v>
      </c>
      <c r="G57" s="498">
        <f>+'ก.ค.-ก.ย.'!D57+'ก.ค.-ก.ย.'!E57+'ก.ค.-ก.ย.'!F57+'ก.ค.-ก.ย.'!G57+'ก.ค.-ก.ย.'!H57+'ก.ค.-ก.ย.'!I57+'ก.ค.-ก.ย.'!J57+'ก.ค.-ก.ย.'!K57+'ก.ค.-ก.ย.'!L57+'ก.ค.-ก.ย.'!M57+'ก.ค.-ก.ย.'!N57+'ก.ค.-ก.ย.'!O57+'ก.ค.-ก.ย.'!P57+'ก.ค.-ก.ย.'!Q57+'ก.ค.-ก.ย.'!R57+'ก.ค.-ก.ย.'!S57+'ก.ค.-ก.ย.'!T57+'ก.ค.-ก.ย.'!U57+'ก.ค.-ก.ย.'!V57</f>
        <v>0</v>
      </c>
      <c r="H57" s="498">
        <f t="shared" si="10"/>
        <v>0</v>
      </c>
      <c r="I57" s="230">
        <f t="shared" si="9"/>
        <v>9000</v>
      </c>
    </row>
    <row r="58" spans="1:13" s="168" customFormat="1" ht="21.75" customHeight="1">
      <c r="A58" s="5"/>
      <c r="B58" s="130" t="s">
        <v>11</v>
      </c>
      <c r="C58" s="281">
        <f>10000+60000+20000+5000</f>
        <v>95000</v>
      </c>
      <c r="D58" s="230">
        <f>+'ต.ค.-ธ.ค.'!E59+'ต.ค.-ธ.ค.'!F59+'ต.ค.-ธ.ค.'!H59+'ต.ค.-ธ.ค.'!I59+'ต.ค.-ธ.ค.'!M59+'ต.ค.-ธ.ค.'!Q59+'ต.ค.-ธ.ค.'!S59</f>
        <v>1902</v>
      </c>
      <c r="E58" s="230">
        <f>+'ม.ค.-มี.ค.'!D58+'ม.ค.-มี.ค.'!E58+'ม.ค.-มี.ค.'!F58+'ม.ค.-มี.ค.'!G58+'ม.ค.-มี.ค.'!H58+'ม.ค.-มี.ค.'!I58+'ม.ค.-มี.ค.'!J58+'ม.ค.-มี.ค.'!K58+'ม.ค.-มี.ค.'!L58+'ม.ค.-มี.ค.'!M58+'ม.ค.-มี.ค.'!N58+'ม.ค.-มี.ค.'!O58+'ม.ค.-มี.ค.'!P58+'ม.ค.-มี.ค.'!Q58+'ม.ค.-มี.ค.'!R58+'ม.ค.-มี.ค.'!S58+'ม.ค.-มี.ค.'!U58+'ม.ค.-มี.ค.'!V58</f>
        <v>10967</v>
      </c>
      <c r="F58" s="230">
        <f>+'เม.ย.-มิ.ย.'!E58+'เม.ย.-มิ.ย.'!F58+'เม.ย.-มิ.ย.'!G58+'เม.ย.-มิ.ย.'!H58+'เม.ย.-มิ.ย.'!I58+'เม.ย.-มิ.ย.'!M58+'เม.ย.-มิ.ย.'!N58+'เม.ย.-มิ.ย.'!P58+'เม.ย.-มิ.ย.'!R58+'เม.ย.-มิ.ย.'!S58</f>
        <v>2980</v>
      </c>
      <c r="G58" s="498">
        <f>+'ก.ค.-ก.ย.'!D58+'ก.ค.-ก.ย.'!E58+'ก.ค.-ก.ย.'!F58+'ก.ค.-ก.ย.'!G58+'ก.ค.-ก.ย.'!H58+'ก.ค.-ก.ย.'!I58+'ก.ค.-ก.ย.'!J58+'ก.ค.-ก.ย.'!K58+'ก.ค.-ก.ย.'!L58+'ก.ค.-ก.ย.'!M58+'ก.ค.-ก.ย.'!N58+'ก.ค.-ก.ย.'!O58+'ก.ค.-ก.ย.'!P58+'ก.ค.-ก.ย.'!Q58+'ก.ค.-ก.ย.'!R58+'ก.ค.-ก.ย.'!S58+'ก.ค.-ก.ย.'!T58+'ก.ค.-ก.ย.'!U58+'ก.ค.-ก.ย.'!V58</f>
        <v>21429</v>
      </c>
      <c r="H58" s="498">
        <f t="shared" si="10"/>
        <v>37278</v>
      </c>
      <c r="I58" s="498">
        <f t="shared" si="9"/>
        <v>57722</v>
      </c>
      <c r="J58" s="233"/>
      <c r="K58" s="331"/>
      <c r="L58" s="247"/>
      <c r="M58" s="247"/>
    </row>
    <row r="59" spans="1:13" ht="21.75" customHeight="1">
      <c r="A59" s="5"/>
      <c r="B59" s="130" t="s">
        <v>229</v>
      </c>
      <c r="C59" s="281">
        <f>10000+5000+5000</f>
        <v>20000</v>
      </c>
      <c r="D59" s="230">
        <f>+'ต.ค.-ธ.ค.'!E60+'ต.ค.-ธ.ค.'!F60+'ต.ค.-ธ.ค.'!H60+'ต.ค.-ธ.ค.'!I60+'ต.ค.-ธ.ค.'!M60+'ต.ค.-ธ.ค.'!Q60+'ต.ค.-ธ.ค.'!S60</f>
        <v>1047</v>
      </c>
      <c r="E59" s="230">
        <f>+'ม.ค.-มี.ค.'!D59+'ม.ค.-มี.ค.'!E59+'ม.ค.-มี.ค.'!F59+'ม.ค.-มี.ค.'!G59+'ม.ค.-มี.ค.'!H59+'ม.ค.-มี.ค.'!I59+'ม.ค.-มี.ค.'!J59+'ม.ค.-มี.ค.'!K59+'ม.ค.-มี.ค.'!L59+'ม.ค.-มี.ค.'!M59+'ม.ค.-มี.ค.'!N59+'ม.ค.-มี.ค.'!O59+'ม.ค.-มี.ค.'!P59+'ม.ค.-มี.ค.'!Q59+'ม.ค.-มี.ค.'!R59+'ม.ค.-มี.ค.'!S59+'ม.ค.-มี.ค.'!U59+'ม.ค.-มี.ค.'!V59</f>
        <v>3450</v>
      </c>
      <c r="F59" s="230">
        <f>+'เม.ย.-มิ.ย.'!E59+'เม.ย.-มิ.ย.'!F59+'เม.ย.-มิ.ย.'!G59+'เม.ย.-มิ.ย.'!H59+'เม.ย.-มิ.ย.'!I59+'เม.ย.-มิ.ย.'!M59+'เม.ย.-มิ.ย.'!N59+'เม.ย.-มิ.ย.'!P59+'เม.ย.-มิ.ย.'!R59+'เม.ย.-มิ.ย.'!S59</f>
        <v>2835</v>
      </c>
      <c r="G59" s="498">
        <f>+'ก.ค.-ก.ย.'!D59+'ก.ค.-ก.ย.'!E59+'ก.ค.-ก.ย.'!F59+'ก.ค.-ก.ย.'!G59+'ก.ค.-ก.ย.'!H59+'ก.ค.-ก.ย.'!I59+'ก.ค.-ก.ย.'!J59+'ก.ค.-ก.ย.'!K59+'ก.ค.-ก.ย.'!L59+'ก.ค.-ก.ย.'!M59+'ก.ค.-ก.ย.'!N59+'ก.ค.-ก.ย.'!O59+'ก.ค.-ก.ย.'!P59+'ก.ค.-ก.ย.'!Q59+'ก.ค.-ก.ย.'!R59+'ก.ค.-ก.ย.'!S59+'ก.ค.-ก.ย.'!T59+'ก.ค.-ก.ย.'!U59+'ก.ค.-ก.ย.'!V59</f>
        <v>12510</v>
      </c>
      <c r="H59" s="498">
        <f t="shared" si="10"/>
        <v>19842</v>
      </c>
      <c r="I59" s="498">
        <f t="shared" si="9"/>
        <v>158</v>
      </c>
      <c r="J59" s="248"/>
    </row>
    <row r="60" spans="1:13" s="168" customFormat="1" ht="21.75" customHeight="1">
      <c r="A60" s="5"/>
      <c r="B60" s="130" t="s">
        <v>230</v>
      </c>
      <c r="C60" s="281">
        <f>20000+60000</f>
        <v>80000</v>
      </c>
      <c r="D60" s="498">
        <f>+'ต.ค.-ธ.ค.'!E61+'ต.ค.-ธ.ค.'!F61+'ต.ค.-ธ.ค.'!H61+'ต.ค.-ธ.ค.'!I61+'ต.ค.-ธ.ค.'!M61+'ต.ค.-ธ.ค.'!Q61+'ต.ค.-ธ.ค.'!S61</f>
        <v>61400</v>
      </c>
      <c r="E60" s="498">
        <f>+'ม.ค.-มี.ค.'!D60+'ม.ค.-มี.ค.'!E60+'ม.ค.-มี.ค.'!F60+'ม.ค.-มี.ค.'!G60+'ม.ค.-มี.ค.'!H60+'ม.ค.-มี.ค.'!I60+'ม.ค.-มี.ค.'!J60+'ม.ค.-มี.ค.'!K60+'ม.ค.-มี.ค.'!L60+'ม.ค.-มี.ค.'!M60+'ม.ค.-มี.ค.'!N60+'ม.ค.-มี.ค.'!O60+'ม.ค.-มี.ค.'!P60+'ม.ค.-มี.ค.'!Q60+'ม.ค.-มี.ค.'!R60+'ม.ค.-มี.ค.'!S60+'ม.ค.-มี.ค.'!U60+'ม.ค.-มี.ค.'!V60</f>
        <v>0</v>
      </c>
      <c r="F60" s="498">
        <f>+'เม.ย.-มิ.ย.'!E60+'เม.ย.-มิ.ย.'!F60+'เม.ย.-มิ.ย.'!G60+'เม.ย.-มิ.ย.'!H60+'เม.ย.-มิ.ย.'!I60+'เม.ย.-มิ.ย.'!M60+'เม.ย.-มิ.ย.'!N60+'เม.ย.-มิ.ย.'!P60+'เม.ย.-มิ.ย.'!R60+'เม.ย.-มิ.ย.'!S60</f>
        <v>0</v>
      </c>
      <c r="G60" s="498">
        <f>+'ก.ค.-ก.ย.'!D60+'ก.ค.-ก.ย.'!E60+'ก.ค.-ก.ย.'!F60+'ก.ค.-ก.ย.'!G60+'ก.ค.-ก.ย.'!H60+'ก.ค.-ก.ย.'!I60+'ก.ค.-ก.ย.'!J60+'ก.ค.-ก.ย.'!K60+'ก.ค.-ก.ย.'!L60+'ก.ค.-ก.ย.'!M60+'ก.ค.-ก.ย.'!N60+'ก.ค.-ก.ย.'!O60+'ก.ค.-ก.ย.'!P60+'ก.ค.-ก.ย.'!Q60+'ก.ค.-ก.ย.'!R60+'ก.ค.-ก.ย.'!S60+'ก.ค.-ก.ย.'!T60+'ก.ค.-ก.ย.'!U60+'ก.ค.-ก.ย.'!V60</f>
        <v>7299</v>
      </c>
      <c r="H60" s="498">
        <f t="shared" si="10"/>
        <v>68699</v>
      </c>
      <c r="I60" s="498">
        <f t="shared" si="9"/>
        <v>11301</v>
      </c>
      <c r="J60" s="233"/>
      <c r="K60" s="331"/>
      <c r="L60" s="247"/>
      <c r="M60" s="247"/>
    </row>
    <row r="61" spans="1:13" ht="21.75" customHeight="1">
      <c r="A61" s="9"/>
      <c r="B61" s="130" t="s">
        <v>50</v>
      </c>
      <c r="C61" s="280">
        <f>10000-10000</f>
        <v>0</v>
      </c>
      <c r="D61" s="230">
        <f>+'ต.ค.-ธ.ค.'!E62+'ต.ค.-ธ.ค.'!F62+'ต.ค.-ธ.ค.'!H62+'ต.ค.-ธ.ค.'!I62+'ต.ค.-ธ.ค.'!M62+'ต.ค.-ธ.ค.'!Q62+'ต.ค.-ธ.ค.'!S62</f>
        <v>0</v>
      </c>
      <c r="E61" s="230">
        <f>+'ม.ค.-มี.ค.'!D61+'ม.ค.-มี.ค.'!E61+'ม.ค.-มี.ค.'!F61+'ม.ค.-มี.ค.'!G61+'ม.ค.-มี.ค.'!H61+'ม.ค.-มี.ค.'!I61+'ม.ค.-มี.ค.'!J61+'ม.ค.-มี.ค.'!K61+'ม.ค.-มี.ค.'!L61+'ม.ค.-มี.ค.'!M61+'ม.ค.-มี.ค.'!N61+'ม.ค.-มี.ค.'!O61+'ม.ค.-มี.ค.'!P61+'ม.ค.-มี.ค.'!Q61+'ม.ค.-มี.ค.'!R61+'ม.ค.-มี.ค.'!S61+'ม.ค.-มี.ค.'!U61+'ม.ค.-มี.ค.'!V61</f>
        <v>0</v>
      </c>
      <c r="F61" s="230">
        <f>+'เม.ย.-มิ.ย.'!E61+'เม.ย.-มิ.ย.'!F61+'เม.ย.-มิ.ย.'!G61+'เม.ย.-มิ.ย.'!H61+'เม.ย.-มิ.ย.'!I61+'เม.ย.-มิ.ย.'!M61+'เม.ย.-มิ.ย.'!N61+'เม.ย.-มิ.ย.'!P61+'เม.ย.-มิ.ย.'!R61+'เม.ย.-มิ.ย.'!S61</f>
        <v>0</v>
      </c>
      <c r="G61" s="498">
        <f>+'ก.ค.-ก.ย.'!D61+'ก.ค.-ก.ย.'!E61+'ก.ค.-ก.ย.'!F61+'ก.ค.-ก.ย.'!G61+'ก.ค.-ก.ย.'!H61+'ก.ค.-ก.ย.'!I61+'ก.ค.-ก.ย.'!J61+'ก.ค.-ก.ย.'!K61+'ก.ค.-ก.ย.'!L61+'ก.ค.-ก.ย.'!M61+'ก.ค.-ก.ย.'!N61+'ก.ค.-ก.ย.'!O61+'ก.ค.-ก.ย.'!P61+'ก.ค.-ก.ย.'!Q61+'ก.ค.-ก.ย.'!R61+'ก.ค.-ก.ย.'!S61+'ก.ค.-ก.ย.'!T61+'ก.ค.-ก.ย.'!U61+'ก.ค.-ก.ย.'!V61</f>
        <v>0</v>
      </c>
      <c r="H61" s="498">
        <f t="shared" si="10"/>
        <v>0</v>
      </c>
      <c r="I61" s="230">
        <f t="shared" si="9"/>
        <v>0</v>
      </c>
    </row>
    <row r="62" spans="1:13" ht="21.75" customHeight="1">
      <c r="A62" s="9"/>
      <c r="B62" s="130" t="s">
        <v>103</v>
      </c>
      <c r="C62" s="280">
        <f>10000-10000</f>
        <v>0</v>
      </c>
      <c r="D62" s="230">
        <f>+'ต.ค.-ธ.ค.'!E63+'ต.ค.-ธ.ค.'!F63+'ต.ค.-ธ.ค.'!H63+'ต.ค.-ธ.ค.'!I63+'ต.ค.-ธ.ค.'!M63+'ต.ค.-ธ.ค.'!Q63+'ต.ค.-ธ.ค.'!S63</f>
        <v>0</v>
      </c>
      <c r="E62" s="230">
        <f>+'ม.ค.-มี.ค.'!D62+'ม.ค.-มี.ค.'!E62+'ม.ค.-มี.ค.'!F62+'ม.ค.-มี.ค.'!G62+'ม.ค.-มี.ค.'!H62+'ม.ค.-มี.ค.'!I62+'ม.ค.-มี.ค.'!J62+'ม.ค.-มี.ค.'!K62+'ม.ค.-มี.ค.'!L62+'ม.ค.-มี.ค.'!M62+'ม.ค.-มี.ค.'!N62+'ม.ค.-มี.ค.'!O62+'ม.ค.-มี.ค.'!P62+'ม.ค.-มี.ค.'!Q62+'ม.ค.-มี.ค.'!R62+'ม.ค.-มี.ค.'!S62+'ม.ค.-มี.ค.'!U62+'ม.ค.-มี.ค.'!V62</f>
        <v>0</v>
      </c>
      <c r="F62" s="230">
        <f>+'เม.ย.-มิ.ย.'!E62+'เม.ย.-มิ.ย.'!F62+'เม.ย.-มิ.ย.'!G62+'เม.ย.-มิ.ย.'!H62+'เม.ย.-มิ.ย.'!I62+'เม.ย.-มิ.ย.'!M62+'เม.ย.-มิ.ย.'!N62+'เม.ย.-มิ.ย.'!P62+'เม.ย.-มิ.ย.'!R62+'เม.ย.-มิ.ย.'!S62</f>
        <v>0</v>
      </c>
      <c r="G62" s="498">
        <f>+'ก.ค.-ก.ย.'!D62+'ก.ค.-ก.ย.'!E62+'ก.ค.-ก.ย.'!F62+'ก.ค.-ก.ย.'!G62+'ก.ค.-ก.ย.'!H62+'ก.ค.-ก.ย.'!I62+'ก.ค.-ก.ย.'!J62+'ก.ค.-ก.ย.'!K62+'ก.ค.-ก.ย.'!L62+'ก.ค.-ก.ย.'!M62+'ก.ค.-ก.ย.'!N62+'ก.ค.-ก.ย.'!O62+'ก.ค.-ก.ย.'!P62+'ก.ค.-ก.ย.'!Q62+'ก.ค.-ก.ย.'!R62+'ก.ค.-ก.ย.'!S62+'ก.ค.-ก.ย.'!T62+'ก.ค.-ก.ย.'!U62+'ก.ค.-ก.ย.'!V62</f>
        <v>0</v>
      </c>
      <c r="H62" s="498">
        <f t="shared" si="10"/>
        <v>0</v>
      </c>
      <c r="I62" s="230">
        <f t="shared" si="9"/>
        <v>0</v>
      </c>
    </row>
    <row r="63" spans="1:13" s="168" customFormat="1" ht="21.75" customHeight="1">
      <c r="A63" s="9"/>
      <c r="B63" s="187" t="s">
        <v>106</v>
      </c>
      <c r="C63" s="283">
        <f>200000+30000+30000+80000+19000+1000+10000+2500+2500+2500+2500+20000+15000+5000+14000+2000+10000+10000+2000+7000</f>
        <v>465000</v>
      </c>
      <c r="D63" s="498">
        <f>+'ต.ค.-ธ.ค.'!E64+'ต.ค.-ธ.ค.'!F64+'ต.ค.-ธ.ค.'!H64+'ต.ค.-ธ.ค.'!I64+'ต.ค.-ธ.ค.'!M64+'ต.ค.-ธ.ค.'!Q64+'ต.ค.-ธ.ค.'!S64</f>
        <v>95072</v>
      </c>
      <c r="E63" s="498">
        <f>+'ม.ค.-มี.ค.'!D63+'ม.ค.-มี.ค.'!E63+'ม.ค.-มี.ค.'!F63+'ม.ค.-มี.ค.'!G63+'ม.ค.-มี.ค.'!H63+'ม.ค.-มี.ค.'!I63+'ม.ค.-มี.ค.'!J63+'ม.ค.-มี.ค.'!K63+'ม.ค.-มี.ค.'!L63+'ม.ค.-มี.ค.'!M63+'ม.ค.-มี.ค.'!N63+'ม.ค.-มี.ค.'!O63+'ม.ค.-มี.ค.'!P63+'ม.ค.-มี.ค.'!Q63+'ม.ค.-มี.ค.'!R63+'ม.ค.-มี.ค.'!S63+'ม.ค.-มี.ค.'!U63+'ม.ค.-มี.ค.'!V63</f>
        <v>69998</v>
      </c>
      <c r="F63" s="498">
        <f>+'เม.ย.-มิ.ย.'!E63+'เม.ย.-มิ.ย.'!F63+'เม.ย.-มิ.ย.'!G63+'เม.ย.-มิ.ย.'!H63+'เม.ย.-มิ.ย.'!I63+'เม.ย.-มิ.ย.'!M63+'เม.ย.-มิ.ย.'!N63+'เม.ย.-มิ.ย.'!P63+'เม.ย.-มิ.ย.'!R63+'เม.ย.-มิ.ย.'!S63</f>
        <v>174929</v>
      </c>
      <c r="G63" s="498">
        <f>+'ก.ค.-ก.ย.'!D63+'ก.ค.-ก.ย.'!E63+'ก.ค.-ก.ย.'!F63+'ก.ค.-ก.ย.'!G63+'ก.ค.-ก.ย.'!H63+'ก.ค.-ก.ย.'!I63+'ก.ค.-ก.ย.'!J63+'ก.ค.-ก.ย.'!K63+'ก.ค.-ก.ย.'!L63+'ก.ค.-ก.ย.'!M63+'ก.ค.-ก.ย.'!N63+'ก.ค.-ก.ย.'!O63+'ก.ค.-ก.ย.'!P63+'ก.ค.-ก.ย.'!Q63+'ก.ค.-ก.ย.'!R63+'ก.ค.-ก.ย.'!S63+'ก.ค.-ก.ย.'!T63+'ก.ค.-ก.ย.'!U63+'ก.ค.-ก.ย.'!V63</f>
        <v>104323</v>
      </c>
      <c r="H63" s="498">
        <f>SUM(D63:G63)</f>
        <v>444322</v>
      </c>
      <c r="I63" s="498">
        <f t="shared" si="9"/>
        <v>20678</v>
      </c>
      <c r="J63" s="233"/>
      <c r="K63" s="331"/>
      <c r="L63" s="247"/>
      <c r="M63" s="247"/>
    </row>
    <row r="64" spans="1:13" ht="21.75" customHeight="1">
      <c r="A64" s="9"/>
      <c r="B64" s="187" t="s">
        <v>231</v>
      </c>
      <c r="C64" s="283">
        <f>5000+8900-5000</f>
        <v>8900</v>
      </c>
      <c r="D64" s="230">
        <f>+'ต.ค.-ธ.ค.'!E65+'ต.ค.-ธ.ค.'!F65+'ต.ค.-ธ.ค.'!H65+'ต.ค.-ธ.ค.'!I65+'ต.ค.-ธ.ค.'!M65+'ต.ค.-ธ.ค.'!Q65+'ต.ค.-ธ.ค.'!S65</f>
        <v>7000</v>
      </c>
      <c r="E64" s="230">
        <f>+'ม.ค.-มี.ค.'!D64+'ม.ค.-มี.ค.'!E64+'ม.ค.-มี.ค.'!F64+'ม.ค.-มี.ค.'!G64+'ม.ค.-มี.ค.'!H64+'ม.ค.-มี.ค.'!I64+'ม.ค.-มี.ค.'!J64+'ม.ค.-มี.ค.'!K64+'ม.ค.-มี.ค.'!L64+'ม.ค.-มี.ค.'!M64+'ม.ค.-มี.ค.'!N64+'ม.ค.-มี.ค.'!O64+'ม.ค.-มี.ค.'!P64+'ม.ค.-มี.ค.'!Q64+'ม.ค.-มี.ค.'!R64+'ม.ค.-มี.ค.'!S64+'ม.ค.-มี.ค.'!U64+'ม.ค.-มี.ค.'!V64</f>
        <v>0</v>
      </c>
      <c r="F64" s="230">
        <f>+'เม.ย.-มิ.ย.'!E64+'เม.ย.-มิ.ย.'!F64+'เม.ย.-มิ.ย.'!G64+'เม.ย.-มิ.ย.'!H64+'เม.ย.-มิ.ย.'!I64+'เม.ย.-มิ.ย.'!M64+'เม.ย.-มิ.ย.'!N64+'เม.ย.-มิ.ย.'!P64+'เม.ย.-มิ.ย.'!R64+'เม.ย.-มิ.ย.'!S64</f>
        <v>0</v>
      </c>
      <c r="G64" s="498">
        <f>+'ก.ค.-ก.ย.'!D64+'ก.ค.-ก.ย.'!E64+'ก.ค.-ก.ย.'!F64+'ก.ค.-ก.ย.'!G64+'ก.ค.-ก.ย.'!H64+'ก.ค.-ก.ย.'!I64+'ก.ค.-ก.ย.'!J64+'ก.ค.-ก.ย.'!K64+'ก.ค.-ก.ย.'!L64+'ก.ค.-ก.ย.'!M64+'ก.ค.-ก.ย.'!N64+'ก.ค.-ก.ย.'!O64+'ก.ค.-ก.ย.'!P64+'ก.ค.-ก.ย.'!Q64+'ก.ค.-ก.ย.'!R64+'ก.ค.-ก.ย.'!S64+'ก.ค.-ก.ย.'!T64+'ก.ค.-ก.ย.'!U64+'ก.ค.-ก.ย.'!V64</f>
        <v>1600</v>
      </c>
      <c r="H64" s="498">
        <f t="shared" si="10"/>
        <v>8600</v>
      </c>
      <c r="I64" s="230">
        <f t="shared" si="9"/>
        <v>300</v>
      </c>
    </row>
    <row r="65" spans="1:13" ht="21.75" customHeight="1">
      <c r="A65" s="9"/>
      <c r="B65" s="187" t="s">
        <v>204</v>
      </c>
      <c r="C65" s="283">
        <v>5000</v>
      </c>
      <c r="D65" s="230">
        <f>+'ต.ค.-ธ.ค.'!E66+'ต.ค.-ธ.ค.'!F66+'ต.ค.-ธ.ค.'!H66+'ต.ค.-ธ.ค.'!I66+'ต.ค.-ธ.ค.'!M66+'ต.ค.-ธ.ค.'!Q66+'ต.ค.-ธ.ค.'!S66</f>
        <v>0</v>
      </c>
      <c r="E65" s="230">
        <f>+'ม.ค.-มี.ค.'!D65+'ม.ค.-มี.ค.'!E65+'ม.ค.-มี.ค.'!F65+'ม.ค.-มี.ค.'!G65+'ม.ค.-มี.ค.'!H65+'ม.ค.-มี.ค.'!I65+'ม.ค.-มี.ค.'!J65+'ม.ค.-มี.ค.'!K65+'ม.ค.-มี.ค.'!L65+'ม.ค.-มี.ค.'!M65+'ม.ค.-มี.ค.'!N65+'ม.ค.-มี.ค.'!O65+'ม.ค.-มี.ค.'!P65+'ม.ค.-มี.ค.'!Q65+'ม.ค.-มี.ค.'!R65+'ม.ค.-มี.ค.'!S65+'ม.ค.-มี.ค.'!U65+'ม.ค.-มี.ค.'!V65</f>
        <v>0</v>
      </c>
      <c r="F65" s="230">
        <f>+'เม.ย.-มิ.ย.'!E65+'เม.ย.-มิ.ย.'!F65+'เม.ย.-มิ.ย.'!G65+'เม.ย.-มิ.ย.'!H65+'เม.ย.-มิ.ย.'!I65+'เม.ย.-มิ.ย.'!M65+'เม.ย.-มิ.ย.'!N65+'เม.ย.-มิ.ย.'!P65+'เม.ย.-มิ.ย.'!R65+'เม.ย.-มิ.ย.'!S65</f>
        <v>0</v>
      </c>
      <c r="G65" s="498">
        <f>+'ก.ค.-ก.ย.'!D65+'ก.ค.-ก.ย.'!E65+'ก.ค.-ก.ย.'!F65+'ก.ค.-ก.ย.'!G65+'ก.ค.-ก.ย.'!H65+'ก.ค.-ก.ย.'!I65+'ก.ค.-ก.ย.'!J65+'ก.ค.-ก.ย.'!K65+'ก.ค.-ก.ย.'!L65+'ก.ค.-ก.ย.'!M65+'ก.ค.-ก.ย.'!N65+'ก.ค.-ก.ย.'!O65+'ก.ค.-ก.ย.'!P65+'ก.ค.-ก.ย.'!Q65+'ก.ค.-ก.ย.'!R65+'ก.ค.-ก.ย.'!S65+'ก.ค.-ก.ย.'!T65+'ก.ค.-ก.ย.'!U65+'ก.ค.-ก.ย.'!V65</f>
        <v>0</v>
      </c>
      <c r="H65" s="498">
        <f t="shared" si="10"/>
        <v>0</v>
      </c>
      <c r="I65" s="230">
        <f t="shared" si="9"/>
        <v>5000</v>
      </c>
    </row>
    <row r="66" spans="1:13" ht="21.75" customHeight="1">
      <c r="A66" s="9"/>
      <c r="B66" s="187" t="s">
        <v>232</v>
      </c>
      <c r="C66" s="283">
        <f>120000+100000-6400</f>
        <v>213600</v>
      </c>
      <c r="D66" s="230">
        <f>+'ต.ค.-ธ.ค.'!E67+'ต.ค.-ธ.ค.'!F67+'ต.ค.-ธ.ค.'!H67+'ต.ค.-ธ.ค.'!I67+'ต.ค.-ธ.ค.'!M67+'ต.ค.-ธ.ค.'!Q67+'ต.ค.-ธ.ค.'!S67</f>
        <v>0</v>
      </c>
      <c r="E66" s="230">
        <f>+'ม.ค.-มี.ค.'!D66+'ม.ค.-มี.ค.'!E66+'ม.ค.-มี.ค.'!F66+'ม.ค.-มี.ค.'!G66+'ม.ค.-มี.ค.'!H66+'ม.ค.-มี.ค.'!I66+'ม.ค.-มี.ค.'!J66+'ม.ค.-มี.ค.'!K66+'ม.ค.-มี.ค.'!L66+'ม.ค.-มี.ค.'!M66+'ม.ค.-มี.ค.'!N66+'ม.ค.-มี.ค.'!O66+'ม.ค.-มี.ค.'!P66+'ม.ค.-มี.ค.'!Q66+'ม.ค.-มี.ค.'!R66+'ม.ค.-มี.ค.'!S66+'ม.ค.-มี.ค.'!U66+'ม.ค.-มี.ค.'!V66</f>
        <v>157600</v>
      </c>
      <c r="F66" s="230">
        <f>+'เม.ย.-มิ.ย.'!E66+'เม.ย.-มิ.ย.'!F66+'เม.ย.-มิ.ย.'!G66+'เม.ย.-มิ.ย.'!H66+'เม.ย.-มิ.ย.'!I66+'เม.ย.-มิ.ย.'!M66+'เม.ย.-มิ.ย.'!N66+'เม.ย.-มิ.ย.'!P66+'เม.ย.-มิ.ย.'!R66+'เม.ย.-มิ.ย.'!S66</f>
        <v>56000</v>
      </c>
      <c r="G66" s="498">
        <f>+'ก.ค.-ก.ย.'!D66+'ก.ค.-ก.ย.'!E66+'ก.ค.-ก.ย.'!F66+'ก.ค.-ก.ย.'!G66+'ก.ค.-ก.ย.'!H66+'ก.ค.-ก.ย.'!I66+'ก.ค.-ก.ย.'!J66+'ก.ค.-ก.ย.'!K66+'ก.ค.-ก.ย.'!L66+'ก.ค.-ก.ย.'!M66+'ก.ค.-ก.ย.'!N66+'ก.ค.-ก.ย.'!O66+'ก.ค.-ก.ย.'!P66+'ก.ค.-ก.ย.'!Q66+'ก.ค.-ก.ย.'!R66+'ก.ค.-ก.ย.'!S66+'ก.ค.-ก.ย.'!T66+'ก.ค.-ก.ย.'!U66+'ก.ค.-ก.ย.'!V66</f>
        <v>0</v>
      </c>
      <c r="H66" s="498">
        <f t="shared" si="10"/>
        <v>213600</v>
      </c>
      <c r="I66" s="230">
        <f t="shared" si="9"/>
        <v>0</v>
      </c>
    </row>
    <row r="67" spans="1:13" ht="23.25" customHeight="1">
      <c r="A67" s="9"/>
      <c r="B67" s="187" t="s">
        <v>233</v>
      </c>
      <c r="C67" s="283">
        <f>125000-8900-16100-100000</f>
        <v>0</v>
      </c>
      <c r="D67" s="230">
        <f>+'ต.ค.-ธ.ค.'!E68+'ต.ค.-ธ.ค.'!F68+'ต.ค.-ธ.ค.'!H68+'ต.ค.-ธ.ค.'!I68+'ต.ค.-ธ.ค.'!M68+'ต.ค.-ธ.ค.'!Q68+'ต.ค.-ธ.ค.'!S68</f>
        <v>0</v>
      </c>
      <c r="E67" s="230">
        <f>+'ม.ค.-มี.ค.'!D67+'ม.ค.-มี.ค.'!E67+'ม.ค.-มี.ค.'!F67+'ม.ค.-มี.ค.'!G67+'ม.ค.-มี.ค.'!H67+'ม.ค.-มี.ค.'!I67+'ม.ค.-มี.ค.'!J67+'ม.ค.-มี.ค.'!K67+'ม.ค.-มี.ค.'!L67+'ม.ค.-มี.ค.'!M67+'ม.ค.-มี.ค.'!N67+'ม.ค.-มี.ค.'!O67+'ม.ค.-มี.ค.'!P67+'ม.ค.-มี.ค.'!Q67+'ม.ค.-มี.ค.'!R67+'ม.ค.-มี.ค.'!S67+'ม.ค.-มี.ค.'!U67+'ม.ค.-มี.ค.'!V67</f>
        <v>0</v>
      </c>
      <c r="F67" s="230">
        <f>+'เม.ย.-มิ.ย.'!E67+'เม.ย.-มิ.ย.'!F67+'เม.ย.-มิ.ย.'!G67+'เม.ย.-มิ.ย.'!H67+'เม.ย.-มิ.ย.'!I67+'เม.ย.-มิ.ย.'!M67+'เม.ย.-มิ.ย.'!N67+'เม.ย.-มิ.ย.'!P67+'เม.ย.-มิ.ย.'!R67+'เม.ย.-มิ.ย.'!S67</f>
        <v>0</v>
      </c>
      <c r="G67" s="498">
        <f>+'ก.ค.-ก.ย.'!D67+'ก.ค.-ก.ย.'!E67+'ก.ค.-ก.ย.'!F67+'ก.ค.-ก.ย.'!G67+'ก.ค.-ก.ย.'!H67+'ก.ค.-ก.ย.'!I67+'ก.ค.-ก.ย.'!J67+'ก.ค.-ก.ย.'!K67+'ก.ค.-ก.ย.'!L67+'ก.ค.-ก.ย.'!M67+'ก.ค.-ก.ย.'!N67+'ก.ค.-ก.ย.'!O67+'ก.ค.-ก.ย.'!P67+'ก.ค.-ก.ย.'!Q67+'ก.ค.-ก.ย.'!R67+'ก.ค.-ก.ย.'!S67+'ก.ค.-ก.ย.'!T67+'ก.ค.-ก.ย.'!U67+'ก.ค.-ก.ย.'!V67</f>
        <v>0</v>
      </c>
      <c r="H67" s="498">
        <f t="shared" si="10"/>
        <v>0</v>
      </c>
      <c r="I67" s="230">
        <f t="shared" si="9"/>
        <v>0</v>
      </c>
    </row>
    <row r="68" spans="1:13" ht="21.75" customHeight="1">
      <c r="A68" s="9"/>
      <c r="B68" s="187" t="s">
        <v>234</v>
      </c>
      <c r="C68" s="283">
        <v>5000</v>
      </c>
      <c r="D68" s="230">
        <f>+'ต.ค.-ธ.ค.'!E69+'ต.ค.-ธ.ค.'!F69+'ต.ค.-ธ.ค.'!H69+'ต.ค.-ธ.ค.'!I69+'ต.ค.-ธ.ค.'!M69+'ต.ค.-ธ.ค.'!Q69+'ต.ค.-ธ.ค.'!S69</f>
        <v>0</v>
      </c>
      <c r="E68" s="230">
        <f>+'ม.ค.-มี.ค.'!D68+'ม.ค.-มี.ค.'!E68+'ม.ค.-มี.ค.'!F68+'ม.ค.-มี.ค.'!G68+'ม.ค.-มี.ค.'!H68+'ม.ค.-มี.ค.'!I68+'ม.ค.-มี.ค.'!J68+'ม.ค.-มี.ค.'!K68+'ม.ค.-มี.ค.'!L68+'ม.ค.-มี.ค.'!M68+'ม.ค.-มี.ค.'!N68+'ม.ค.-มี.ค.'!O68+'ม.ค.-มี.ค.'!P68+'ม.ค.-มี.ค.'!Q68+'ม.ค.-มี.ค.'!R68+'ม.ค.-มี.ค.'!S68+'ม.ค.-มี.ค.'!U68+'ม.ค.-มี.ค.'!V68</f>
        <v>0</v>
      </c>
      <c r="F68" s="230">
        <f>+'เม.ย.-มิ.ย.'!E68+'เม.ย.-มิ.ย.'!F68+'เม.ย.-มิ.ย.'!G68+'เม.ย.-มิ.ย.'!H68+'เม.ย.-มิ.ย.'!I68+'เม.ย.-มิ.ย.'!M68+'เม.ย.-มิ.ย.'!N68+'เม.ย.-มิ.ย.'!P68+'เม.ย.-มิ.ย.'!R68+'เม.ย.-มิ.ย.'!S68</f>
        <v>0</v>
      </c>
      <c r="G68" s="498">
        <f>+'ก.ค.-ก.ย.'!D68+'ก.ค.-ก.ย.'!E68+'ก.ค.-ก.ย.'!F68+'ก.ค.-ก.ย.'!G68+'ก.ค.-ก.ย.'!H68+'ก.ค.-ก.ย.'!I68+'ก.ค.-ก.ย.'!J68+'ก.ค.-ก.ย.'!K68+'ก.ค.-ก.ย.'!L68+'ก.ค.-ก.ย.'!M68+'ก.ค.-ก.ย.'!N68+'ก.ค.-ก.ย.'!O68+'ก.ค.-ก.ย.'!P68+'ก.ค.-ก.ย.'!Q68+'ก.ค.-ก.ย.'!R68+'ก.ค.-ก.ย.'!S68+'ก.ค.-ก.ย.'!T68+'ก.ค.-ก.ย.'!U68+'ก.ค.-ก.ย.'!V68</f>
        <v>0</v>
      </c>
      <c r="H68" s="498">
        <f t="shared" si="10"/>
        <v>0</v>
      </c>
      <c r="I68" s="230">
        <f t="shared" si="9"/>
        <v>5000</v>
      </c>
    </row>
    <row r="69" spans="1:13" ht="21.75" customHeight="1">
      <c r="A69" s="9"/>
      <c r="B69" s="187" t="s">
        <v>235</v>
      </c>
      <c r="C69" s="283">
        <v>90000</v>
      </c>
      <c r="D69" s="230">
        <f>+'ต.ค.-ธ.ค.'!E70+'ต.ค.-ธ.ค.'!F70+'ต.ค.-ธ.ค.'!H70+'ต.ค.-ธ.ค.'!I70+'ต.ค.-ธ.ค.'!M70+'ต.ค.-ธ.ค.'!Q70+'ต.ค.-ธ.ค.'!S70</f>
        <v>0</v>
      </c>
      <c r="E69" s="230">
        <f>+'ม.ค.-มี.ค.'!D69+'ม.ค.-มี.ค.'!E69+'ม.ค.-มี.ค.'!F69+'ม.ค.-มี.ค.'!G69+'ม.ค.-มี.ค.'!H69+'ม.ค.-มี.ค.'!I69+'ม.ค.-มี.ค.'!J69+'ม.ค.-มี.ค.'!K69+'ม.ค.-มี.ค.'!L69+'ม.ค.-มี.ค.'!M69+'ม.ค.-มี.ค.'!N69+'ม.ค.-มี.ค.'!O69+'ม.ค.-มี.ค.'!P69+'ม.ค.-มี.ค.'!Q69+'ม.ค.-มี.ค.'!R69+'ม.ค.-มี.ค.'!S69+'ม.ค.-มี.ค.'!U69+'ม.ค.-มี.ค.'!V69</f>
        <v>0</v>
      </c>
      <c r="F69" s="230">
        <f>+'เม.ย.-มิ.ย.'!E69+'เม.ย.-มิ.ย.'!F69+'เม.ย.-มิ.ย.'!G69+'เม.ย.-มิ.ย.'!H69+'เม.ย.-มิ.ย.'!I69+'เม.ย.-มิ.ย.'!M69+'เม.ย.-มิ.ย.'!N69+'เม.ย.-มิ.ย.'!P69+'เม.ย.-มิ.ย.'!R69+'เม.ย.-มิ.ย.'!S69</f>
        <v>59500</v>
      </c>
      <c r="G69" s="498">
        <f>+'ก.ค.-ก.ย.'!D69+'ก.ค.-ก.ย.'!E69+'ก.ค.-ก.ย.'!F69+'ก.ค.-ก.ย.'!G69+'ก.ค.-ก.ย.'!H69+'ก.ค.-ก.ย.'!I69+'ก.ค.-ก.ย.'!J69+'ก.ค.-ก.ย.'!K69+'ก.ค.-ก.ย.'!L69+'ก.ค.-ก.ย.'!M69+'ก.ค.-ก.ย.'!N69+'ก.ค.-ก.ย.'!O69+'ก.ค.-ก.ย.'!P69+'ก.ค.-ก.ย.'!Q69+'ก.ค.-ก.ย.'!R69+'ก.ค.-ก.ย.'!S69+'ก.ค.-ก.ย.'!T69+'ก.ค.-ก.ย.'!U69+'ก.ค.-ก.ย.'!V69</f>
        <v>0</v>
      </c>
      <c r="H69" s="498">
        <f t="shared" si="10"/>
        <v>59500</v>
      </c>
      <c r="I69" s="230">
        <f t="shared" si="9"/>
        <v>30500</v>
      </c>
    </row>
    <row r="70" spans="1:13" ht="21.75" customHeight="1">
      <c r="A70" s="9"/>
      <c r="B70" s="187" t="s">
        <v>236</v>
      </c>
      <c r="C70" s="283">
        <f>5000-5000</f>
        <v>0</v>
      </c>
      <c r="D70" s="230">
        <f>+'ต.ค.-ธ.ค.'!E71+'ต.ค.-ธ.ค.'!F71+'ต.ค.-ธ.ค.'!H71+'ต.ค.-ธ.ค.'!I71+'ต.ค.-ธ.ค.'!M71+'ต.ค.-ธ.ค.'!Q71+'ต.ค.-ธ.ค.'!S71</f>
        <v>0</v>
      </c>
      <c r="E70" s="230">
        <f>+'ม.ค.-มี.ค.'!D70+'ม.ค.-มี.ค.'!E70+'ม.ค.-มี.ค.'!F70+'ม.ค.-มี.ค.'!G70+'ม.ค.-มี.ค.'!H70+'ม.ค.-มี.ค.'!I70+'ม.ค.-มี.ค.'!J70+'ม.ค.-มี.ค.'!K70+'ม.ค.-มี.ค.'!L70+'ม.ค.-มี.ค.'!M70+'ม.ค.-มี.ค.'!N70+'ม.ค.-มี.ค.'!O70+'ม.ค.-มี.ค.'!P70+'ม.ค.-มี.ค.'!Q70+'ม.ค.-มี.ค.'!R70+'ม.ค.-มี.ค.'!S70+'ม.ค.-มี.ค.'!U70+'ม.ค.-มี.ค.'!V70</f>
        <v>0</v>
      </c>
      <c r="F70" s="230">
        <f>+'เม.ย.-มิ.ย.'!E70+'เม.ย.-มิ.ย.'!F70+'เม.ย.-มิ.ย.'!G70+'เม.ย.-มิ.ย.'!H70+'เม.ย.-มิ.ย.'!I70+'เม.ย.-มิ.ย.'!M70+'เม.ย.-มิ.ย.'!N70+'เม.ย.-มิ.ย.'!P70+'เม.ย.-มิ.ย.'!R70+'เม.ย.-มิ.ย.'!S70</f>
        <v>0</v>
      </c>
      <c r="G70" s="498">
        <f>+'ก.ค.-ก.ย.'!D70+'ก.ค.-ก.ย.'!E70+'ก.ค.-ก.ย.'!F70+'ก.ค.-ก.ย.'!G70+'ก.ค.-ก.ย.'!H70+'ก.ค.-ก.ย.'!I70+'ก.ค.-ก.ย.'!J70+'ก.ค.-ก.ย.'!K70+'ก.ค.-ก.ย.'!L70+'ก.ค.-ก.ย.'!M70+'ก.ค.-ก.ย.'!N70+'ก.ค.-ก.ย.'!O70+'ก.ค.-ก.ย.'!P70+'ก.ค.-ก.ย.'!Q70+'ก.ค.-ก.ย.'!R70+'ก.ค.-ก.ย.'!S70+'ก.ค.-ก.ย.'!T70+'ก.ค.-ก.ย.'!U70+'ก.ค.-ก.ย.'!V70</f>
        <v>0</v>
      </c>
      <c r="H70" s="498">
        <f t="shared" si="10"/>
        <v>0</v>
      </c>
      <c r="I70" s="230">
        <f t="shared" si="9"/>
        <v>0</v>
      </c>
    </row>
    <row r="71" spans="1:13" ht="21.75" customHeight="1">
      <c r="A71" s="9"/>
      <c r="B71" s="187" t="s">
        <v>237</v>
      </c>
      <c r="C71" s="283">
        <f>5000-5000</f>
        <v>0</v>
      </c>
      <c r="D71" s="230">
        <f>+'ต.ค.-ธ.ค.'!E72+'ต.ค.-ธ.ค.'!F72+'ต.ค.-ธ.ค.'!H72+'ต.ค.-ธ.ค.'!I72+'ต.ค.-ธ.ค.'!M72+'ต.ค.-ธ.ค.'!Q72+'ต.ค.-ธ.ค.'!S72</f>
        <v>0</v>
      </c>
      <c r="E71" s="230">
        <f>+'ม.ค.-มี.ค.'!D71+'ม.ค.-มี.ค.'!E71+'ม.ค.-มี.ค.'!F71+'ม.ค.-มี.ค.'!G71+'ม.ค.-มี.ค.'!H71+'ม.ค.-มี.ค.'!I71+'ม.ค.-มี.ค.'!J71+'ม.ค.-มี.ค.'!K71+'ม.ค.-มี.ค.'!L71+'ม.ค.-มี.ค.'!M71+'ม.ค.-มี.ค.'!N71+'ม.ค.-มี.ค.'!O71+'ม.ค.-มี.ค.'!P71+'ม.ค.-มี.ค.'!Q71+'ม.ค.-มี.ค.'!R71+'ม.ค.-มี.ค.'!S71+'ม.ค.-มี.ค.'!U71+'ม.ค.-มี.ค.'!V71</f>
        <v>0</v>
      </c>
      <c r="F71" s="230">
        <f>+'เม.ย.-มิ.ย.'!E71+'เม.ย.-มิ.ย.'!F71+'เม.ย.-มิ.ย.'!G71+'เม.ย.-มิ.ย.'!H71+'เม.ย.-มิ.ย.'!I71+'เม.ย.-มิ.ย.'!M71+'เม.ย.-มิ.ย.'!N71+'เม.ย.-มิ.ย.'!P71+'เม.ย.-มิ.ย.'!R71+'เม.ย.-มิ.ย.'!S71</f>
        <v>0</v>
      </c>
      <c r="G71" s="498">
        <f>+'ก.ค.-ก.ย.'!D71+'ก.ค.-ก.ย.'!E71+'ก.ค.-ก.ย.'!F71+'ก.ค.-ก.ย.'!G71+'ก.ค.-ก.ย.'!H71+'ก.ค.-ก.ย.'!I71+'ก.ค.-ก.ย.'!J71+'ก.ค.-ก.ย.'!K71+'ก.ค.-ก.ย.'!L71+'ก.ค.-ก.ย.'!M71+'ก.ค.-ก.ย.'!N71+'ก.ค.-ก.ย.'!O71+'ก.ค.-ก.ย.'!P71+'ก.ค.-ก.ย.'!Q71+'ก.ค.-ก.ย.'!R71+'ก.ค.-ก.ย.'!S71+'ก.ค.-ก.ย.'!T71+'ก.ค.-ก.ย.'!U71+'ก.ค.-ก.ย.'!V71</f>
        <v>0</v>
      </c>
      <c r="H71" s="498">
        <f t="shared" si="10"/>
        <v>0</v>
      </c>
      <c r="I71" s="230">
        <f t="shared" si="9"/>
        <v>0</v>
      </c>
    </row>
    <row r="72" spans="1:13" s="168" customFormat="1" ht="21.75" customHeight="1">
      <c r="A72" s="165"/>
      <c r="B72" s="226" t="s">
        <v>277</v>
      </c>
      <c r="C72" s="279">
        <v>5000</v>
      </c>
      <c r="D72" s="230">
        <f>+'ต.ค.-ธ.ค.'!E73+'ต.ค.-ธ.ค.'!F73+'ต.ค.-ธ.ค.'!H73+'ต.ค.-ธ.ค.'!I73+'ต.ค.-ธ.ค.'!M73+'ต.ค.-ธ.ค.'!Q73+'ต.ค.-ธ.ค.'!S73</f>
        <v>0</v>
      </c>
      <c r="E72" s="230">
        <f>+'ม.ค.-มี.ค.'!D72+'ม.ค.-มี.ค.'!E72+'ม.ค.-มี.ค.'!F72+'ม.ค.-มี.ค.'!G72+'ม.ค.-มี.ค.'!H72+'ม.ค.-มี.ค.'!I72+'ม.ค.-มี.ค.'!J72+'ม.ค.-มี.ค.'!K72+'ม.ค.-มี.ค.'!L72+'ม.ค.-มี.ค.'!M72+'ม.ค.-มี.ค.'!N72+'ม.ค.-มี.ค.'!O72+'ม.ค.-มี.ค.'!P72+'ม.ค.-มี.ค.'!Q72+'ม.ค.-มี.ค.'!R72+'ม.ค.-มี.ค.'!S72+'ม.ค.-มี.ค.'!U72+'ม.ค.-มี.ค.'!V72</f>
        <v>0</v>
      </c>
      <c r="F72" s="230">
        <f>+'เม.ย.-มิ.ย.'!E72+'เม.ย.-มิ.ย.'!F72+'เม.ย.-มิ.ย.'!G72+'เม.ย.-มิ.ย.'!H72+'เม.ย.-มิ.ย.'!I72+'เม.ย.-มิ.ย.'!M72+'เม.ย.-มิ.ย.'!N72+'เม.ย.-มิ.ย.'!P72+'เม.ย.-มิ.ย.'!R72+'เม.ย.-มิ.ย.'!S72</f>
        <v>0</v>
      </c>
      <c r="G72" s="498">
        <f>+'ก.ค.-ก.ย.'!D72+'ก.ค.-ก.ย.'!E72+'ก.ค.-ก.ย.'!F72+'ก.ค.-ก.ย.'!G72+'ก.ค.-ก.ย.'!H72+'ก.ค.-ก.ย.'!I72+'ก.ค.-ก.ย.'!J72+'ก.ค.-ก.ย.'!K72+'ก.ค.-ก.ย.'!L72+'ก.ค.-ก.ย.'!M72+'ก.ค.-ก.ย.'!N72+'ก.ค.-ก.ย.'!O72+'ก.ค.-ก.ย.'!P72+'ก.ค.-ก.ย.'!Q72+'ก.ค.-ก.ย.'!R72+'ก.ค.-ก.ย.'!S72+'ก.ค.-ก.ย.'!T72+'ก.ค.-ก.ย.'!U72+'ก.ค.-ก.ย.'!V72</f>
        <v>0</v>
      </c>
      <c r="H72" s="498">
        <f t="shared" ref="H72:H132" si="11">SUM(D72:G72)</f>
        <v>0</v>
      </c>
      <c r="I72" s="230">
        <f t="shared" si="9"/>
        <v>5000</v>
      </c>
      <c r="J72" s="242"/>
      <c r="K72" s="331"/>
      <c r="L72" s="247"/>
      <c r="M72" s="247"/>
    </row>
    <row r="73" spans="1:13" s="168" customFormat="1" ht="21.75" customHeight="1">
      <c r="A73" s="165"/>
      <c r="B73" s="226" t="s">
        <v>107</v>
      </c>
      <c r="C73" s="279">
        <f>10000-3000</f>
        <v>7000</v>
      </c>
      <c r="D73" s="230">
        <f>+'ต.ค.-ธ.ค.'!E74+'ต.ค.-ธ.ค.'!F74+'ต.ค.-ธ.ค.'!H74+'ต.ค.-ธ.ค.'!I74+'ต.ค.-ธ.ค.'!M74+'ต.ค.-ธ.ค.'!Q74+'ต.ค.-ธ.ค.'!S74</f>
        <v>0</v>
      </c>
      <c r="E73" s="230">
        <f>+'ม.ค.-มี.ค.'!D73+'ม.ค.-มี.ค.'!E73+'ม.ค.-มี.ค.'!F73+'ม.ค.-มี.ค.'!G73+'ม.ค.-มี.ค.'!H73+'ม.ค.-มี.ค.'!I73+'ม.ค.-มี.ค.'!J73+'ม.ค.-มี.ค.'!K73+'ม.ค.-มี.ค.'!L73+'ม.ค.-มี.ค.'!M73+'ม.ค.-มี.ค.'!N73+'ม.ค.-มี.ค.'!O73+'ม.ค.-มี.ค.'!P73+'ม.ค.-มี.ค.'!Q73+'ม.ค.-มี.ค.'!R73+'ม.ค.-มี.ค.'!S73+'ม.ค.-มี.ค.'!U73+'ม.ค.-มี.ค.'!V73</f>
        <v>0</v>
      </c>
      <c r="F73" s="230">
        <f>+'เม.ย.-มิ.ย.'!E73+'เม.ย.-มิ.ย.'!F73+'เม.ย.-มิ.ย.'!G73+'เม.ย.-มิ.ย.'!H73+'เม.ย.-มิ.ย.'!I73+'เม.ย.-มิ.ย.'!M73+'เม.ย.-มิ.ย.'!N73+'เม.ย.-มิ.ย.'!P73+'เม.ย.-มิ.ย.'!R73+'เม.ย.-มิ.ย.'!S73</f>
        <v>0</v>
      </c>
      <c r="G73" s="498">
        <f>+'ก.ค.-ก.ย.'!D73+'ก.ค.-ก.ย.'!E73+'ก.ค.-ก.ย.'!F73+'ก.ค.-ก.ย.'!G73+'ก.ค.-ก.ย.'!H73+'ก.ค.-ก.ย.'!I73+'ก.ค.-ก.ย.'!J73+'ก.ค.-ก.ย.'!K73+'ก.ค.-ก.ย.'!L73+'ก.ค.-ก.ย.'!M73+'ก.ค.-ก.ย.'!N73+'ก.ค.-ก.ย.'!O73+'ก.ค.-ก.ย.'!P73+'ก.ค.-ก.ย.'!Q73+'ก.ค.-ก.ย.'!R73+'ก.ค.-ก.ย.'!S73+'ก.ค.-ก.ย.'!T73+'ก.ค.-ก.ย.'!U73+'ก.ค.-ก.ย.'!V73</f>
        <v>0</v>
      </c>
      <c r="H73" s="498">
        <f t="shared" si="11"/>
        <v>0</v>
      </c>
      <c r="I73" s="230">
        <f t="shared" si="9"/>
        <v>7000</v>
      </c>
      <c r="J73" s="242"/>
      <c r="K73" s="331"/>
      <c r="L73" s="247"/>
      <c r="M73" s="247"/>
    </row>
    <row r="74" spans="1:13" ht="21.75" customHeight="1">
      <c r="A74" s="9"/>
      <c r="B74" s="226" t="s">
        <v>278</v>
      </c>
      <c r="C74" s="279">
        <v>10000</v>
      </c>
      <c r="D74" s="230">
        <f>+'ต.ค.-ธ.ค.'!E75+'ต.ค.-ธ.ค.'!F75+'ต.ค.-ธ.ค.'!H75+'ต.ค.-ธ.ค.'!I75+'ต.ค.-ธ.ค.'!M75+'ต.ค.-ธ.ค.'!Q75+'ต.ค.-ธ.ค.'!S75</f>
        <v>0</v>
      </c>
      <c r="E74" s="230">
        <f>+'ม.ค.-มี.ค.'!D74+'ม.ค.-มี.ค.'!E74+'ม.ค.-มี.ค.'!F74+'ม.ค.-มี.ค.'!G74+'ม.ค.-มี.ค.'!H74+'ม.ค.-มี.ค.'!I74+'ม.ค.-มี.ค.'!J74+'ม.ค.-มี.ค.'!K74+'ม.ค.-มี.ค.'!L74+'ม.ค.-มี.ค.'!M74+'ม.ค.-มี.ค.'!N74+'ม.ค.-มี.ค.'!O74+'ม.ค.-มี.ค.'!P74+'ม.ค.-มี.ค.'!Q74+'ม.ค.-มี.ค.'!R74+'ม.ค.-มี.ค.'!S74+'ม.ค.-มี.ค.'!U74+'ม.ค.-มี.ค.'!V74</f>
        <v>0</v>
      </c>
      <c r="F74" s="230">
        <f>+'เม.ย.-มิ.ย.'!E74+'เม.ย.-มิ.ย.'!F74+'เม.ย.-มิ.ย.'!G74+'เม.ย.-มิ.ย.'!H74+'เม.ย.-มิ.ย.'!I74+'เม.ย.-มิ.ย.'!M74+'เม.ย.-มิ.ย.'!N74+'เม.ย.-มิ.ย.'!P74+'เม.ย.-มิ.ย.'!R74+'เม.ย.-มิ.ย.'!S74</f>
        <v>0</v>
      </c>
      <c r="G74" s="498">
        <f>+'ก.ค.-ก.ย.'!D74+'ก.ค.-ก.ย.'!E74+'ก.ค.-ก.ย.'!F74+'ก.ค.-ก.ย.'!G74+'ก.ค.-ก.ย.'!H74+'ก.ค.-ก.ย.'!I74+'ก.ค.-ก.ย.'!J74+'ก.ค.-ก.ย.'!K74+'ก.ค.-ก.ย.'!L74+'ก.ค.-ก.ย.'!M74+'ก.ค.-ก.ย.'!N74+'ก.ค.-ก.ย.'!O74+'ก.ค.-ก.ย.'!P74+'ก.ค.-ก.ย.'!Q74+'ก.ค.-ก.ย.'!R74+'ก.ค.-ก.ย.'!S74+'ก.ค.-ก.ย.'!T74+'ก.ค.-ก.ย.'!U74+'ก.ค.-ก.ย.'!V74</f>
        <v>0</v>
      </c>
      <c r="H74" s="498">
        <f t="shared" si="11"/>
        <v>0</v>
      </c>
      <c r="I74" s="230">
        <f t="shared" si="9"/>
        <v>10000</v>
      </c>
    </row>
    <row r="75" spans="1:13" s="168" customFormat="1" ht="21.75" customHeight="1">
      <c r="A75" s="165"/>
      <c r="B75" s="226" t="s">
        <v>279</v>
      </c>
      <c r="C75" s="279">
        <v>10000</v>
      </c>
      <c r="D75" s="230">
        <f>+'ต.ค.-ธ.ค.'!E76+'ต.ค.-ธ.ค.'!F76+'ต.ค.-ธ.ค.'!H76+'ต.ค.-ธ.ค.'!I76+'ต.ค.-ธ.ค.'!M76+'ต.ค.-ธ.ค.'!Q76+'ต.ค.-ธ.ค.'!S76</f>
        <v>0</v>
      </c>
      <c r="E75" s="230">
        <f>+'ม.ค.-มี.ค.'!D75+'ม.ค.-มี.ค.'!E75+'ม.ค.-มี.ค.'!F75+'ม.ค.-มี.ค.'!G75+'ม.ค.-มี.ค.'!H75+'ม.ค.-มี.ค.'!I75+'ม.ค.-มี.ค.'!J75+'ม.ค.-มี.ค.'!K75+'ม.ค.-มี.ค.'!L75+'ม.ค.-มี.ค.'!M75+'ม.ค.-มี.ค.'!N75+'ม.ค.-มี.ค.'!O75+'ม.ค.-มี.ค.'!P75+'ม.ค.-มี.ค.'!Q75+'ม.ค.-มี.ค.'!R75+'ม.ค.-มี.ค.'!S75+'ม.ค.-มี.ค.'!U75+'ม.ค.-มี.ค.'!V75</f>
        <v>0</v>
      </c>
      <c r="F75" s="230">
        <f>+'เม.ย.-มิ.ย.'!E75+'เม.ย.-มิ.ย.'!F75+'เม.ย.-มิ.ย.'!G75+'เม.ย.-มิ.ย.'!H75+'เม.ย.-มิ.ย.'!I75+'เม.ย.-มิ.ย.'!M75+'เม.ย.-มิ.ย.'!N75+'เม.ย.-มิ.ย.'!P75+'เม.ย.-มิ.ย.'!R75+'เม.ย.-มิ.ย.'!S75</f>
        <v>0</v>
      </c>
      <c r="G75" s="498">
        <f>+'ก.ค.-ก.ย.'!D75+'ก.ค.-ก.ย.'!E75+'ก.ค.-ก.ย.'!F75+'ก.ค.-ก.ย.'!G75+'ก.ค.-ก.ย.'!H75+'ก.ค.-ก.ย.'!I75+'ก.ค.-ก.ย.'!J75+'ก.ค.-ก.ย.'!K75+'ก.ค.-ก.ย.'!L75+'ก.ค.-ก.ย.'!M75+'ก.ค.-ก.ย.'!N75+'ก.ค.-ก.ย.'!O75+'ก.ค.-ก.ย.'!P75+'ก.ค.-ก.ย.'!Q75+'ก.ค.-ก.ย.'!R75+'ก.ค.-ก.ย.'!S75+'ก.ค.-ก.ย.'!T75+'ก.ค.-ก.ย.'!U75+'ก.ค.-ก.ย.'!V75</f>
        <v>0</v>
      </c>
      <c r="H75" s="498">
        <f t="shared" si="11"/>
        <v>0</v>
      </c>
      <c r="I75" s="498">
        <f t="shared" si="9"/>
        <v>10000</v>
      </c>
      <c r="J75" s="233"/>
      <c r="K75" s="331"/>
      <c r="L75" s="247"/>
      <c r="M75" s="247"/>
    </row>
    <row r="76" spans="1:13" ht="21.75" customHeight="1">
      <c r="A76" s="9"/>
      <c r="B76" s="226" t="s">
        <v>280</v>
      </c>
      <c r="C76" s="279">
        <f>10000-5000-5000</f>
        <v>0</v>
      </c>
      <c r="D76" s="230">
        <f>+'ต.ค.-ธ.ค.'!E77+'ต.ค.-ธ.ค.'!F77+'ต.ค.-ธ.ค.'!H77+'ต.ค.-ธ.ค.'!I77+'ต.ค.-ธ.ค.'!M77+'ต.ค.-ธ.ค.'!Q77+'ต.ค.-ธ.ค.'!S77</f>
        <v>0</v>
      </c>
      <c r="E76" s="230">
        <f>+'ม.ค.-มี.ค.'!D76+'ม.ค.-มี.ค.'!E76+'ม.ค.-มี.ค.'!F76+'ม.ค.-มี.ค.'!G76+'ม.ค.-มี.ค.'!H76+'ม.ค.-มี.ค.'!I76+'ม.ค.-มี.ค.'!J76+'ม.ค.-มี.ค.'!K76+'ม.ค.-มี.ค.'!L76+'ม.ค.-มี.ค.'!M76+'ม.ค.-มี.ค.'!N76+'ม.ค.-มี.ค.'!O76+'ม.ค.-มี.ค.'!P76+'ม.ค.-มี.ค.'!Q76+'ม.ค.-มี.ค.'!R76+'ม.ค.-มี.ค.'!S76+'ม.ค.-มี.ค.'!U76+'ม.ค.-มี.ค.'!V76</f>
        <v>0</v>
      </c>
      <c r="F76" s="230">
        <f>+'เม.ย.-มิ.ย.'!E76+'เม.ย.-มิ.ย.'!F76+'เม.ย.-มิ.ย.'!G76+'เม.ย.-มิ.ย.'!H76+'เม.ย.-มิ.ย.'!I76+'เม.ย.-มิ.ย.'!M76+'เม.ย.-มิ.ย.'!N76+'เม.ย.-มิ.ย.'!P76+'เม.ย.-มิ.ย.'!R76+'เม.ย.-มิ.ย.'!S76</f>
        <v>0</v>
      </c>
      <c r="G76" s="498">
        <f>+'ก.ค.-ก.ย.'!D76+'ก.ค.-ก.ย.'!E76+'ก.ค.-ก.ย.'!F76+'ก.ค.-ก.ย.'!G76+'ก.ค.-ก.ย.'!H76+'ก.ค.-ก.ย.'!I76+'ก.ค.-ก.ย.'!J76+'ก.ค.-ก.ย.'!K76+'ก.ค.-ก.ย.'!L76+'ก.ค.-ก.ย.'!M76+'ก.ค.-ก.ย.'!N76+'ก.ค.-ก.ย.'!O76+'ก.ค.-ก.ย.'!P76+'ก.ค.-ก.ย.'!Q76+'ก.ค.-ก.ย.'!R76+'ก.ค.-ก.ย.'!S76+'ก.ค.-ก.ย.'!T76+'ก.ค.-ก.ย.'!U76+'ก.ค.-ก.ย.'!V76</f>
        <v>0</v>
      </c>
      <c r="H76" s="498">
        <f t="shared" si="11"/>
        <v>0</v>
      </c>
      <c r="I76" s="498">
        <f t="shared" si="9"/>
        <v>0</v>
      </c>
      <c r="J76" s="244"/>
    </row>
    <row r="77" spans="1:13" ht="21.75" customHeight="1">
      <c r="A77" s="9"/>
      <c r="B77" s="226" t="s">
        <v>281</v>
      </c>
      <c r="C77" s="279">
        <v>5000</v>
      </c>
      <c r="D77" s="230">
        <f>+'ต.ค.-ธ.ค.'!E78+'ต.ค.-ธ.ค.'!F78+'ต.ค.-ธ.ค.'!H78+'ต.ค.-ธ.ค.'!I78+'ต.ค.-ธ.ค.'!M78+'ต.ค.-ธ.ค.'!Q78+'ต.ค.-ธ.ค.'!S78</f>
        <v>0</v>
      </c>
      <c r="E77" s="230">
        <f>+'ม.ค.-มี.ค.'!D77+'ม.ค.-มี.ค.'!E77+'ม.ค.-มี.ค.'!F77+'ม.ค.-มี.ค.'!G77+'ม.ค.-มี.ค.'!H77+'ม.ค.-มี.ค.'!I77+'ม.ค.-มี.ค.'!J77+'ม.ค.-มี.ค.'!K77+'ม.ค.-มี.ค.'!L77+'ม.ค.-มี.ค.'!M77+'ม.ค.-มี.ค.'!N77+'ม.ค.-มี.ค.'!O77+'ม.ค.-มี.ค.'!P77+'ม.ค.-มี.ค.'!Q77+'ม.ค.-มี.ค.'!R77+'ม.ค.-มี.ค.'!S77+'ม.ค.-มี.ค.'!U77+'ม.ค.-มี.ค.'!V77</f>
        <v>0</v>
      </c>
      <c r="F77" s="230">
        <f>+'เม.ย.-มิ.ย.'!E77+'เม.ย.-มิ.ย.'!F77+'เม.ย.-มิ.ย.'!G77+'เม.ย.-มิ.ย.'!H77+'เม.ย.-มิ.ย.'!I77+'เม.ย.-มิ.ย.'!M77+'เม.ย.-มิ.ย.'!N77+'เม.ย.-มิ.ย.'!P77+'เม.ย.-มิ.ย.'!R77+'เม.ย.-มิ.ย.'!S77</f>
        <v>0</v>
      </c>
      <c r="G77" s="498">
        <f>+'ก.ค.-ก.ย.'!D77+'ก.ค.-ก.ย.'!E77+'ก.ค.-ก.ย.'!F77+'ก.ค.-ก.ย.'!G77+'ก.ค.-ก.ย.'!H77+'ก.ค.-ก.ย.'!I77+'ก.ค.-ก.ย.'!J77+'ก.ค.-ก.ย.'!K77+'ก.ค.-ก.ย.'!L77+'ก.ค.-ก.ย.'!M77+'ก.ค.-ก.ย.'!N77+'ก.ค.-ก.ย.'!O77+'ก.ค.-ก.ย.'!P77+'ก.ค.-ก.ย.'!Q77+'ก.ค.-ก.ย.'!R77+'ก.ค.-ก.ย.'!S77+'ก.ค.-ก.ย.'!T77+'ก.ค.-ก.ย.'!U77+'ก.ค.-ก.ย.'!V77</f>
        <v>0</v>
      </c>
      <c r="H77" s="498">
        <f t="shared" si="11"/>
        <v>0</v>
      </c>
      <c r="I77" s="498">
        <f t="shared" si="9"/>
        <v>5000</v>
      </c>
    </row>
    <row r="78" spans="1:13" ht="21.75" customHeight="1">
      <c r="A78" s="9"/>
      <c r="B78" s="226" t="s">
        <v>282</v>
      </c>
      <c r="C78" s="279">
        <f>5000-5000</f>
        <v>0</v>
      </c>
      <c r="D78" s="230">
        <f>+'ต.ค.-ธ.ค.'!E79+'ต.ค.-ธ.ค.'!F79+'ต.ค.-ธ.ค.'!H79+'ต.ค.-ธ.ค.'!I79+'ต.ค.-ธ.ค.'!M79+'ต.ค.-ธ.ค.'!Q79+'ต.ค.-ธ.ค.'!S79</f>
        <v>0</v>
      </c>
      <c r="E78" s="230">
        <f>+'ม.ค.-มี.ค.'!D78+'ม.ค.-มี.ค.'!E78+'ม.ค.-มี.ค.'!F78+'ม.ค.-มี.ค.'!G78+'ม.ค.-มี.ค.'!H78+'ม.ค.-มี.ค.'!I78+'ม.ค.-มี.ค.'!J78+'ม.ค.-มี.ค.'!K78+'ม.ค.-มี.ค.'!L78+'ม.ค.-มี.ค.'!M78+'ม.ค.-มี.ค.'!N78+'ม.ค.-มี.ค.'!O78+'ม.ค.-มี.ค.'!P78+'ม.ค.-มี.ค.'!Q78+'ม.ค.-มี.ค.'!R78+'ม.ค.-มี.ค.'!S78+'ม.ค.-มี.ค.'!U78+'ม.ค.-มี.ค.'!V78</f>
        <v>0</v>
      </c>
      <c r="F78" s="230">
        <f>+'เม.ย.-มิ.ย.'!E78+'เม.ย.-มิ.ย.'!F78+'เม.ย.-มิ.ย.'!G78+'เม.ย.-มิ.ย.'!H78+'เม.ย.-มิ.ย.'!I78+'เม.ย.-มิ.ย.'!M78+'เม.ย.-มิ.ย.'!N78+'เม.ย.-มิ.ย.'!P78+'เม.ย.-มิ.ย.'!R78+'เม.ย.-มิ.ย.'!S78</f>
        <v>0</v>
      </c>
      <c r="G78" s="498">
        <f>+'ก.ค.-ก.ย.'!D78+'ก.ค.-ก.ย.'!E78+'ก.ค.-ก.ย.'!F78+'ก.ค.-ก.ย.'!G78+'ก.ค.-ก.ย.'!H78+'ก.ค.-ก.ย.'!I78+'ก.ค.-ก.ย.'!J78+'ก.ค.-ก.ย.'!K78+'ก.ค.-ก.ย.'!L78+'ก.ค.-ก.ย.'!M78+'ก.ค.-ก.ย.'!N78+'ก.ค.-ก.ย.'!O78+'ก.ค.-ก.ย.'!P78+'ก.ค.-ก.ย.'!Q78+'ก.ค.-ก.ย.'!R78+'ก.ค.-ก.ย.'!S78+'ก.ค.-ก.ย.'!T78+'ก.ค.-ก.ย.'!U78+'ก.ค.-ก.ย.'!V78</f>
        <v>0</v>
      </c>
      <c r="H78" s="498">
        <f t="shared" si="11"/>
        <v>0</v>
      </c>
      <c r="I78" s="498">
        <f t="shared" si="9"/>
        <v>0</v>
      </c>
    </row>
    <row r="79" spans="1:13" ht="21.75" customHeight="1">
      <c r="A79" s="9"/>
      <c r="B79" s="226" t="s">
        <v>238</v>
      </c>
      <c r="C79" s="279">
        <f>70000+40000+10000+20000+30000+10000+10000+5000+5000</f>
        <v>200000</v>
      </c>
      <c r="D79" s="230">
        <f>+'ต.ค.-ธ.ค.'!E80+'ต.ค.-ธ.ค.'!F80+'ต.ค.-ธ.ค.'!H80+'ต.ค.-ธ.ค.'!I80+'ต.ค.-ธ.ค.'!M80+'ต.ค.-ธ.ค.'!Q80+'ต.ค.-ธ.ค.'!S80</f>
        <v>75076</v>
      </c>
      <c r="E79" s="230">
        <f>+'ม.ค.-มี.ค.'!D79+'ม.ค.-มี.ค.'!E79+'ม.ค.-มี.ค.'!F79+'ม.ค.-มี.ค.'!G79+'ม.ค.-มี.ค.'!H79+'ม.ค.-มี.ค.'!I79+'ม.ค.-มี.ค.'!J79+'ม.ค.-มี.ค.'!K79+'ม.ค.-มี.ค.'!L79+'ม.ค.-มี.ค.'!M79+'ม.ค.-มี.ค.'!N79+'ม.ค.-มี.ค.'!O79+'ม.ค.-มี.ค.'!P79+'ม.ค.-มี.ค.'!Q79+'ม.ค.-มี.ค.'!R79+'ม.ค.-มี.ค.'!S79+'ม.ค.-มี.ค.'!U79+'ม.ค.-มี.ค.'!V79</f>
        <v>16140</v>
      </c>
      <c r="F79" s="230">
        <f>+'เม.ย.-มิ.ย.'!E79+'เม.ย.-มิ.ย.'!F79+'เม.ย.-มิ.ย.'!G79+'เม.ย.-มิ.ย.'!H79+'เม.ย.-มิ.ย.'!I79+'เม.ย.-มิ.ย.'!M79+'เม.ย.-มิ.ย.'!N79+'เม.ย.-มิ.ย.'!P79+'เม.ย.-มิ.ย.'!R79+'เม.ย.-มิ.ย.'!S79</f>
        <v>39627.040000000001</v>
      </c>
      <c r="G79" s="498">
        <f>+'ก.ค.-ก.ย.'!D79+'ก.ค.-ก.ย.'!E79+'ก.ค.-ก.ย.'!F79+'ก.ค.-ก.ย.'!G79+'ก.ค.-ก.ย.'!H79+'ก.ค.-ก.ย.'!I79+'ก.ค.-ก.ย.'!J79+'ก.ค.-ก.ย.'!K79+'ก.ค.-ก.ย.'!L79+'ก.ค.-ก.ย.'!M79+'ก.ค.-ก.ย.'!N79+'ก.ค.-ก.ย.'!O79+'ก.ค.-ก.ย.'!P79+'ก.ค.-ก.ย.'!Q79+'ก.ค.-ก.ย.'!R79+'ก.ค.-ก.ย.'!S79+'ก.ค.-ก.ย.'!T79+'ก.ค.-ก.ย.'!U79+'ก.ค.-ก.ย.'!V79</f>
        <v>42865.31</v>
      </c>
      <c r="H79" s="498">
        <f t="shared" si="11"/>
        <v>173708.35</v>
      </c>
      <c r="I79" s="498">
        <f t="shared" si="9"/>
        <v>26291.649999999994</v>
      </c>
    </row>
    <row r="80" spans="1:13" ht="21.75" customHeight="1">
      <c r="A80" s="9"/>
      <c r="B80" s="226" t="s">
        <v>121</v>
      </c>
      <c r="C80" s="279">
        <f>100000+47000+3000-140000+40000</f>
        <v>50000</v>
      </c>
      <c r="D80" s="230">
        <f>+'ต.ค.-ธ.ค.'!E81+'ต.ค.-ธ.ค.'!F81+'ต.ค.-ธ.ค.'!H81+'ต.ค.-ธ.ค.'!I81+'ต.ค.-ธ.ค.'!M81+'ต.ค.-ธ.ค.'!Q81+'ต.ค.-ธ.ค.'!S81</f>
        <v>0</v>
      </c>
      <c r="E80" s="230">
        <f>+'ม.ค.-มี.ค.'!D80+'ม.ค.-มี.ค.'!E80+'ม.ค.-มี.ค.'!F80+'ม.ค.-มี.ค.'!G80+'ม.ค.-มี.ค.'!H80+'ม.ค.-มี.ค.'!I80+'ม.ค.-มี.ค.'!J80+'ม.ค.-มี.ค.'!K80+'ม.ค.-มี.ค.'!L80+'ม.ค.-มี.ค.'!M80+'ม.ค.-มี.ค.'!N80+'ม.ค.-มี.ค.'!O80+'ม.ค.-มี.ค.'!P80+'ม.ค.-มี.ค.'!Q80+'ม.ค.-มี.ค.'!R80+'ม.ค.-มี.ค.'!S80+'ม.ค.-มี.ค.'!U80+'ม.ค.-มี.ค.'!V80</f>
        <v>0</v>
      </c>
      <c r="F80" s="230">
        <f>+'เม.ย.-มิ.ย.'!E80+'เม.ย.-มิ.ย.'!F80+'เม.ย.-มิ.ย.'!G80+'เม.ย.-มิ.ย.'!H80+'เม.ย.-มิ.ย.'!I80+'เม.ย.-มิ.ย.'!M80+'เม.ย.-มิ.ย.'!N80+'เม.ย.-มิ.ย.'!P80+'เม.ย.-มิ.ย.'!R80+'เม.ย.-มิ.ย.'!S80</f>
        <v>23586</v>
      </c>
      <c r="G80" s="498">
        <f>+'ก.ค.-ก.ย.'!D80+'ก.ค.-ก.ย.'!E80+'ก.ค.-ก.ย.'!F80+'ก.ค.-ก.ย.'!G80+'ก.ค.-ก.ย.'!H80+'ก.ค.-ก.ย.'!I80+'ก.ค.-ก.ย.'!J80+'ก.ค.-ก.ย.'!K80+'ก.ค.-ก.ย.'!L80+'ก.ค.-ก.ย.'!M80+'ก.ค.-ก.ย.'!N80+'ก.ค.-ก.ย.'!O80+'ก.ค.-ก.ย.'!P80+'ก.ค.-ก.ย.'!Q80+'ก.ค.-ก.ย.'!R80+'ก.ค.-ก.ย.'!S80+'ก.ค.-ก.ย.'!T80+'ก.ค.-ก.ย.'!U80+'ก.ค.-ก.ย.'!V80</f>
        <v>0</v>
      </c>
      <c r="H80" s="498">
        <f t="shared" si="11"/>
        <v>23586</v>
      </c>
      <c r="I80" s="498">
        <f t="shared" si="9"/>
        <v>26414</v>
      </c>
    </row>
    <row r="81" spans="1:9" ht="21.75" customHeight="1">
      <c r="A81" s="9"/>
      <c r="B81" s="226" t="s">
        <v>295</v>
      </c>
      <c r="C81" s="279">
        <f>40000+50000+100000+200000+21600</f>
        <v>411600</v>
      </c>
      <c r="D81" s="230">
        <f>+'ต.ค.-ธ.ค.'!E82+'ต.ค.-ธ.ค.'!F82+'ต.ค.-ธ.ค.'!H82+'ต.ค.-ธ.ค.'!I82+'ต.ค.-ธ.ค.'!M82+'ต.ค.-ธ.ค.'!Q82+'ต.ค.-ธ.ค.'!S82</f>
        <v>0</v>
      </c>
      <c r="E81" s="230">
        <f>+'ม.ค.-มี.ค.'!D81+'ม.ค.-มี.ค.'!E81+'ม.ค.-มี.ค.'!F81+'ม.ค.-มี.ค.'!G81+'ม.ค.-มี.ค.'!H81+'ม.ค.-มี.ค.'!I81+'ม.ค.-มี.ค.'!J81+'ม.ค.-มี.ค.'!K81+'ม.ค.-มี.ค.'!L81+'ม.ค.-มี.ค.'!M81+'ม.ค.-มี.ค.'!N81+'ม.ค.-มี.ค.'!O81+'ม.ค.-มี.ค.'!P81+'ม.ค.-มี.ค.'!Q81+'ม.ค.-มี.ค.'!R81+'ม.ค.-มี.ค.'!S81+'ม.ค.-มี.ค.'!U81+'ม.ค.-มี.ค.'!V81</f>
        <v>81290</v>
      </c>
      <c r="F81" s="230">
        <f>+'เม.ย.-มิ.ย.'!E81+'เม.ย.-มิ.ย.'!F81+'เม.ย.-มิ.ย.'!G81+'เม.ย.-มิ.ย.'!H81+'เม.ย.-มิ.ย.'!I81+'เม.ย.-มิ.ย.'!M81+'เม.ย.-มิ.ย.'!N81+'เม.ย.-มิ.ย.'!P81+'เม.ย.-มิ.ย.'!R81+'เม.ย.-มิ.ย.'!S81</f>
        <v>4918</v>
      </c>
      <c r="G81" s="498">
        <f>+'ก.ค.-ก.ย.'!D81+'ก.ค.-ก.ย.'!E81+'ก.ค.-ก.ย.'!F81+'ก.ค.-ก.ย.'!G81+'ก.ค.-ก.ย.'!H81+'ก.ค.-ก.ย.'!I81+'ก.ค.-ก.ย.'!J81+'ก.ค.-ก.ย.'!K81+'ก.ค.-ก.ย.'!L81+'ก.ค.-ก.ย.'!M81+'ก.ค.-ก.ย.'!N81+'ก.ค.-ก.ย.'!O81+'ก.ค.-ก.ย.'!P81+'ก.ค.-ก.ย.'!Q81+'ก.ค.-ก.ย.'!R81+'ก.ค.-ก.ย.'!S81+'ก.ค.-ก.ย.'!T81+'ก.ค.-ก.ย.'!U81+'ก.ค.-ก.ย.'!V81</f>
        <v>316421</v>
      </c>
      <c r="H81" s="498">
        <f t="shared" si="11"/>
        <v>402629</v>
      </c>
      <c r="I81" s="498">
        <f t="shared" si="9"/>
        <v>8971</v>
      </c>
    </row>
    <row r="82" spans="1:9" ht="21.75" customHeight="1">
      <c r="A82" s="9"/>
      <c r="B82" s="226" t="s">
        <v>296</v>
      </c>
      <c r="C82" s="279">
        <v>30000</v>
      </c>
      <c r="D82" s="230">
        <f>+'ต.ค.-ธ.ค.'!E83+'ต.ค.-ธ.ค.'!F83+'ต.ค.-ธ.ค.'!H83+'ต.ค.-ธ.ค.'!I83+'ต.ค.-ธ.ค.'!M83+'ต.ค.-ธ.ค.'!Q83+'ต.ค.-ธ.ค.'!S83</f>
        <v>0</v>
      </c>
      <c r="E82" s="230">
        <f>+'ม.ค.-มี.ค.'!D82+'ม.ค.-มี.ค.'!E82+'ม.ค.-มี.ค.'!F82+'ม.ค.-มี.ค.'!G82+'ม.ค.-มี.ค.'!H82+'ม.ค.-มี.ค.'!I82+'ม.ค.-มี.ค.'!J82+'ม.ค.-มี.ค.'!K82+'ม.ค.-มี.ค.'!L82+'ม.ค.-มี.ค.'!M82+'ม.ค.-มี.ค.'!N82+'ม.ค.-มี.ค.'!O82+'ม.ค.-มี.ค.'!P82+'ม.ค.-มี.ค.'!Q82+'ม.ค.-มี.ค.'!R82+'ม.ค.-มี.ค.'!S82+'ม.ค.-มี.ค.'!U82+'ม.ค.-มี.ค.'!V82</f>
        <v>14920</v>
      </c>
      <c r="F82" s="230">
        <f>+'เม.ย.-มิ.ย.'!E82+'เม.ย.-มิ.ย.'!F82+'เม.ย.-มิ.ย.'!G82+'เม.ย.-มิ.ย.'!H82+'เม.ย.-มิ.ย.'!I82+'เม.ย.-มิ.ย.'!M82+'เม.ย.-มิ.ย.'!N82+'เม.ย.-มิ.ย.'!P82+'เม.ย.-มิ.ย.'!R82+'เม.ย.-มิ.ย.'!S82</f>
        <v>14770</v>
      </c>
      <c r="G82" s="498">
        <f>+'ก.ค.-ก.ย.'!D82+'ก.ค.-ก.ย.'!E82+'ก.ค.-ก.ย.'!F82+'ก.ค.-ก.ย.'!G82+'ก.ค.-ก.ย.'!H82+'ก.ค.-ก.ย.'!I82+'ก.ค.-ก.ย.'!J82+'ก.ค.-ก.ย.'!K82+'ก.ค.-ก.ย.'!L82+'ก.ค.-ก.ย.'!M82+'ก.ค.-ก.ย.'!N82+'ก.ค.-ก.ย.'!O82+'ก.ค.-ก.ย.'!P82+'ก.ค.-ก.ย.'!Q82+'ก.ค.-ก.ย.'!R82+'ก.ค.-ก.ย.'!S82+'ก.ค.-ก.ย.'!T82+'ก.ค.-ก.ย.'!U82+'ก.ค.-ก.ย.'!V82</f>
        <v>0</v>
      </c>
      <c r="H82" s="498">
        <f t="shared" si="11"/>
        <v>29690</v>
      </c>
      <c r="I82" s="230">
        <f t="shared" si="9"/>
        <v>310</v>
      </c>
    </row>
    <row r="83" spans="1:9" ht="21.75" customHeight="1">
      <c r="A83" s="9"/>
      <c r="B83" s="226" t="s">
        <v>210</v>
      </c>
      <c r="C83" s="279">
        <f>10000-10000</f>
        <v>0</v>
      </c>
      <c r="D83" s="230">
        <f>+'ต.ค.-ธ.ค.'!E84+'ต.ค.-ธ.ค.'!F84+'ต.ค.-ธ.ค.'!H84+'ต.ค.-ธ.ค.'!I84+'ต.ค.-ธ.ค.'!M84+'ต.ค.-ธ.ค.'!Q84+'ต.ค.-ธ.ค.'!S84</f>
        <v>0</v>
      </c>
      <c r="E83" s="230">
        <f>+'ม.ค.-มี.ค.'!D83+'ม.ค.-มี.ค.'!E83+'ม.ค.-มี.ค.'!F83+'ม.ค.-มี.ค.'!G83+'ม.ค.-มี.ค.'!H83+'ม.ค.-มี.ค.'!I83+'ม.ค.-มี.ค.'!J83+'ม.ค.-มี.ค.'!K83+'ม.ค.-มี.ค.'!L83+'ม.ค.-มี.ค.'!M83+'ม.ค.-มี.ค.'!N83+'ม.ค.-มี.ค.'!O83+'ม.ค.-มี.ค.'!P83+'ม.ค.-มี.ค.'!Q83+'ม.ค.-มี.ค.'!R83+'ม.ค.-มี.ค.'!S83+'ม.ค.-มี.ค.'!U83+'ม.ค.-มี.ค.'!V83</f>
        <v>0</v>
      </c>
      <c r="F83" s="230">
        <f>+'เม.ย.-มิ.ย.'!E83+'เม.ย.-มิ.ย.'!F83+'เม.ย.-มิ.ย.'!G83+'เม.ย.-มิ.ย.'!H83+'เม.ย.-มิ.ย.'!I83+'เม.ย.-มิ.ย.'!M83+'เม.ย.-มิ.ย.'!N83+'เม.ย.-มิ.ย.'!P83+'เม.ย.-มิ.ย.'!R83+'เม.ย.-มิ.ย.'!S83</f>
        <v>0</v>
      </c>
      <c r="G83" s="498">
        <f>+'ก.ค.-ก.ย.'!D83+'ก.ค.-ก.ย.'!E83+'ก.ค.-ก.ย.'!F83+'ก.ค.-ก.ย.'!G83+'ก.ค.-ก.ย.'!H83+'ก.ค.-ก.ย.'!I83+'ก.ค.-ก.ย.'!J83+'ก.ค.-ก.ย.'!K83+'ก.ค.-ก.ย.'!L83+'ก.ค.-ก.ย.'!M83+'ก.ค.-ก.ย.'!N83+'ก.ค.-ก.ย.'!O83+'ก.ค.-ก.ย.'!P83+'ก.ค.-ก.ย.'!Q83+'ก.ค.-ก.ย.'!R83+'ก.ค.-ก.ย.'!S83+'ก.ค.-ก.ย.'!T83+'ก.ค.-ก.ย.'!U83+'ก.ค.-ก.ย.'!V83</f>
        <v>0</v>
      </c>
      <c r="H83" s="498">
        <f t="shared" si="11"/>
        <v>0</v>
      </c>
      <c r="I83" s="230">
        <f t="shared" ref="I83:I114" si="12">+C83-H83</f>
        <v>0</v>
      </c>
    </row>
    <row r="84" spans="1:9" ht="21.75" customHeight="1">
      <c r="A84" s="9"/>
      <c r="B84" s="187" t="s">
        <v>297</v>
      </c>
      <c r="C84" s="279">
        <f>20000-20000</f>
        <v>0</v>
      </c>
      <c r="D84" s="230">
        <f>+'ต.ค.-ธ.ค.'!E85+'ต.ค.-ธ.ค.'!F85+'ต.ค.-ธ.ค.'!H85+'ต.ค.-ธ.ค.'!I85+'ต.ค.-ธ.ค.'!M85+'ต.ค.-ธ.ค.'!Q85+'ต.ค.-ธ.ค.'!S85</f>
        <v>0</v>
      </c>
      <c r="E84" s="230">
        <f>+'ม.ค.-มี.ค.'!D84+'ม.ค.-มี.ค.'!E84+'ม.ค.-มี.ค.'!F84+'ม.ค.-มี.ค.'!G84+'ม.ค.-มี.ค.'!H84+'ม.ค.-มี.ค.'!I84+'ม.ค.-มี.ค.'!J84+'ม.ค.-มี.ค.'!K84+'ม.ค.-มี.ค.'!L84+'ม.ค.-มี.ค.'!M84+'ม.ค.-มี.ค.'!N84+'ม.ค.-มี.ค.'!O84+'ม.ค.-มี.ค.'!P84+'ม.ค.-มี.ค.'!Q84+'ม.ค.-มี.ค.'!R84+'ม.ค.-มี.ค.'!S84+'ม.ค.-มี.ค.'!U84+'ม.ค.-มี.ค.'!V84</f>
        <v>0</v>
      </c>
      <c r="F84" s="230">
        <f>+'เม.ย.-มิ.ย.'!E84+'เม.ย.-มิ.ย.'!F84+'เม.ย.-มิ.ย.'!G84+'เม.ย.-มิ.ย.'!H84+'เม.ย.-มิ.ย.'!I84+'เม.ย.-มิ.ย.'!M84+'เม.ย.-มิ.ย.'!N84+'เม.ย.-มิ.ย.'!P84+'เม.ย.-มิ.ย.'!R84+'เม.ย.-มิ.ย.'!S84</f>
        <v>0</v>
      </c>
      <c r="G84" s="498">
        <f>+'ก.ค.-ก.ย.'!D84+'ก.ค.-ก.ย.'!E84+'ก.ค.-ก.ย.'!F84+'ก.ค.-ก.ย.'!G84+'ก.ค.-ก.ย.'!H84+'ก.ค.-ก.ย.'!I84+'ก.ค.-ก.ย.'!J84+'ก.ค.-ก.ย.'!K84+'ก.ค.-ก.ย.'!L84+'ก.ค.-ก.ย.'!M84+'ก.ค.-ก.ย.'!N84+'ก.ค.-ก.ย.'!O84+'ก.ค.-ก.ย.'!P84+'ก.ค.-ก.ย.'!Q84+'ก.ค.-ก.ย.'!R84+'ก.ค.-ก.ย.'!S84+'ก.ค.-ก.ย.'!T84+'ก.ค.-ก.ย.'!U84+'ก.ค.-ก.ย.'!V84</f>
        <v>0</v>
      </c>
      <c r="H84" s="498">
        <f t="shared" si="11"/>
        <v>0</v>
      </c>
      <c r="I84" s="230">
        <f t="shared" si="12"/>
        <v>0</v>
      </c>
    </row>
    <row r="85" spans="1:9" ht="21.75" customHeight="1">
      <c r="A85" s="9"/>
      <c r="B85" s="187" t="s">
        <v>298</v>
      </c>
      <c r="C85" s="279">
        <v>20000</v>
      </c>
      <c r="D85" s="230">
        <f>+'ต.ค.-ธ.ค.'!E86+'ต.ค.-ธ.ค.'!F86+'ต.ค.-ธ.ค.'!H86+'ต.ค.-ธ.ค.'!I86+'ต.ค.-ธ.ค.'!M86+'ต.ค.-ธ.ค.'!Q86+'ต.ค.-ธ.ค.'!S86</f>
        <v>0</v>
      </c>
      <c r="E85" s="230">
        <f>+'ม.ค.-มี.ค.'!D85+'ม.ค.-มี.ค.'!E85+'ม.ค.-มี.ค.'!F85+'ม.ค.-มี.ค.'!G85+'ม.ค.-มี.ค.'!H85+'ม.ค.-มี.ค.'!I85+'ม.ค.-มี.ค.'!J85+'ม.ค.-มี.ค.'!K85+'ม.ค.-มี.ค.'!L85+'ม.ค.-มี.ค.'!M85+'ม.ค.-มี.ค.'!N85+'ม.ค.-มี.ค.'!O85+'ม.ค.-มี.ค.'!P85+'ม.ค.-มี.ค.'!Q85+'ม.ค.-มี.ค.'!R85+'ม.ค.-มี.ค.'!S85+'ม.ค.-มี.ค.'!U85+'ม.ค.-มี.ค.'!V85</f>
        <v>0</v>
      </c>
      <c r="F85" s="230">
        <f>+'เม.ย.-มิ.ย.'!E85+'เม.ย.-มิ.ย.'!F85+'เม.ย.-มิ.ย.'!G85+'เม.ย.-มิ.ย.'!H85+'เม.ย.-มิ.ย.'!I85+'เม.ย.-มิ.ย.'!M85+'เม.ย.-มิ.ย.'!N85+'เม.ย.-มิ.ย.'!P85+'เม.ย.-มิ.ย.'!R85+'เม.ย.-มิ.ย.'!S85</f>
        <v>0</v>
      </c>
      <c r="G85" s="498">
        <f>+'ก.ค.-ก.ย.'!D85+'ก.ค.-ก.ย.'!E85+'ก.ค.-ก.ย.'!F85+'ก.ค.-ก.ย.'!G85+'ก.ค.-ก.ย.'!H85+'ก.ค.-ก.ย.'!I85+'ก.ค.-ก.ย.'!J85+'ก.ค.-ก.ย.'!K85+'ก.ค.-ก.ย.'!L85+'ก.ค.-ก.ย.'!M85+'ก.ค.-ก.ย.'!N85+'ก.ค.-ก.ย.'!O85+'ก.ค.-ก.ย.'!P85+'ก.ค.-ก.ย.'!Q85+'ก.ค.-ก.ย.'!R85+'ก.ค.-ก.ย.'!S85+'ก.ค.-ก.ย.'!T85+'ก.ค.-ก.ย.'!U85+'ก.ค.-ก.ย.'!V85</f>
        <v>9825</v>
      </c>
      <c r="H85" s="498">
        <f t="shared" si="11"/>
        <v>9825</v>
      </c>
      <c r="I85" s="230">
        <f t="shared" si="12"/>
        <v>10175</v>
      </c>
    </row>
    <row r="86" spans="1:9" ht="21.75" customHeight="1">
      <c r="A86" s="9"/>
      <c r="B86" s="187" t="s">
        <v>299</v>
      </c>
      <c r="C86" s="279">
        <v>15000</v>
      </c>
      <c r="D86" s="230">
        <f>+'ต.ค.-ธ.ค.'!E87+'ต.ค.-ธ.ค.'!F87+'ต.ค.-ธ.ค.'!H87+'ต.ค.-ธ.ค.'!I87+'ต.ค.-ธ.ค.'!M87+'ต.ค.-ธ.ค.'!Q87+'ต.ค.-ธ.ค.'!S87</f>
        <v>0</v>
      </c>
      <c r="E86" s="230">
        <f>+'ม.ค.-มี.ค.'!D86+'ม.ค.-มี.ค.'!E86+'ม.ค.-มี.ค.'!F86+'ม.ค.-มี.ค.'!G86+'ม.ค.-มี.ค.'!H86+'ม.ค.-มี.ค.'!I86+'ม.ค.-มี.ค.'!J86+'ม.ค.-มี.ค.'!K86+'ม.ค.-มี.ค.'!L86+'ม.ค.-มี.ค.'!M86+'ม.ค.-มี.ค.'!N86+'ม.ค.-มี.ค.'!O86+'ม.ค.-มี.ค.'!P86+'ม.ค.-มี.ค.'!Q86+'ม.ค.-มี.ค.'!R86+'ม.ค.-มี.ค.'!S86+'ม.ค.-มี.ค.'!U86+'ม.ค.-มี.ค.'!V86</f>
        <v>0</v>
      </c>
      <c r="F86" s="230">
        <f>+'เม.ย.-มิ.ย.'!E86+'เม.ย.-มิ.ย.'!F86+'เม.ย.-มิ.ย.'!G86+'เม.ย.-มิ.ย.'!H86+'เม.ย.-มิ.ย.'!I86+'เม.ย.-มิ.ย.'!M86+'เม.ย.-มิ.ย.'!N86+'เม.ย.-มิ.ย.'!P86+'เม.ย.-มิ.ย.'!R86+'เม.ย.-มิ.ย.'!S86</f>
        <v>15000</v>
      </c>
      <c r="G86" s="498">
        <f>+'ก.ค.-ก.ย.'!D86+'ก.ค.-ก.ย.'!E86+'ก.ค.-ก.ย.'!F86+'ก.ค.-ก.ย.'!G86+'ก.ค.-ก.ย.'!H86+'ก.ค.-ก.ย.'!I86+'ก.ค.-ก.ย.'!J86+'ก.ค.-ก.ย.'!K86+'ก.ค.-ก.ย.'!L86+'ก.ค.-ก.ย.'!M86+'ก.ค.-ก.ย.'!N86+'ก.ค.-ก.ย.'!O86+'ก.ค.-ก.ย.'!P86+'ก.ค.-ก.ย.'!Q86+'ก.ค.-ก.ย.'!R86+'ก.ค.-ก.ย.'!S86+'ก.ค.-ก.ย.'!T86+'ก.ค.-ก.ย.'!U86+'ก.ค.-ก.ย.'!V86</f>
        <v>0</v>
      </c>
      <c r="H86" s="498">
        <f t="shared" si="11"/>
        <v>15000</v>
      </c>
      <c r="I86" s="230">
        <f t="shared" si="12"/>
        <v>0</v>
      </c>
    </row>
    <row r="87" spans="1:9" ht="21.75" customHeight="1">
      <c r="A87" s="9"/>
      <c r="B87" s="187" t="s">
        <v>300</v>
      </c>
      <c r="C87" s="279">
        <v>10000</v>
      </c>
      <c r="D87" s="230">
        <f>+'ต.ค.-ธ.ค.'!E88+'ต.ค.-ธ.ค.'!F88+'ต.ค.-ธ.ค.'!H88+'ต.ค.-ธ.ค.'!I88+'ต.ค.-ธ.ค.'!M88+'ต.ค.-ธ.ค.'!Q88+'ต.ค.-ธ.ค.'!S88</f>
        <v>10000</v>
      </c>
      <c r="E87" s="230">
        <f>+'ม.ค.-มี.ค.'!D87+'ม.ค.-มี.ค.'!E87+'ม.ค.-มี.ค.'!F87+'ม.ค.-มี.ค.'!G87+'ม.ค.-มี.ค.'!H87+'ม.ค.-มี.ค.'!I87+'ม.ค.-มี.ค.'!J87+'ม.ค.-มี.ค.'!K87+'ม.ค.-มี.ค.'!L87+'ม.ค.-มี.ค.'!M87+'ม.ค.-มี.ค.'!N87+'ม.ค.-มี.ค.'!O87+'ม.ค.-มี.ค.'!P87+'ม.ค.-มี.ค.'!Q87+'ม.ค.-มี.ค.'!R87+'ม.ค.-มี.ค.'!S87+'ม.ค.-มี.ค.'!U87+'ม.ค.-มี.ค.'!V87</f>
        <v>0</v>
      </c>
      <c r="F87" s="230">
        <f>+'เม.ย.-มิ.ย.'!E87+'เม.ย.-มิ.ย.'!F87+'เม.ย.-มิ.ย.'!G87+'เม.ย.-มิ.ย.'!H87+'เม.ย.-มิ.ย.'!I87+'เม.ย.-มิ.ย.'!M87+'เม.ย.-มิ.ย.'!N87+'เม.ย.-มิ.ย.'!P87+'เม.ย.-มิ.ย.'!R87+'เม.ย.-มิ.ย.'!S87</f>
        <v>0</v>
      </c>
      <c r="G87" s="498">
        <f>+'ก.ค.-ก.ย.'!D87+'ก.ค.-ก.ย.'!E87+'ก.ค.-ก.ย.'!F87+'ก.ค.-ก.ย.'!G87+'ก.ค.-ก.ย.'!H87+'ก.ค.-ก.ย.'!I87+'ก.ค.-ก.ย.'!J87+'ก.ค.-ก.ย.'!K87+'ก.ค.-ก.ย.'!L87+'ก.ค.-ก.ย.'!M87+'ก.ค.-ก.ย.'!N87+'ก.ค.-ก.ย.'!O87+'ก.ค.-ก.ย.'!P87+'ก.ค.-ก.ย.'!Q87+'ก.ค.-ก.ย.'!R87+'ก.ค.-ก.ย.'!S87+'ก.ค.-ก.ย.'!T87+'ก.ค.-ก.ย.'!U87+'ก.ค.-ก.ย.'!V87</f>
        <v>0</v>
      </c>
      <c r="H87" s="498">
        <f t="shared" si="11"/>
        <v>10000</v>
      </c>
      <c r="I87" s="230">
        <f t="shared" si="12"/>
        <v>0</v>
      </c>
    </row>
    <row r="88" spans="1:9" ht="21.75" customHeight="1">
      <c r="A88" s="9"/>
      <c r="B88" s="187" t="s">
        <v>301</v>
      </c>
      <c r="C88" s="279">
        <v>345100</v>
      </c>
      <c r="D88" s="230">
        <f>+'ต.ค.-ธ.ค.'!E89+'ต.ค.-ธ.ค.'!F89+'ต.ค.-ธ.ค.'!H89+'ต.ค.-ธ.ค.'!I89+'ต.ค.-ธ.ค.'!M89+'ต.ค.-ธ.ค.'!Q89+'ต.ค.-ธ.ค.'!S89</f>
        <v>345100</v>
      </c>
      <c r="E88" s="230">
        <f>+'ม.ค.-มี.ค.'!D88+'ม.ค.-มี.ค.'!E88+'ม.ค.-มี.ค.'!F88+'ม.ค.-มี.ค.'!G88+'ม.ค.-มี.ค.'!H88+'ม.ค.-มี.ค.'!I88+'ม.ค.-มี.ค.'!J88+'ม.ค.-มี.ค.'!K88+'ม.ค.-มี.ค.'!L88+'ม.ค.-มี.ค.'!M88+'ม.ค.-มี.ค.'!N88+'ม.ค.-มี.ค.'!O88+'ม.ค.-มี.ค.'!P88+'ม.ค.-มี.ค.'!Q88+'ม.ค.-มี.ค.'!R88+'ม.ค.-มี.ค.'!S88+'ม.ค.-มี.ค.'!U88+'ม.ค.-มี.ค.'!V88</f>
        <v>0</v>
      </c>
      <c r="F88" s="230">
        <f>+'เม.ย.-มิ.ย.'!E88+'เม.ย.-มิ.ย.'!F88+'เม.ย.-มิ.ย.'!G88+'เม.ย.-มิ.ย.'!H88+'เม.ย.-มิ.ย.'!I88+'เม.ย.-มิ.ย.'!M88+'เม.ย.-มิ.ย.'!N88+'เม.ย.-มิ.ย.'!P88+'เม.ย.-มิ.ย.'!R88+'เม.ย.-มิ.ย.'!S88</f>
        <v>0</v>
      </c>
      <c r="G88" s="498">
        <f>+'ก.ค.-ก.ย.'!D88+'ก.ค.-ก.ย.'!E88+'ก.ค.-ก.ย.'!F88+'ก.ค.-ก.ย.'!G88+'ก.ค.-ก.ย.'!H88+'ก.ค.-ก.ย.'!I88+'ก.ค.-ก.ย.'!J88+'ก.ค.-ก.ย.'!K88+'ก.ค.-ก.ย.'!L88+'ก.ค.-ก.ย.'!M88+'ก.ค.-ก.ย.'!N88+'ก.ค.-ก.ย.'!O88+'ก.ค.-ก.ย.'!P88+'ก.ค.-ก.ย.'!Q88+'ก.ค.-ก.ย.'!R88+'ก.ค.-ก.ย.'!S88+'ก.ค.-ก.ย.'!T88+'ก.ค.-ก.ย.'!U88+'ก.ค.-ก.ย.'!V88</f>
        <v>0</v>
      </c>
      <c r="H88" s="498">
        <f t="shared" si="11"/>
        <v>345100</v>
      </c>
      <c r="I88" s="230">
        <f t="shared" si="12"/>
        <v>0</v>
      </c>
    </row>
    <row r="89" spans="1:9" ht="21.75" customHeight="1">
      <c r="A89" s="9"/>
      <c r="B89" s="187" t="s">
        <v>242</v>
      </c>
      <c r="C89" s="279">
        <v>40000</v>
      </c>
      <c r="D89" s="230">
        <f>+'ต.ค.-ธ.ค.'!E90+'ต.ค.-ธ.ค.'!F90+'ต.ค.-ธ.ค.'!H90+'ต.ค.-ธ.ค.'!I90+'ต.ค.-ธ.ค.'!M90+'ต.ค.-ธ.ค.'!Q90+'ต.ค.-ธ.ค.'!S90</f>
        <v>0</v>
      </c>
      <c r="E89" s="230">
        <f>+'ม.ค.-มี.ค.'!D89+'ม.ค.-มี.ค.'!E89+'ม.ค.-มี.ค.'!F89+'ม.ค.-มี.ค.'!G89+'ม.ค.-มี.ค.'!H89+'ม.ค.-มี.ค.'!I89+'ม.ค.-มี.ค.'!J89+'ม.ค.-มี.ค.'!K89+'ม.ค.-มี.ค.'!L89+'ม.ค.-มี.ค.'!M89+'ม.ค.-มี.ค.'!N89+'ม.ค.-มี.ค.'!O89+'ม.ค.-มี.ค.'!P89+'ม.ค.-มี.ค.'!Q89+'ม.ค.-มี.ค.'!R89+'ม.ค.-มี.ค.'!S89+'ม.ค.-มี.ค.'!U89+'ม.ค.-มี.ค.'!V89</f>
        <v>40000</v>
      </c>
      <c r="F89" s="230">
        <f>+'เม.ย.-มิ.ย.'!E89+'เม.ย.-มิ.ย.'!F89+'เม.ย.-มิ.ย.'!G89+'เม.ย.-มิ.ย.'!H89+'เม.ย.-มิ.ย.'!I89+'เม.ย.-มิ.ย.'!M89+'เม.ย.-มิ.ย.'!N89+'เม.ย.-มิ.ย.'!P89+'เม.ย.-มิ.ย.'!R89+'เม.ย.-มิ.ย.'!S89</f>
        <v>0</v>
      </c>
      <c r="G89" s="498">
        <f>+'ก.ค.-ก.ย.'!D89+'ก.ค.-ก.ย.'!E89+'ก.ค.-ก.ย.'!F89+'ก.ค.-ก.ย.'!G89+'ก.ค.-ก.ย.'!H89+'ก.ค.-ก.ย.'!I89+'ก.ค.-ก.ย.'!J89+'ก.ค.-ก.ย.'!K89+'ก.ค.-ก.ย.'!L89+'ก.ค.-ก.ย.'!M89+'ก.ค.-ก.ย.'!N89+'ก.ค.-ก.ย.'!O89+'ก.ค.-ก.ย.'!P89+'ก.ค.-ก.ย.'!Q89+'ก.ค.-ก.ย.'!R89+'ก.ค.-ก.ย.'!S89+'ก.ค.-ก.ย.'!T89+'ก.ค.-ก.ย.'!U89+'ก.ค.-ก.ย.'!V89</f>
        <v>0</v>
      </c>
      <c r="H89" s="498">
        <f t="shared" si="11"/>
        <v>40000</v>
      </c>
      <c r="I89" s="230">
        <f t="shared" si="12"/>
        <v>0</v>
      </c>
    </row>
    <row r="90" spans="1:9" ht="21.75" customHeight="1">
      <c r="A90" s="9"/>
      <c r="B90" s="187" t="s">
        <v>307</v>
      </c>
      <c r="C90" s="279">
        <f>10000-10000</f>
        <v>0</v>
      </c>
      <c r="D90" s="230">
        <f>+'ต.ค.-ธ.ค.'!E91+'ต.ค.-ธ.ค.'!F91+'ต.ค.-ธ.ค.'!H91+'ต.ค.-ธ.ค.'!I91+'ต.ค.-ธ.ค.'!M91+'ต.ค.-ธ.ค.'!Q91+'ต.ค.-ธ.ค.'!S91</f>
        <v>0</v>
      </c>
      <c r="E90" s="230">
        <f>+'ม.ค.-มี.ค.'!D90+'ม.ค.-มี.ค.'!E90+'ม.ค.-มี.ค.'!F90+'ม.ค.-มี.ค.'!G90+'ม.ค.-มี.ค.'!H90+'ม.ค.-มี.ค.'!I90+'ม.ค.-มี.ค.'!J90+'ม.ค.-มี.ค.'!K90+'ม.ค.-มี.ค.'!L90+'ม.ค.-มี.ค.'!M90+'ม.ค.-มี.ค.'!N90+'ม.ค.-มี.ค.'!O90+'ม.ค.-มี.ค.'!P90+'ม.ค.-มี.ค.'!Q90+'ม.ค.-มี.ค.'!R90+'ม.ค.-มี.ค.'!S90+'ม.ค.-มี.ค.'!U90+'ม.ค.-มี.ค.'!V90</f>
        <v>0</v>
      </c>
      <c r="F90" s="230">
        <f>+'เม.ย.-มิ.ย.'!E90+'เม.ย.-มิ.ย.'!F90+'เม.ย.-มิ.ย.'!G90+'เม.ย.-มิ.ย.'!H90+'เม.ย.-มิ.ย.'!I90+'เม.ย.-มิ.ย.'!M90+'เม.ย.-มิ.ย.'!N90+'เม.ย.-มิ.ย.'!P90+'เม.ย.-มิ.ย.'!R90+'เม.ย.-มิ.ย.'!S90</f>
        <v>0</v>
      </c>
      <c r="G90" s="498">
        <f>+'ก.ค.-ก.ย.'!D90+'ก.ค.-ก.ย.'!E90+'ก.ค.-ก.ย.'!F90+'ก.ค.-ก.ย.'!G90+'ก.ค.-ก.ย.'!H90+'ก.ค.-ก.ย.'!I90+'ก.ค.-ก.ย.'!J90+'ก.ค.-ก.ย.'!K90+'ก.ค.-ก.ย.'!L90+'ก.ค.-ก.ย.'!M90+'ก.ค.-ก.ย.'!N90+'ก.ค.-ก.ย.'!O90+'ก.ค.-ก.ย.'!P90+'ก.ค.-ก.ย.'!Q90+'ก.ค.-ก.ย.'!R90+'ก.ค.-ก.ย.'!S90+'ก.ค.-ก.ย.'!T90+'ก.ค.-ก.ย.'!U90+'ก.ค.-ก.ย.'!V90</f>
        <v>0</v>
      </c>
      <c r="H90" s="498">
        <f t="shared" si="11"/>
        <v>0</v>
      </c>
      <c r="I90" s="230">
        <f t="shared" si="12"/>
        <v>0</v>
      </c>
    </row>
    <row r="91" spans="1:9" ht="21.75" customHeight="1">
      <c r="A91" s="9"/>
      <c r="B91" s="187" t="s">
        <v>134</v>
      </c>
      <c r="C91" s="279">
        <f>15000-10000</f>
        <v>5000</v>
      </c>
      <c r="D91" s="230">
        <f>+'ต.ค.-ธ.ค.'!E92+'ต.ค.-ธ.ค.'!F92+'ต.ค.-ธ.ค.'!H92+'ต.ค.-ธ.ค.'!I92+'ต.ค.-ธ.ค.'!M92+'ต.ค.-ธ.ค.'!Q92+'ต.ค.-ธ.ค.'!S92</f>
        <v>0</v>
      </c>
      <c r="E91" s="230">
        <f>+'ม.ค.-มี.ค.'!D91+'ม.ค.-มี.ค.'!E91+'ม.ค.-มี.ค.'!F91+'ม.ค.-มี.ค.'!G91+'ม.ค.-มี.ค.'!H91+'ม.ค.-มี.ค.'!I91+'ม.ค.-มี.ค.'!J91+'ม.ค.-มี.ค.'!K91+'ม.ค.-มี.ค.'!L91+'ม.ค.-มี.ค.'!M91+'ม.ค.-มี.ค.'!N91+'ม.ค.-มี.ค.'!O91+'ม.ค.-มี.ค.'!P91+'ม.ค.-มี.ค.'!Q91+'ม.ค.-มี.ค.'!R91+'ม.ค.-มี.ค.'!S91+'ม.ค.-มี.ค.'!U91+'ม.ค.-มี.ค.'!V91</f>
        <v>0</v>
      </c>
      <c r="F91" s="230">
        <f>+'เม.ย.-มิ.ย.'!E91+'เม.ย.-มิ.ย.'!F91+'เม.ย.-มิ.ย.'!G91+'เม.ย.-มิ.ย.'!H91+'เม.ย.-มิ.ย.'!I91+'เม.ย.-มิ.ย.'!M91+'เม.ย.-มิ.ย.'!N91+'เม.ย.-มิ.ย.'!P91+'เม.ย.-มิ.ย.'!R91+'เม.ย.-มิ.ย.'!S91</f>
        <v>5000</v>
      </c>
      <c r="G91" s="498">
        <f>+'ก.ค.-ก.ย.'!D91+'ก.ค.-ก.ย.'!E91+'ก.ค.-ก.ย.'!F91+'ก.ค.-ก.ย.'!G91+'ก.ค.-ก.ย.'!H91+'ก.ค.-ก.ย.'!I91+'ก.ค.-ก.ย.'!J91+'ก.ค.-ก.ย.'!K91+'ก.ค.-ก.ย.'!L91+'ก.ค.-ก.ย.'!M91+'ก.ค.-ก.ย.'!N91+'ก.ค.-ก.ย.'!O91+'ก.ค.-ก.ย.'!P91+'ก.ค.-ก.ย.'!Q91+'ก.ค.-ก.ย.'!R91+'ก.ค.-ก.ย.'!S91+'ก.ค.-ก.ย.'!T91+'ก.ค.-ก.ย.'!U91+'ก.ค.-ก.ย.'!V91</f>
        <v>0</v>
      </c>
      <c r="H91" s="498">
        <f t="shared" si="11"/>
        <v>5000</v>
      </c>
      <c r="I91" s="230">
        <f t="shared" si="12"/>
        <v>0</v>
      </c>
    </row>
    <row r="92" spans="1:9" ht="21.75" customHeight="1">
      <c r="A92" s="9"/>
      <c r="B92" s="187" t="s">
        <v>308</v>
      </c>
      <c r="C92" s="279">
        <f>2500-2500</f>
        <v>0</v>
      </c>
      <c r="D92" s="230">
        <f>+'ต.ค.-ธ.ค.'!E93+'ต.ค.-ธ.ค.'!F93+'ต.ค.-ธ.ค.'!H93+'ต.ค.-ธ.ค.'!I93+'ต.ค.-ธ.ค.'!M93+'ต.ค.-ธ.ค.'!Q93+'ต.ค.-ธ.ค.'!S93</f>
        <v>0</v>
      </c>
      <c r="E92" s="230">
        <f>+'ม.ค.-มี.ค.'!D92+'ม.ค.-มี.ค.'!E92+'ม.ค.-มี.ค.'!F92+'ม.ค.-มี.ค.'!G92+'ม.ค.-มี.ค.'!H92+'ม.ค.-มี.ค.'!I92+'ม.ค.-มี.ค.'!J92+'ม.ค.-มี.ค.'!K92+'ม.ค.-มี.ค.'!L92+'ม.ค.-มี.ค.'!M92+'ม.ค.-มี.ค.'!N92+'ม.ค.-มี.ค.'!O92+'ม.ค.-มี.ค.'!P92+'ม.ค.-มี.ค.'!Q92+'ม.ค.-มี.ค.'!R92+'ม.ค.-มี.ค.'!S92+'ม.ค.-มี.ค.'!U92+'ม.ค.-มี.ค.'!V92</f>
        <v>0</v>
      </c>
      <c r="F92" s="230">
        <f>+'เม.ย.-มิ.ย.'!E92+'เม.ย.-มิ.ย.'!F92+'เม.ย.-มิ.ย.'!G92+'เม.ย.-มิ.ย.'!H92+'เม.ย.-มิ.ย.'!I92+'เม.ย.-มิ.ย.'!M92+'เม.ย.-มิ.ย.'!N92+'เม.ย.-มิ.ย.'!P92+'เม.ย.-มิ.ย.'!R92+'เม.ย.-มิ.ย.'!S92</f>
        <v>0</v>
      </c>
      <c r="G92" s="498">
        <f>+'ก.ค.-ก.ย.'!D92+'ก.ค.-ก.ย.'!E92+'ก.ค.-ก.ย.'!F92+'ก.ค.-ก.ย.'!G92+'ก.ค.-ก.ย.'!H92+'ก.ค.-ก.ย.'!I92+'ก.ค.-ก.ย.'!J92+'ก.ค.-ก.ย.'!K92+'ก.ค.-ก.ย.'!L92+'ก.ค.-ก.ย.'!M92+'ก.ค.-ก.ย.'!N92+'ก.ค.-ก.ย.'!O92+'ก.ค.-ก.ย.'!P92+'ก.ค.-ก.ย.'!Q92+'ก.ค.-ก.ย.'!R92+'ก.ค.-ก.ย.'!S92+'ก.ค.-ก.ย.'!T92+'ก.ค.-ก.ย.'!U92+'ก.ค.-ก.ย.'!V92</f>
        <v>0</v>
      </c>
      <c r="H92" s="498">
        <f t="shared" si="11"/>
        <v>0</v>
      </c>
      <c r="I92" s="230">
        <f t="shared" si="12"/>
        <v>0</v>
      </c>
    </row>
    <row r="93" spans="1:9" ht="21.75" customHeight="1">
      <c r="A93" s="9"/>
      <c r="B93" s="187" t="s">
        <v>309</v>
      </c>
      <c r="C93" s="279">
        <f>2500-2500</f>
        <v>0</v>
      </c>
      <c r="D93" s="230">
        <f>+'ต.ค.-ธ.ค.'!E94+'ต.ค.-ธ.ค.'!F94+'ต.ค.-ธ.ค.'!H94+'ต.ค.-ธ.ค.'!I94+'ต.ค.-ธ.ค.'!M94+'ต.ค.-ธ.ค.'!Q94+'ต.ค.-ธ.ค.'!S94</f>
        <v>0</v>
      </c>
      <c r="E93" s="230">
        <f>+'ม.ค.-มี.ค.'!D93+'ม.ค.-มี.ค.'!E93+'ม.ค.-มี.ค.'!F93+'ม.ค.-มี.ค.'!G93+'ม.ค.-มี.ค.'!H93+'ม.ค.-มี.ค.'!I93+'ม.ค.-มี.ค.'!J93+'ม.ค.-มี.ค.'!K93+'ม.ค.-มี.ค.'!L93+'ม.ค.-มี.ค.'!M93+'ม.ค.-มี.ค.'!N93+'ม.ค.-มี.ค.'!O93+'ม.ค.-มี.ค.'!P93+'ม.ค.-มี.ค.'!Q93+'ม.ค.-มี.ค.'!R93+'ม.ค.-มี.ค.'!S93+'ม.ค.-มี.ค.'!U93+'ม.ค.-มี.ค.'!V93</f>
        <v>0</v>
      </c>
      <c r="F93" s="230">
        <f>+'เม.ย.-มิ.ย.'!E93+'เม.ย.-มิ.ย.'!F93+'เม.ย.-มิ.ย.'!G93+'เม.ย.-มิ.ย.'!H93+'เม.ย.-มิ.ย.'!I93+'เม.ย.-มิ.ย.'!M93+'เม.ย.-มิ.ย.'!N93+'เม.ย.-มิ.ย.'!P93+'เม.ย.-มิ.ย.'!R93+'เม.ย.-มิ.ย.'!S93</f>
        <v>0</v>
      </c>
      <c r="G93" s="498">
        <f>+'ก.ค.-ก.ย.'!D93+'ก.ค.-ก.ย.'!E93+'ก.ค.-ก.ย.'!F93+'ก.ค.-ก.ย.'!G93+'ก.ค.-ก.ย.'!H93+'ก.ค.-ก.ย.'!I93+'ก.ค.-ก.ย.'!J93+'ก.ค.-ก.ย.'!K93+'ก.ค.-ก.ย.'!L93+'ก.ค.-ก.ย.'!M93+'ก.ค.-ก.ย.'!N93+'ก.ค.-ก.ย.'!O93+'ก.ค.-ก.ย.'!P93+'ก.ค.-ก.ย.'!Q93+'ก.ค.-ก.ย.'!R93+'ก.ค.-ก.ย.'!S93+'ก.ค.-ก.ย.'!T93+'ก.ค.-ก.ย.'!U93+'ก.ค.-ก.ย.'!V93</f>
        <v>0</v>
      </c>
      <c r="H93" s="498">
        <f t="shared" si="11"/>
        <v>0</v>
      </c>
      <c r="I93" s="230">
        <f t="shared" si="12"/>
        <v>0</v>
      </c>
    </row>
    <row r="94" spans="1:9" ht="21.75" customHeight="1">
      <c r="A94" s="9"/>
      <c r="B94" s="187" t="s">
        <v>310</v>
      </c>
      <c r="C94" s="279">
        <f>2500-2500</f>
        <v>0</v>
      </c>
      <c r="D94" s="230">
        <f>+'ต.ค.-ธ.ค.'!E95+'ต.ค.-ธ.ค.'!F95+'ต.ค.-ธ.ค.'!H95+'ต.ค.-ธ.ค.'!I95+'ต.ค.-ธ.ค.'!M95+'ต.ค.-ธ.ค.'!Q95+'ต.ค.-ธ.ค.'!S95</f>
        <v>0</v>
      </c>
      <c r="E94" s="230">
        <f>+'ม.ค.-มี.ค.'!D94+'ม.ค.-มี.ค.'!E94+'ม.ค.-มี.ค.'!F94+'ม.ค.-มี.ค.'!G94+'ม.ค.-มี.ค.'!H94+'ม.ค.-มี.ค.'!I94+'ม.ค.-มี.ค.'!J94+'ม.ค.-มี.ค.'!K94+'ม.ค.-มี.ค.'!L94+'ม.ค.-มี.ค.'!M94+'ม.ค.-มี.ค.'!N94+'ม.ค.-มี.ค.'!O94+'ม.ค.-มี.ค.'!P94+'ม.ค.-มี.ค.'!Q94+'ม.ค.-มี.ค.'!R94+'ม.ค.-มี.ค.'!S94+'ม.ค.-มี.ค.'!U94+'ม.ค.-มี.ค.'!V94</f>
        <v>0</v>
      </c>
      <c r="F94" s="230">
        <f>+'เม.ย.-มิ.ย.'!E94+'เม.ย.-มิ.ย.'!F94+'เม.ย.-มิ.ย.'!G94+'เม.ย.-มิ.ย.'!H94+'เม.ย.-มิ.ย.'!I94+'เม.ย.-มิ.ย.'!M94+'เม.ย.-มิ.ย.'!N94+'เม.ย.-มิ.ย.'!P94+'เม.ย.-มิ.ย.'!R94+'เม.ย.-มิ.ย.'!S94</f>
        <v>0</v>
      </c>
      <c r="G94" s="498">
        <f>+'ก.ค.-ก.ย.'!D94+'ก.ค.-ก.ย.'!E94+'ก.ค.-ก.ย.'!F94+'ก.ค.-ก.ย.'!G94+'ก.ค.-ก.ย.'!H94+'ก.ค.-ก.ย.'!I94+'ก.ค.-ก.ย.'!J94+'ก.ค.-ก.ย.'!K94+'ก.ค.-ก.ย.'!L94+'ก.ค.-ก.ย.'!M94+'ก.ค.-ก.ย.'!N94+'ก.ค.-ก.ย.'!O94+'ก.ค.-ก.ย.'!P94+'ก.ค.-ก.ย.'!Q94+'ก.ค.-ก.ย.'!R94+'ก.ค.-ก.ย.'!S94+'ก.ค.-ก.ย.'!T94+'ก.ค.-ก.ย.'!U94+'ก.ค.-ก.ย.'!V94</f>
        <v>0</v>
      </c>
      <c r="H94" s="498">
        <f t="shared" si="11"/>
        <v>0</v>
      </c>
      <c r="I94" s="230">
        <f t="shared" si="12"/>
        <v>0</v>
      </c>
    </row>
    <row r="95" spans="1:9" ht="21.75" customHeight="1">
      <c r="A95" s="9"/>
      <c r="B95" s="187" t="s">
        <v>311</v>
      </c>
      <c r="C95" s="279">
        <f>2500-2500</f>
        <v>0</v>
      </c>
      <c r="D95" s="230">
        <f>+'ต.ค.-ธ.ค.'!E96+'ต.ค.-ธ.ค.'!F96+'ต.ค.-ธ.ค.'!H96+'ต.ค.-ธ.ค.'!I96+'ต.ค.-ธ.ค.'!M96+'ต.ค.-ธ.ค.'!Q96+'ต.ค.-ธ.ค.'!S96</f>
        <v>0</v>
      </c>
      <c r="E95" s="230">
        <f>+'ม.ค.-มี.ค.'!D95+'ม.ค.-มี.ค.'!E95+'ม.ค.-มี.ค.'!F95+'ม.ค.-มี.ค.'!G95+'ม.ค.-มี.ค.'!H95+'ม.ค.-มี.ค.'!I95+'ม.ค.-มี.ค.'!J95+'ม.ค.-มี.ค.'!K95+'ม.ค.-มี.ค.'!L95+'ม.ค.-มี.ค.'!M95+'ม.ค.-มี.ค.'!N95+'ม.ค.-มี.ค.'!O95+'ม.ค.-มี.ค.'!P95+'ม.ค.-มี.ค.'!Q95+'ม.ค.-มี.ค.'!R95+'ม.ค.-มี.ค.'!S95+'ม.ค.-มี.ค.'!U95+'ม.ค.-มี.ค.'!V95</f>
        <v>0</v>
      </c>
      <c r="F95" s="230">
        <f>+'เม.ย.-มิ.ย.'!E95+'เม.ย.-มิ.ย.'!F95+'เม.ย.-มิ.ย.'!G95+'เม.ย.-มิ.ย.'!H95+'เม.ย.-มิ.ย.'!I95+'เม.ย.-มิ.ย.'!M95+'เม.ย.-มิ.ย.'!N95+'เม.ย.-มิ.ย.'!P95+'เม.ย.-มิ.ย.'!R95+'เม.ย.-มิ.ย.'!S95</f>
        <v>0</v>
      </c>
      <c r="G95" s="498">
        <f>+'ก.ค.-ก.ย.'!D95+'ก.ค.-ก.ย.'!E95+'ก.ค.-ก.ย.'!F95+'ก.ค.-ก.ย.'!G95+'ก.ค.-ก.ย.'!H95+'ก.ค.-ก.ย.'!I95+'ก.ค.-ก.ย.'!J95+'ก.ค.-ก.ย.'!K95+'ก.ค.-ก.ย.'!L95+'ก.ค.-ก.ย.'!M95+'ก.ค.-ก.ย.'!N95+'ก.ค.-ก.ย.'!O95+'ก.ค.-ก.ย.'!P95+'ก.ค.-ก.ย.'!Q95+'ก.ค.-ก.ย.'!R95+'ก.ค.-ก.ย.'!S95+'ก.ค.-ก.ย.'!T95+'ก.ค.-ก.ย.'!U95+'ก.ค.-ก.ย.'!V95</f>
        <v>0</v>
      </c>
      <c r="H95" s="498">
        <f t="shared" si="11"/>
        <v>0</v>
      </c>
      <c r="I95" s="230">
        <f t="shared" si="12"/>
        <v>0</v>
      </c>
    </row>
    <row r="96" spans="1:9" ht="21.75" customHeight="1">
      <c r="A96" s="9"/>
      <c r="B96" s="187" t="s">
        <v>243</v>
      </c>
      <c r="C96" s="279">
        <v>2000</v>
      </c>
      <c r="D96" s="230">
        <f>+'ต.ค.-ธ.ค.'!E97+'ต.ค.-ธ.ค.'!F97+'ต.ค.-ธ.ค.'!H97+'ต.ค.-ธ.ค.'!I97+'ต.ค.-ธ.ค.'!M97+'ต.ค.-ธ.ค.'!Q97+'ต.ค.-ธ.ค.'!S97</f>
        <v>0</v>
      </c>
      <c r="E96" s="230">
        <f>+'ม.ค.-มี.ค.'!D96+'ม.ค.-มี.ค.'!E96+'ม.ค.-มี.ค.'!F96+'ม.ค.-มี.ค.'!G96+'ม.ค.-มี.ค.'!H96+'ม.ค.-มี.ค.'!I96+'ม.ค.-มี.ค.'!J96+'ม.ค.-มี.ค.'!K96+'ม.ค.-มี.ค.'!L96+'ม.ค.-มี.ค.'!M96+'ม.ค.-มี.ค.'!N96+'ม.ค.-มี.ค.'!O96+'ม.ค.-มี.ค.'!P96+'ม.ค.-มี.ค.'!Q96+'ม.ค.-มี.ค.'!R96+'ม.ค.-มี.ค.'!S96+'ม.ค.-มี.ค.'!U96+'ม.ค.-มี.ค.'!V96</f>
        <v>2000</v>
      </c>
      <c r="F96" s="230">
        <f>+'เม.ย.-มิ.ย.'!E96+'เม.ย.-มิ.ย.'!F96+'เม.ย.-มิ.ย.'!G96+'เม.ย.-มิ.ย.'!H96+'เม.ย.-มิ.ย.'!I96+'เม.ย.-มิ.ย.'!M96+'เม.ย.-มิ.ย.'!N96+'เม.ย.-มิ.ย.'!P96+'เม.ย.-มิ.ย.'!R96+'เม.ย.-มิ.ย.'!S96</f>
        <v>0</v>
      </c>
      <c r="G96" s="498">
        <f>+'ก.ค.-ก.ย.'!D96+'ก.ค.-ก.ย.'!E96+'ก.ค.-ก.ย.'!F96+'ก.ค.-ก.ย.'!G96+'ก.ค.-ก.ย.'!H96+'ก.ค.-ก.ย.'!I96+'ก.ค.-ก.ย.'!J96+'ก.ค.-ก.ย.'!K96+'ก.ค.-ก.ย.'!L96+'ก.ค.-ก.ย.'!M96+'ก.ค.-ก.ย.'!N96+'ก.ค.-ก.ย.'!O96+'ก.ค.-ก.ย.'!P96+'ก.ค.-ก.ย.'!Q96+'ก.ค.-ก.ย.'!R96+'ก.ค.-ก.ย.'!S96+'ก.ค.-ก.ย.'!T96+'ก.ค.-ก.ย.'!U96+'ก.ค.-ก.ย.'!V96</f>
        <v>0</v>
      </c>
      <c r="H96" s="498">
        <f t="shared" si="11"/>
        <v>2000</v>
      </c>
      <c r="I96" s="498">
        <f t="shared" si="12"/>
        <v>0</v>
      </c>
    </row>
    <row r="97" spans="1:13" ht="21.75" customHeight="1">
      <c r="A97" s="9"/>
      <c r="B97" s="187" t="s">
        <v>248</v>
      </c>
      <c r="C97" s="279">
        <v>2000</v>
      </c>
      <c r="D97" s="230">
        <f>+'ต.ค.-ธ.ค.'!E98+'ต.ค.-ธ.ค.'!F98+'ต.ค.-ธ.ค.'!H98+'ต.ค.-ธ.ค.'!I98+'ต.ค.-ธ.ค.'!M98+'ต.ค.-ธ.ค.'!Q98+'ต.ค.-ธ.ค.'!S98</f>
        <v>0</v>
      </c>
      <c r="E97" s="230">
        <f>+'ม.ค.-มี.ค.'!D97+'ม.ค.-มี.ค.'!E97+'ม.ค.-มี.ค.'!F97+'ม.ค.-มี.ค.'!G97+'ม.ค.-มี.ค.'!H97+'ม.ค.-มี.ค.'!I97+'ม.ค.-มี.ค.'!J97+'ม.ค.-มี.ค.'!K97+'ม.ค.-มี.ค.'!L97+'ม.ค.-มี.ค.'!M97+'ม.ค.-มี.ค.'!N97+'ม.ค.-มี.ค.'!O97+'ม.ค.-มี.ค.'!P97+'ม.ค.-มี.ค.'!Q97+'ม.ค.-มี.ค.'!R97+'ม.ค.-มี.ค.'!S97+'ม.ค.-มี.ค.'!U97+'ม.ค.-มี.ค.'!V97</f>
        <v>2000</v>
      </c>
      <c r="F97" s="230">
        <f>+'เม.ย.-มิ.ย.'!E97+'เม.ย.-มิ.ย.'!F97+'เม.ย.-มิ.ย.'!G97+'เม.ย.-มิ.ย.'!H97+'เม.ย.-มิ.ย.'!I97+'เม.ย.-มิ.ย.'!M97+'เม.ย.-มิ.ย.'!N97+'เม.ย.-มิ.ย.'!P97+'เม.ย.-มิ.ย.'!R97+'เม.ย.-มิ.ย.'!S97</f>
        <v>0</v>
      </c>
      <c r="G97" s="498">
        <f>+'ก.ค.-ก.ย.'!D97+'ก.ค.-ก.ย.'!E97+'ก.ค.-ก.ย.'!F97+'ก.ค.-ก.ย.'!G97+'ก.ค.-ก.ย.'!H97+'ก.ค.-ก.ย.'!I97+'ก.ค.-ก.ย.'!J97+'ก.ค.-ก.ย.'!K97+'ก.ค.-ก.ย.'!L97+'ก.ค.-ก.ย.'!M97+'ก.ค.-ก.ย.'!N97+'ก.ค.-ก.ย.'!O97+'ก.ค.-ก.ย.'!P97+'ก.ค.-ก.ย.'!Q97+'ก.ค.-ก.ย.'!R97+'ก.ค.-ก.ย.'!S97+'ก.ค.-ก.ย.'!T97+'ก.ค.-ก.ย.'!U97+'ก.ค.-ก.ย.'!V97</f>
        <v>0</v>
      </c>
      <c r="H97" s="498">
        <f t="shared" si="11"/>
        <v>2000</v>
      </c>
      <c r="I97" s="498">
        <f t="shared" si="12"/>
        <v>0</v>
      </c>
    </row>
    <row r="98" spans="1:13" s="168" customFormat="1" ht="21.75" customHeight="1">
      <c r="A98" s="9"/>
      <c r="B98" s="187" t="s">
        <v>244</v>
      </c>
      <c r="C98" s="279">
        <v>2000</v>
      </c>
      <c r="D98" s="230">
        <f>+'ต.ค.-ธ.ค.'!E99+'ต.ค.-ธ.ค.'!F99+'ต.ค.-ธ.ค.'!H99+'ต.ค.-ธ.ค.'!I99+'ต.ค.-ธ.ค.'!M99+'ต.ค.-ธ.ค.'!Q99+'ต.ค.-ธ.ค.'!S99</f>
        <v>0</v>
      </c>
      <c r="E98" s="230">
        <f>+'ม.ค.-มี.ค.'!D98+'ม.ค.-มี.ค.'!E98+'ม.ค.-มี.ค.'!F98+'ม.ค.-มี.ค.'!G98+'ม.ค.-มี.ค.'!H98+'ม.ค.-มี.ค.'!I98+'ม.ค.-มี.ค.'!J98+'ม.ค.-มี.ค.'!K98+'ม.ค.-มี.ค.'!L98+'ม.ค.-มี.ค.'!M98+'ม.ค.-มี.ค.'!N98+'ม.ค.-มี.ค.'!O98+'ม.ค.-มี.ค.'!P98+'ม.ค.-มี.ค.'!Q98+'ม.ค.-มี.ค.'!R98+'ม.ค.-มี.ค.'!S98+'ม.ค.-มี.ค.'!U98+'ม.ค.-มี.ค.'!V98</f>
        <v>1995</v>
      </c>
      <c r="F98" s="230">
        <f>+'เม.ย.-มิ.ย.'!E98+'เม.ย.-มิ.ย.'!F98+'เม.ย.-มิ.ย.'!G98+'เม.ย.-มิ.ย.'!H98+'เม.ย.-มิ.ย.'!I98+'เม.ย.-มิ.ย.'!M98+'เม.ย.-มิ.ย.'!N98+'เม.ย.-มิ.ย.'!P98+'เม.ย.-มิ.ย.'!R98+'เม.ย.-มิ.ย.'!S98</f>
        <v>0</v>
      </c>
      <c r="G98" s="498">
        <f>+'ก.ค.-ก.ย.'!D98+'ก.ค.-ก.ย.'!E98+'ก.ค.-ก.ย.'!F98+'ก.ค.-ก.ย.'!G98+'ก.ค.-ก.ย.'!H98+'ก.ค.-ก.ย.'!I98+'ก.ค.-ก.ย.'!J98+'ก.ค.-ก.ย.'!K98+'ก.ค.-ก.ย.'!L98+'ก.ค.-ก.ย.'!M98+'ก.ค.-ก.ย.'!N98+'ก.ค.-ก.ย.'!O98+'ก.ค.-ก.ย.'!P98+'ก.ค.-ก.ย.'!Q98+'ก.ค.-ก.ย.'!R98+'ก.ค.-ก.ย.'!S98+'ก.ค.-ก.ย.'!T98+'ก.ค.-ก.ย.'!U98+'ก.ค.-ก.ย.'!V98</f>
        <v>0</v>
      </c>
      <c r="H98" s="498">
        <f t="shared" si="11"/>
        <v>1995</v>
      </c>
      <c r="I98" s="498">
        <f t="shared" si="12"/>
        <v>5</v>
      </c>
      <c r="J98" s="233"/>
      <c r="K98" s="331"/>
      <c r="L98" s="247"/>
      <c r="M98" s="247"/>
    </row>
    <row r="99" spans="1:13" ht="21.75" customHeight="1">
      <c r="A99" s="9"/>
      <c r="B99" s="187" t="s">
        <v>245</v>
      </c>
      <c r="C99" s="279">
        <v>2000</v>
      </c>
      <c r="D99" s="230">
        <f>+'ต.ค.-ธ.ค.'!E100+'ต.ค.-ธ.ค.'!F100+'ต.ค.-ธ.ค.'!H100+'ต.ค.-ธ.ค.'!I100+'ต.ค.-ธ.ค.'!M100+'ต.ค.-ธ.ค.'!Q100+'ต.ค.-ธ.ค.'!S100</f>
        <v>0</v>
      </c>
      <c r="E99" s="230">
        <f>+'ม.ค.-มี.ค.'!D99+'ม.ค.-มี.ค.'!E99+'ม.ค.-มี.ค.'!F99+'ม.ค.-มี.ค.'!G99+'ม.ค.-มี.ค.'!H99+'ม.ค.-มี.ค.'!I99+'ม.ค.-มี.ค.'!J99+'ม.ค.-มี.ค.'!K99+'ม.ค.-มี.ค.'!L99+'ม.ค.-มี.ค.'!M99+'ม.ค.-มี.ค.'!N99+'ม.ค.-มี.ค.'!O99+'ม.ค.-มี.ค.'!P99+'ม.ค.-มี.ค.'!Q99+'ม.ค.-มี.ค.'!R99+'ม.ค.-มี.ค.'!S99+'ม.ค.-มี.ค.'!U99+'ม.ค.-มี.ค.'!V99</f>
        <v>2000</v>
      </c>
      <c r="F99" s="230">
        <f>+'เม.ย.-มิ.ย.'!E99+'เม.ย.-มิ.ย.'!F99+'เม.ย.-มิ.ย.'!G99+'เม.ย.-มิ.ย.'!H99+'เม.ย.-มิ.ย.'!I99+'เม.ย.-มิ.ย.'!M99+'เม.ย.-มิ.ย.'!N99+'เม.ย.-มิ.ย.'!P99+'เม.ย.-มิ.ย.'!R99+'เม.ย.-มิ.ย.'!S99</f>
        <v>0</v>
      </c>
      <c r="G99" s="498">
        <f>+'ก.ค.-ก.ย.'!D99+'ก.ค.-ก.ย.'!E99+'ก.ค.-ก.ย.'!F99+'ก.ค.-ก.ย.'!G99+'ก.ค.-ก.ย.'!H99+'ก.ค.-ก.ย.'!I99+'ก.ค.-ก.ย.'!J99+'ก.ค.-ก.ย.'!K99+'ก.ค.-ก.ย.'!L99+'ก.ค.-ก.ย.'!M99+'ก.ค.-ก.ย.'!N99+'ก.ค.-ก.ย.'!O99+'ก.ค.-ก.ย.'!P99+'ก.ค.-ก.ย.'!Q99+'ก.ค.-ก.ย.'!R99+'ก.ค.-ก.ย.'!S99+'ก.ค.-ก.ย.'!T99+'ก.ค.-ก.ย.'!U99+'ก.ค.-ก.ย.'!V99</f>
        <v>0</v>
      </c>
      <c r="H99" s="498">
        <f t="shared" si="11"/>
        <v>2000</v>
      </c>
      <c r="I99" s="498">
        <f t="shared" si="12"/>
        <v>0</v>
      </c>
    </row>
    <row r="100" spans="1:13" ht="21.75" customHeight="1">
      <c r="A100" s="9"/>
      <c r="B100" s="187" t="s">
        <v>246</v>
      </c>
      <c r="C100" s="279">
        <f>2000-1000</f>
        <v>1000</v>
      </c>
      <c r="D100" s="230">
        <f>+'ต.ค.-ธ.ค.'!E101+'ต.ค.-ธ.ค.'!F101+'ต.ค.-ธ.ค.'!H101+'ต.ค.-ธ.ค.'!I101+'ต.ค.-ธ.ค.'!M101+'ต.ค.-ธ.ค.'!Q101+'ต.ค.-ธ.ค.'!S101</f>
        <v>0</v>
      </c>
      <c r="E100" s="230">
        <f>+'ม.ค.-มี.ค.'!D100+'ม.ค.-มี.ค.'!E100+'ม.ค.-มี.ค.'!F100+'ม.ค.-มี.ค.'!G100+'ม.ค.-มี.ค.'!H100+'ม.ค.-มี.ค.'!I100+'ม.ค.-มี.ค.'!J100+'ม.ค.-มี.ค.'!K100+'ม.ค.-มี.ค.'!L100+'ม.ค.-มี.ค.'!M100+'ม.ค.-มี.ค.'!N100+'ม.ค.-มี.ค.'!O100+'ม.ค.-มี.ค.'!P100+'ม.ค.-มี.ค.'!Q100+'ม.ค.-มี.ค.'!R100+'ม.ค.-มี.ค.'!S100+'ม.ค.-มี.ค.'!U100+'ม.ค.-มี.ค.'!V100</f>
        <v>0</v>
      </c>
      <c r="F100" s="230">
        <f>+'เม.ย.-มิ.ย.'!E100+'เม.ย.-มิ.ย.'!F100+'เม.ย.-มิ.ย.'!G100+'เม.ย.-มิ.ย.'!H100+'เม.ย.-มิ.ย.'!I100+'เม.ย.-มิ.ย.'!M100+'เม.ย.-มิ.ย.'!N100+'เม.ย.-มิ.ย.'!P100+'เม.ย.-มิ.ย.'!R100+'เม.ย.-มิ.ย.'!S100</f>
        <v>1000</v>
      </c>
      <c r="G100" s="498">
        <f>+'ก.ค.-ก.ย.'!D100+'ก.ค.-ก.ย.'!E100+'ก.ค.-ก.ย.'!F100+'ก.ค.-ก.ย.'!G100+'ก.ค.-ก.ย.'!H100+'ก.ค.-ก.ย.'!I100+'ก.ค.-ก.ย.'!J100+'ก.ค.-ก.ย.'!K100+'ก.ค.-ก.ย.'!L100+'ก.ค.-ก.ย.'!M100+'ก.ค.-ก.ย.'!N100+'ก.ค.-ก.ย.'!O100+'ก.ค.-ก.ย.'!P100+'ก.ค.-ก.ย.'!Q100+'ก.ค.-ก.ย.'!R100+'ก.ค.-ก.ย.'!S100+'ก.ค.-ก.ย.'!T100+'ก.ค.-ก.ย.'!U100+'ก.ค.-ก.ย.'!V100</f>
        <v>0</v>
      </c>
      <c r="H100" s="498">
        <f t="shared" si="11"/>
        <v>1000</v>
      </c>
      <c r="I100" s="498">
        <f t="shared" si="12"/>
        <v>0</v>
      </c>
    </row>
    <row r="101" spans="1:13" ht="21.75" customHeight="1">
      <c r="A101" s="9"/>
      <c r="B101" s="187" t="s">
        <v>247</v>
      </c>
      <c r="C101" s="279">
        <f>2000-1000</f>
        <v>1000</v>
      </c>
      <c r="D101" s="230">
        <f>+'ต.ค.-ธ.ค.'!E102+'ต.ค.-ธ.ค.'!F102+'ต.ค.-ธ.ค.'!H102+'ต.ค.-ธ.ค.'!I102+'ต.ค.-ธ.ค.'!M102+'ต.ค.-ธ.ค.'!Q102+'ต.ค.-ธ.ค.'!S102</f>
        <v>0</v>
      </c>
      <c r="E101" s="230">
        <f>+'ม.ค.-มี.ค.'!D101+'ม.ค.-มี.ค.'!E101+'ม.ค.-มี.ค.'!F101+'ม.ค.-มี.ค.'!G101+'ม.ค.-มี.ค.'!H101+'ม.ค.-มี.ค.'!I101+'ม.ค.-มี.ค.'!J101+'ม.ค.-มี.ค.'!K101+'ม.ค.-มี.ค.'!L101+'ม.ค.-มี.ค.'!M101+'ม.ค.-มี.ค.'!N101+'ม.ค.-มี.ค.'!O101+'ม.ค.-มี.ค.'!P101+'ม.ค.-มี.ค.'!Q101+'ม.ค.-มี.ค.'!R101+'ม.ค.-มี.ค.'!S101+'ม.ค.-มี.ค.'!U101+'ม.ค.-มี.ค.'!V101</f>
        <v>0</v>
      </c>
      <c r="F101" s="230">
        <f>+'เม.ย.-มิ.ย.'!E101+'เม.ย.-มิ.ย.'!F101+'เม.ย.-มิ.ย.'!G101+'เม.ย.-มิ.ย.'!H101+'เม.ย.-มิ.ย.'!I101+'เม.ย.-มิ.ย.'!M101+'เม.ย.-มิ.ย.'!N101+'เม.ย.-มิ.ย.'!P101+'เม.ย.-มิ.ย.'!R101+'เม.ย.-มิ.ย.'!S101</f>
        <v>1000</v>
      </c>
      <c r="G101" s="498">
        <f>+'ก.ค.-ก.ย.'!D101+'ก.ค.-ก.ย.'!E101+'ก.ค.-ก.ย.'!F101+'ก.ค.-ก.ย.'!G101+'ก.ค.-ก.ย.'!H101+'ก.ค.-ก.ย.'!I101+'ก.ค.-ก.ย.'!J101+'ก.ค.-ก.ย.'!K101+'ก.ค.-ก.ย.'!L101+'ก.ค.-ก.ย.'!M101+'ก.ค.-ก.ย.'!N101+'ก.ค.-ก.ย.'!O101+'ก.ค.-ก.ย.'!P101+'ก.ค.-ก.ย.'!Q101+'ก.ค.-ก.ย.'!R101+'ก.ค.-ก.ย.'!S101+'ก.ค.-ก.ย.'!T101+'ก.ค.-ก.ย.'!U101+'ก.ค.-ก.ย.'!V101</f>
        <v>0</v>
      </c>
      <c r="H101" s="498">
        <f t="shared" si="11"/>
        <v>1000</v>
      </c>
      <c r="I101" s="498">
        <f t="shared" si="12"/>
        <v>0</v>
      </c>
    </row>
    <row r="102" spans="1:13" ht="21.75" customHeight="1">
      <c r="A102" s="9"/>
      <c r="B102" s="187" t="s">
        <v>249</v>
      </c>
      <c r="C102" s="279">
        <f>2000-1000</f>
        <v>1000</v>
      </c>
      <c r="D102" s="230">
        <f>+'ต.ค.-ธ.ค.'!E103+'ต.ค.-ธ.ค.'!F103+'ต.ค.-ธ.ค.'!H103+'ต.ค.-ธ.ค.'!I103+'ต.ค.-ธ.ค.'!M103+'ต.ค.-ธ.ค.'!Q103+'ต.ค.-ธ.ค.'!S103</f>
        <v>0</v>
      </c>
      <c r="E102" s="230">
        <f>+'ม.ค.-มี.ค.'!D102+'ม.ค.-มี.ค.'!E102+'ม.ค.-มี.ค.'!F102+'ม.ค.-มี.ค.'!G102+'ม.ค.-มี.ค.'!H102+'ม.ค.-มี.ค.'!I102+'ม.ค.-มี.ค.'!J102+'ม.ค.-มี.ค.'!K102+'ม.ค.-มี.ค.'!L102+'ม.ค.-มี.ค.'!M102+'ม.ค.-มี.ค.'!N102+'ม.ค.-มี.ค.'!O102+'ม.ค.-มี.ค.'!P102+'ม.ค.-มี.ค.'!Q102+'ม.ค.-มี.ค.'!R102+'ม.ค.-มี.ค.'!S102+'ม.ค.-มี.ค.'!U102+'ม.ค.-มี.ค.'!V102</f>
        <v>0</v>
      </c>
      <c r="F102" s="230">
        <f>+'เม.ย.-มิ.ย.'!E102+'เม.ย.-มิ.ย.'!F102+'เม.ย.-มิ.ย.'!G102+'เม.ย.-มิ.ย.'!H102+'เม.ย.-มิ.ย.'!I102+'เม.ย.-มิ.ย.'!M102+'เม.ย.-มิ.ย.'!N102+'เม.ย.-มิ.ย.'!P102+'เม.ย.-มิ.ย.'!R102+'เม.ย.-มิ.ย.'!S102</f>
        <v>1000</v>
      </c>
      <c r="G102" s="498">
        <f>+'ก.ค.-ก.ย.'!D102+'ก.ค.-ก.ย.'!E102+'ก.ค.-ก.ย.'!F102+'ก.ค.-ก.ย.'!G102+'ก.ค.-ก.ย.'!H102+'ก.ค.-ก.ย.'!I102+'ก.ค.-ก.ย.'!J102+'ก.ค.-ก.ย.'!K102+'ก.ค.-ก.ย.'!L102+'ก.ค.-ก.ย.'!M102+'ก.ค.-ก.ย.'!N102+'ก.ค.-ก.ย.'!O102+'ก.ค.-ก.ย.'!P102+'ก.ค.-ก.ย.'!Q102+'ก.ค.-ก.ย.'!R102+'ก.ค.-ก.ย.'!S102+'ก.ค.-ก.ย.'!T102+'ก.ค.-ก.ย.'!U102+'ก.ค.-ก.ย.'!V102</f>
        <v>0</v>
      </c>
      <c r="H102" s="498">
        <f t="shared" si="11"/>
        <v>1000</v>
      </c>
      <c r="I102" s="498">
        <f t="shared" si="12"/>
        <v>0</v>
      </c>
    </row>
    <row r="103" spans="1:13" ht="21.75" customHeight="1">
      <c r="A103" s="9"/>
      <c r="B103" s="187" t="s">
        <v>250</v>
      </c>
      <c r="C103" s="279">
        <f>2000-1000</f>
        <v>1000</v>
      </c>
      <c r="D103" s="230">
        <f>+'ต.ค.-ธ.ค.'!E104+'ต.ค.-ธ.ค.'!F104+'ต.ค.-ธ.ค.'!H104+'ต.ค.-ธ.ค.'!I104+'ต.ค.-ธ.ค.'!M104+'ต.ค.-ธ.ค.'!Q104+'ต.ค.-ธ.ค.'!S104</f>
        <v>0</v>
      </c>
      <c r="E103" s="230">
        <f>+'ม.ค.-มี.ค.'!D103+'ม.ค.-มี.ค.'!E103+'ม.ค.-มี.ค.'!F103+'ม.ค.-มี.ค.'!G103+'ม.ค.-มี.ค.'!H103+'ม.ค.-มี.ค.'!I103+'ม.ค.-มี.ค.'!J103+'ม.ค.-มี.ค.'!K103+'ม.ค.-มี.ค.'!L103+'ม.ค.-มี.ค.'!M103+'ม.ค.-มี.ค.'!N103+'ม.ค.-มี.ค.'!O103+'ม.ค.-มี.ค.'!P103+'ม.ค.-มี.ค.'!Q103+'ม.ค.-มี.ค.'!R103+'ม.ค.-มี.ค.'!S103+'ม.ค.-มี.ค.'!U103+'ม.ค.-มี.ค.'!V103</f>
        <v>0</v>
      </c>
      <c r="F103" s="230">
        <f>+'เม.ย.-มิ.ย.'!E103+'เม.ย.-มิ.ย.'!F103+'เม.ย.-มิ.ย.'!G103+'เม.ย.-มิ.ย.'!H103+'เม.ย.-มิ.ย.'!I103+'เม.ย.-มิ.ย.'!M103+'เม.ย.-มิ.ย.'!N103+'เม.ย.-มิ.ย.'!P103+'เม.ย.-มิ.ย.'!R103+'เม.ย.-มิ.ย.'!S103</f>
        <v>1000</v>
      </c>
      <c r="G103" s="498">
        <f>+'ก.ค.-ก.ย.'!D103+'ก.ค.-ก.ย.'!E103+'ก.ค.-ก.ย.'!F103+'ก.ค.-ก.ย.'!G103+'ก.ค.-ก.ย.'!H103+'ก.ค.-ก.ย.'!I103+'ก.ค.-ก.ย.'!J103+'ก.ค.-ก.ย.'!K103+'ก.ค.-ก.ย.'!L103+'ก.ค.-ก.ย.'!M103+'ก.ค.-ก.ย.'!N103+'ก.ค.-ก.ย.'!O103+'ก.ค.-ก.ย.'!P103+'ก.ค.-ก.ย.'!Q103+'ก.ค.-ก.ย.'!R103+'ก.ค.-ก.ย.'!S103+'ก.ค.-ก.ย.'!T103+'ก.ค.-ก.ย.'!U103+'ก.ค.-ก.ย.'!V103</f>
        <v>0</v>
      </c>
      <c r="H103" s="498">
        <f t="shared" si="11"/>
        <v>1000</v>
      </c>
      <c r="I103" s="498">
        <f t="shared" si="12"/>
        <v>0</v>
      </c>
    </row>
    <row r="104" spans="1:13" ht="21.75" customHeight="1">
      <c r="A104" s="9"/>
      <c r="B104" s="187" t="s">
        <v>251</v>
      </c>
      <c r="C104" s="279">
        <v>2000</v>
      </c>
      <c r="D104" s="230">
        <f>+'ต.ค.-ธ.ค.'!E105+'ต.ค.-ธ.ค.'!F105+'ต.ค.-ธ.ค.'!H105+'ต.ค.-ธ.ค.'!I105+'ต.ค.-ธ.ค.'!M105+'ต.ค.-ธ.ค.'!Q105+'ต.ค.-ธ.ค.'!S105</f>
        <v>0</v>
      </c>
      <c r="E104" s="230">
        <f>+'ม.ค.-มี.ค.'!D104+'ม.ค.-มี.ค.'!E104+'ม.ค.-มี.ค.'!F104+'ม.ค.-มี.ค.'!G104+'ม.ค.-มี.ค.'!H104+'ม.ค.-มี.ค.'!I104+'ม.ค.-มี.ค.'!J104+'ม.ค.-มี.ค.'!K104+'ม.ค.-มี.ค.'!L104+'ม.ค.-มี.ค.'!M104+'ม.ค.-มี.ค.'!N104+'ม.ค.-มี.ค.'!O104+'ม.ค.-มี.ค.'!P104+'ม.ค.-มี.ค.'!Q104+'ม.ค.-มี.ค.'!R104+'ม.ค.-มี.ค.'!S104+'ม.ค.-มี.ค.'!U104+'ม.ค.-มี.ค.'!V104</f>
        <v>0</v>
      </c>
      <c r="F104" s="230">
        <f>+'เม.ย.-มิ.ย.'!E104+'เม.ย.-มิ.ย.'!F104+'เม.ย.-มิ.ย.'!G104+'เม.ย.-มิ.ย.'!H104+'เม.ย.-มิ.ย.'!I104+'เม.ย.-มิ.ย.'!M104+'เม.ย.-มิ.ย.'!N104+'เม.ย.-มิ.ย.'!P104+'เม.ย.-มิ.ย.'!R104+'เม.ย.-มิ.ย.'!S104</f>
        <v>0</v>
      </c>
      <c r="G104" s="498">
        <f>+'ก.ค.-ก.ย.'!D104+'ก.ค.-ก.ย.'!E104+'ก.ค.-ก.ย.'!F104+'ก.ค.-ก.ย.'!G104+'ก.ค.-ก.ย.'!H104+'ก.ค.-ก.ย.'!I104+'ก.ค.-ก.ย.'!J104+'ก.ค.-ก.ย.'!K104+'ก.ค.-ก.ย.'!L104+'ก.ค.-ก.ย.'!M104+'ก.ค.-ก.ย.'!N104+'ก.ค.-ก.ย.'!O104+'ก.ค.-ก.ย.'!P104+'ก.ค.-ก.ย.'!Q104+'ก.ค.-ก.ย.'!R104+'ก.ค.-ก.ย.'!S104+'ก.ค.-ก.ย.'!T104+'ก.ค.-ก.ย.'!U104+'ก.ค.-ก.ย.'!V104</f>
        <v>2000</v>
      </c>
      <c r="H104" s="498">
        <f t="shared" si="11"/>
        <v>2000</v>
      </c>
      <c r="I104" s="498">
        <f t="shared" si="12"/>
        <v>0</v>
      </c>
    </row>
    <row r="105" spans="1:13" ht="21.75" customHeight="1">
      <c r="A105" s="9"/>
      <c r="B105" s="187" t="s">
        <v>252</v>
      </c>
      <c r="C105" s="279">
        <v>2000</v>
      </c>
      <c r="D105" s="230">
        <f>+'ต.ค.-ธ.ค.'!E106+'ต.ค.-ธ.ค.'!F106+'ต.ค.-ธ.ค.'!H106+'ต.ค.-ธ.ค.'!I106+'ต.ค.-ธ.ค.'!M106+'ต.ค.-ธ.ค.'!Q106+'ต.ค.-ธ.ค.'!S106</f>
        <v>0</v>
      </c>
      <c r="E105" s="230">
        <f>+'ม.ค.-มี.ค.'!D105+'ม.ค.-มี.ค.'!E105+'ม.ค.-มี.ค.'!F105+'ม.ค.-มี.ค.'!G105+'ม.ค.-มี.ค.'!H105+'ม.ค.-มี.ค.'!I105+'ม.ค.-มี.ค.'!J105+'ม.ค.-มี.ค.'!K105+'ม.ค.-มี.ค.'!L105+'ม.ค.-มี.ค.'!M105+'ม.ค.-มี.ค.'!N105+'ม.ค.-มี.ค.'!O105+'ม.ค.-มี.ค.'!P105+'ม.ค.-มี.ค.'!Q105+'ม.ค.-มี.ค.'!R105+'ม.ค.-มี.ค.'!S105+'ม.ค.-มี.ค.'!U105+'ม.ค.-มี.ค.'!V105</f>
        <v>0</v>
      </c>
      <c r="F105" s="230">
        <f>+'เม.ย.-มิ.ย.'!E105+'เม.ย.-มิ.ย.'!F105+'เม.ย.-มิ.ย.'!G105+'เม.ย.-มิ.ย.'!H105+'เม.ย.-มิ.ย.'!I105+'เม.ย.-มิ.ย.'!M105+'เม.ย.-มิ.ย.'!N105+'เม.ย.-มิ.ย.'!P105+'เม.ย.-มิ.ย.'!R105+'เม.ย.-มิ.ย.'!S105</f>
        <v>0</v>
      </c>
      <c r="G105" s="498">
        <f>+'ก.ค.-ก.ย.'!D105+'ก.ค.-ก.ย.'!E105+'ก.ค.-ก.ย.'!F105+'ก.ค.-ก.ย.'!G105+'ก.ค.-ก.ย.'!H105+'ก.ค.-ก.ย.'!I105+'ก.ค.-ก.ย.'!J105+'ก.ค.-ก.ย.'!K105+'ก.ค.-ก.ย.'!L105+'ก.ค.-ก.ย.'!M105+'ก.ค.-ก.ย.'!N105+'ก.ค.-ก.ย.'!O105+'ก.ค.-ก.ย.'!P105+'ก.ค.-ก.ย.'!Q105+'ก.ค.-ก.ย.'!R105+'ก.ค.-ก.ย.'!S105+'ก.ค.-ก.ย.'!T105+'ก.ค.-ก.ย.'!U105+'ก.ค.-ก.ย.'!V105</f>
        <v>2000</v>
      </c>
      <c r="H105" s="498">
        <f t="shared" si="11"/>
        <v>2000</v>
      </c>
      <c r="I105" s="498">
        <f t="shared" si="12"/>
        <v>0</v>
      </c>
    </row>
    <row r="106" spans="1:13" ht="21.75" customHeight="1">
      <c r="A106" s="9"/>
      <c r="B106" s="187" t="s">
        <v>253</v>
      </c>
      <c r="C106" s="279">
        <v>2000</v>
      </c>
      <c r="D106" s="230">
        <f>+'ต.ค.-ธ.ค.'!E107+'ต.ค.-ธ.ค.'!F107+'ต.ค.-ธ.ค.'!H107+'ต.ค.-ธ.ค.'!I107+'ต.ค.-ธ.ค.'!M107+'ต.ค.-ธ.ค.'!Q107+'ต.ค.-ธ.ค.'!S107</f>
        <v>0</v>
      </c>
      <c r="E106" s="230">
        <f>+'ม.ค.-มี.ค.'!D106+'ม.ค.-มี.ค.'!E106+'ม.ค.-มี.ค.'!F106+'ม.ค.-มี.ค.'!G106+'ม.ค.-มี.ค.'!H106+'ม.ค.-มี.ค.'!I106+'ม.ค.-มี.ค.'!J106+'ม.ค.-มี.ค.'!K106+'ม.ค.-มี.ค.'!L106+'ม.ค.-มี.ค.'!M106+'ม.ค.-มี.ค.'!N106+'ม.ค.-มี.ค.'!O106+'ม.ค.-มี.ค.'!P106+'ม.ค.-มี.ค.'!Q106+'ม.ค.-มี.ค.'!R106+'ม.ค.-มี.ค.'!S106+'ม.ค.-มี.ค.'!U106+'ม.ค.-มี.ค.'!V106</f>
        <v>0</v>
      </c>
      <c r="F106" s="230">
        <f>+'เม.ย.-มิ.ย.'!E106+'เม.ย.-มิ.ย.'!F106+'เม.ย.-มิ.ย.'!G106+'เม.ย.-มิ.ย.'!H106+'เม.ย.-มิ.ย.'!I106+'เม.ย.-มิ.ย.'!M106+'เม.ย.-มิ.ย.'!N106+'เม.ย.-มิ.ย.'!P106+'เม.ย.-มิ.ย.'!R106+'เม.ย.-มิ.ย.'!S106</f>
        <v>0</v>
      </c>
      <c r="G106" s="498">
        <f>+'ก.ค.-ก.ย.'!D106+'ก.ค.-ก.ย.'!E106+'ก.ค.-ก.ย.'!F106+'ก.ค.-ก.ย.'!G106+'ก.ค.-ก.ย.'!H106+'ก.ค.-ก.ย.'!I106+'ก.ค.-ก.ย.'!J106+'ก.ค.-ก.ย.'!K106+'ก.ค.-ก.ย.'!L106+'ก.ค.-ก.ย.'!M106+'ก.ค.-ก.ย.'!N106+'ก.ค.-ก.ย.'!O106+'ก.ค.-ก.ย.'!P106+'ก.ค.-ก.ย.'!Q106+'ก.ค.-ก.ย.'!R106+'ก.ค.-ก.ย.'!S106+'ก.ค.-ก.ย.'!T106+'ก.ค.-ก.ย.'!U106+'ก.ค.-ก.ย.'!V106</f>
        <v>2000</v>
      </c>
      <c r="H106" s="498">
        <f t="shared" si="11"/>
        <v>2000</v>
      </c>
      <c r="I106" s="498">
        <f t="shared" si="12"/>
        <v>0</v>
      </c>
    </row>
    <row r="107" spans="1:13" ht="21.75" customHeight="1">
      <c r="A107" s="9"/>
      <c r="B107" s="187" t="s">
        <v>254</v>
      </c>
      <c r="C107" s="279">
        <v>2000</v>
      </c>
      <c r="D107" s="230">
        <f>+'ต.ค.-ธ.ค.'!E108+'ต.ค.-ธ.ค.'!F108+'ต.ค.-ธ.ค.'!H108+'ต.ค.-ธ.ค.'!I108+'ต.ค.-ธ.ค.'!M108+'ต.ค.-ธ.ค.'!Q108+'ต.ค.-ธ.ค.'!S108</f>
        <v>0</v>
      </c>
      <c r="E107" s="230">
        <f>+'ม.ค.-มี.ค.'!D107+'ม.ค.-มี.ค.'!E107+'ม.ค.-มี.ค.'!F107+'ม.ค.-มี.ค.'!G107+'ม.ค.-มี.ค.'!H107+'ม.ค.-มี.ค.'!I107+'ม.ค.-มี.ค.'!J107+'ม.ค.-มี.ค.'!K107+'ม.ค.-มี.ค.'!L107+'ม.ค.-มี.ค.'!M107+'ม.ค.-มี.ค.'!N107+'ม.ค.-มี.ค.'!O107+'ม.ค.-มี.ค.'!P107+'ม.ค.-มี.ค.'!Q107+'ม.ค.-มี.ค.'!R107+'ม.ค.-มี.ค.'!S107+'ม.ค.-มี.ค.'!U107+'ม.ค.-มี.ค.'!V107</f>
        <v>0</v>
      </c>
      <c r="F107" s="230">
        <f>+'เม.ย.-มิ.ย.'!E107+'เม.ย.-มิ.ย.'!F107+'เม.ย.-มิ.ย.'!G107+'เม.ย.-มิ.ย.'!H107+'เม.ย.-มิ.ย.'!I107+'เม.ย.-มิ.ย.'!M107+'เม.ย.-มิ.ย.'!N107+'เม.ย.-มิ.ย.'!P107+'เม.ย.-มิ.ย.'!R107+'เม.ย.-มิ.ย.'!S107</f>
        <v>0</v>
      </c>
      <c r="G107" s="498">
        <f>+'ก.ค.-ก.ย.'!D107+'ก.ค.-ก.ย.'!E107+'ก.ค.-ก.ย.'!F107+'ก.ค.-ก.ย.'!G107+'ก.ค.-ก.ย.'!H107+'ก.ค.-ก.ย.'!I107+'ก.ค.-ก.ย.'!J107+'ก.ค.-ก.ย.'!K107+'ก.ค.-ก.ย.'!L107+'ก.ค.-ก.ย.'!M107+'ก.ค.-ก.ย.'!N107+'ก.ค.-ก.ย.'!O107+'ก.ค.-ก.ย.'!P107+'ก.ค.-ก.ย.'!Q107+'ก.ค.-ก.ย.'!R107+'ก.ค.-ก.ย.'!S107+'ก.ค.-ก.ย.'!T107+'ก.ค.-ก.ย.'!U107+'ก.ค.-ก.ย.'!V107</f>
        <v>2000</v>
      </c>
      <c r="H107" s="498">
        <f t="shared" si="11"/>
        <v>2000</v>
      </c>
      <c r="I107" s="230">
        <f t="shared" si="12"/>
        <v>0</v>
      </c>
    </row>
    <row r="108" spans="1:13" ht="21.75" customHeight="1">
      <c r="A108" s="9"/>
      <c r="B108" s="187" t="s">
        <v>312</v>
      </c>
      <c r="C108" s="279">
        <v>2500</v>
      </c>
      <c r="D108" s="230">
        <f>+'ต.ค.-ธ.ค.'!E109+'ต.ค.-ธ.ค.'!F109+'ต.ค.-ธ.ค.'!H109+'ต.ค.-ธ.ค.'!I109+'ต.ค.-ธ.ค.'!M109+'ต.ค.-ธ.ค.'!Q109+'ต.ค.-ธ.ค.'!S109</f>
        <v>0</v>
      </c>
      <c r="E108" s="230">
        <f>+'ม.ค.-มี.ค.'!D108+'ม.ค.-มี.ค.'!E108+'ม.ค.-มี.ค.'!F108+'ม.ค.-มี.ค.'!G108+'ม.ค.-มี.ค.'!H108+'ม.ค.-มี.ค.'!I108+'ม.ค.-มี.ค.'!J108+'ม.ค.-มี.ค.'!K108+'ม.ค.-มี.ค.'!L108+'ม.ค.-มี.ค.'!M108+'ม.ค.-มี.ค.'!N108+'ม.ค.-มี.ค.'!O108+'ม.ค.-มี.ค.'!P108+'ม.ค.-มี.ค.'!Q108+'ม.ค.-มี.ค.'!R108+'ม.ค.-มี.ค.'!S108+'ม.ค.-มี.ค.'!U108+'ม.ค.-มี.ค.'!V108</f>
        <v>0</v>
      </c>
      <c r="F108" s="230">
        <f>+'เม.ย.-มิ.ย.'!E108+'เม.ย.-มิ.ย.'!F108+'เม.ย.-มิ.ย.'!G108+'เม.ย.-มิ.ย.'!H108+'เม.ย.-มิ.ย.'!I108+'เม.ย.-มิ.ย.'!M108+'เม.ย.-มิ.ย.'!N108+'เม.ย.-มิ.ย.'!P108+'เม.ย.-มิ.ย.'!R108+'เม.ย.-มิ.ย.'!S108</f>
        <v>0</v>
      </c>
      <c r="G108" s="498">
        <f>+'ก.ค.-ก.ย.'!D108+'ก.ค.-ก.ย.'!E108+'ก.ค.-ก.ย.'!F108+'ก.ค.-ก.ย.'!G108+'ก.ค.-ก.ย.'!H108+'ก.ค.-ก.ย.'!I108+'ก.ค.-ก.ย.'!J108+'ก.ค.-ก.ย.'!K108+'ก.ค.-ก.ย.'!L108+'ก.ค.-ก.ย.'!M108+'ก.ค.-ก.ย.'!N108+'ก.ค.-ก.ย.'!O108+'ก.ค.-ก.ย.'!P108+'ก.ค.-ก.ย.'!Q108+'ก.ค.-ก.ย.'!R108+'ก.ค.-ก.ย.'!S108+'ก.ค.-ก.ย.'!T108+'ก.ค.-ก.ย.'!U108+'ก.ค.-ก.ย.'!V108</f>
        <v>2493</v>
      </c>
      <c r="H108" s="498">
        <f t="shared" si="11"/>
        <v>2493</v>
      </c>
      <c r="I108" s="230">
        <f t="shared" si="12"/>
        <v>7</v>
      </c>
    </row>
    <row r="109" spans="1:13" ht="21.75" customHeight="1">
      <c r="A109" s="9"/>
      <c r="B109" s="187" t="s">
        <v>313</v>
      </c>
      <c r="C109" s="279">
        <v>2500</v>
      </c>
      <c r="D109" s="230">
        <f>+'ต.ค.-ธ.ค.'!E110+'ต.ค.-ธ.ค.'!F110+'ต.ค.-ธ.ค.'!H110+'ต.ค.-ธ.ค.'!I110+'ต.ค.-ธ.ค.'!M110+'ต.ค.-ธ.ค.'!Q110+'ต.ค.-ธ.ค.'!S110</f>
        <v>0</v>
      </c>
      <c r="E109" s="230">
        <f>+'ม.ค.-มี.ค.'!D109+'ม.ค.-มี.ค.'!E109+'ม.ค.-มี.ค.'!F109+'ม.ค.-มี.ค.'!G109+'ม.ค.-มี.ค.'!H109+'ม.ค.-มี.ค.'!I109+'ม.ค.-มี.ค.'!J109+'ม.ค.-มี.ค.'!K109+'ม.ค.-มี.ค.'!L109+'ม.ค.-มี.ค.'!M109+'ม.ค.-มี.ค.'!N109+'ม.ค.-มี.ค.'!O109+'ม.ค.-มี.ค.'!P109+'ม.ค.-มี.ค.'!Q109+'ม.ค.-มี.ค.'!R109+'ม.ค.-มี.ค.'!S109+'ม.ค.-มี.ค.'!U109+'ม.ค.-มี.ค.'!V109</f>
        <v>0</v>
      </c>
      <c r="F109" s="230">
        <f>+'เม.ย.-มิ.ย.'!E109+'เม.ย.-มิ.ย.'!F109+'เม.ย.-มิ.ย.'!G109+'เม.ย.-มิ.ย.'!H109+'เม.ย.-มิ.ย.'!I109+'เม.ย.-มิ.ย.'!M109+'เม.ย.-มิ.ย.'!N109+'เม.ย.-มิ.ย.'!P109+'เม.ย.-มิ.ย.'!R109+'เม.ย.-มิ.ย.'!S109</f>
        <v>0</v>
      </c>
      <c r="G109" s="498">
        <f>+'ก.ค.-ก.ย.'!D109+'ก.ค.-ก.ย.'!E109+'ก.ค.-ก.ย.'!F109+'ก.ค.-ก.ย.'!G109+'ก.ค.-ก.ย.'!H109+'ก.ค.-ก.ย.'!I109+'ก.ค.-ก.ย.'!J109+'ก.ค.-ก.ย.'!K109+'ก.ค.-ก.ย.'!L109+'ก.ค.-ก.ย.'!M109+'ก.ค.-ก.ย.'!N109+'ก.ค.-ก.ย.'!O109+'ก.ค.-ก.ย.'!P109+'ก.ค.-ก.ย.'!Q109+'ก.ค.-ก.ย.'!R109+'ก.ค.-ก.ย.'!S109+'ก.ค.-ก.ย.'!T109+'ก.ค.-ก.ย.'!U109+'ก.ค.-ก.ย.'!V109</f>
        <v>2495</v>
      </c>
      <c r="H109" s="498">
        <f t="shared" si="11"/>
        <v>2495</v>
      </c>
      <c r="I109" s="230">
        <f t="shared" si="12"/>
        <v>5</v>
      </c>
    </row>
    <row r="110" spans="1:13" ht="21.75" customHeight="1">
      <c r="A110" s="9"/>
      <c r="B110" s="187" t="s">
        <v>314</v>
      </c>
      <c r="C110" s="279">
        <v>2500</v>
      </c>
      <c r="D110" s="230">
        <f>+'ต.ค.-ธ.ค.'!E111+'ต.ค.-ธ.ค.'!F111+'ต.ค.-ธ.ค.'!H111+'ต.ค.-ธ.ค.'!I111+'ต.ค.-ธ.ค.'!M111+'ต.ค.-ธ.ค.'!Q111+'ต.ค.-ธ.ค.'!S111</f>
        <v>0</v>
      </c>
      <c r="E110" s="230">
        <f>+'ม.ค.-มี.ค.'!D110+'ม.ค.-มี.ค.'!E110+'ม.ค.-มี.ค.'!F110+'ม.ค.-มี.ค.'!G110+'ม.ค.-มี.ค.'!H110+'ม.ค.-มี.ค.'!I110+'ม.ค.-มี.ค.'!J110+'ม.ค.-มี.ค.'!K110+'ม.ค.-มี.ค.'!L110+'ม.ค.-มี.ค.'!M110+'ม.ค.-มี.ค.'!N110+'ม.ค.-มี.ค.'!O110+'ม.ค.-มี.ค.'!P110+'ม.ค.-มี.ค.'!Q110+'ม.ค.-มี.ค.'!R110+'ม.ค.-มี.ค.'!S110+'ม.ค.-มี.ค.'!U110+'ม.ค.-มี.ค.'!V110</f>
        <v>0</v>
      </c>
      <c r="F110" s="230">
        <f>+'เม.ย.-มิ.ย.'!E110+'เม.ย.-มิ.ย.'!F110+'เม.ย.-มิ.ย.'!G110+'เม.ย.-มิ.ย.'!H110+'เม.ย.-มิ.ย.'!I110+'เม.ย.-มิ.ย.'!M110+'เม.ย.-มิ.ย.'!N110+'เม.ย.-มิ.ย.'!P110+'เม.ย.-มิ.ย.'!R110+'เม.ย.-มิ.ย.'!S110</f>
        <v>0</v>
      </c>
      <c r="G110" s="498">
        <f>+'ก.ค.-ก.ย.'!D110+'ก.ค.-ก.ย.'!E110+'ก.ค.-ก.ย.'!F110+'ก.ค.-ก.ย.'!G110+'ก.ค.-ก.ย.'!H110+'ก.ค.-ก.ย.'!I110+'ก.ค.-ก.ย.'!J110+'ก.ค.-ก.ย.'!K110+'ก.ค.-ก.ย.'!L110+'ก.ค.-ก.ย.'!M110+'ก.ค.-ก.ย.'!N110+'ก.ค.-ก.ย.'!O110+'ก.ค.-ก.ย.'!P110+'ก.ค.-ก.ย.'!Q110+'ก.ค.-ก.ย.'!R110+'ก.ค.-ก.ย.'!S110+'ก.ค.-ก.ย.'!T110+'ก.ค.-ก.ย.'!U110+'ก.ค.-ก.ย.'!V110</f>
        <v>2492</v>
      </c>
      <c r="H110" s="498">
        <f t="shared" si="11"/>
        <v>2492</v>
      </c>
      <c r="I110" s="230">
        <f t="shared" si="12"/>
        <v>8</v>
      </c>
    </row>
    <row r="111" spans="1:13" ht="21.75" customHeight="1">
      <c r="A111" s="9"/>
      <c r="B111" s="187" t="s">
        <v>255</v>
      </c>
      <c r="C111" s="279">
        <f>4000+2500</f>
        <v>6500</v>
      </c>
      <c r="D111" s="230">
        <f>+'ต.ค.-ธ.ค.'!E112+'ต.ค.-ธ.ค.'!F112+'ต.ค.-ธ.ค.'!H112+'ต.ค.-ธ.ค.'!I112+'ต.ค.-ธ.ค.'!M112+'ต.ค.-ธ.ค.'!Q112+'ต.ค.-ธ.ค.'!S112</f>
        <v>0</v>
      </c>
      <c r="E111" s="230">
        <f>+'ม.ค.-มี.ค.'!D111+'ม.ค.-มี.ค.'!E111+'ม.ค.-มี.ค.'!F111+'ม.ค.-มี.ค.'!G111+'ม.ค.-มี.ค.'!H111+'ม.ค.-มี.ค.'!I111+'ม.ค.-มี.ค.'!J111+'ม.ค.-มี.ค.'!K111+'ม.ค.-มี.ค.'!L111+'ม.ค.-มี.ค.'!M111+'ม.ค.-มี.ค.'!N111+'ม.ค.-มี.ค.'!O111+'ม.ค.-มี.ค.'!P111+'ม.ค.-มี.ค.'!Q111+'ม.ค.-มี.ค.'!R111+'ม.ค.-มี.ค.'!S111+'ม.ค.-มี.ค.'!U111+'ม.ค.-มี.ค.'!V111</f>
        <v>0</v>
      </c>
      <c r="F111" s="230">
        <f>+'เม.ย.-มิ.ย.'!E111+'เม.ย.-มิ.ย.'!F111+'เม.ย.-มิ.ย.'!G111+'เม.ย.-มิ.ย.'!H111+'เม.ย.-มิ.ย.'!I111+'เม.ย.-มิ.ย.'!M111+'เม.ย.-มิ.ย.'!N111+'เม.ย.-มิ.ย.'!P111+'เม.ย.-มิ.ย.'!R111+'เม.ย.-มิ.ย.'!S111</f>
        <v>0</v>
      </c>
      <c r="G111" s="498">
        <f>+'ก.ค.-ก.ย.'!D111+'ก.ค.-ก.ย.'!E111+'ก.ค.-ก.ย.'!F111+'ก.ค.-ก.ย.'!G111+'ก.ค.-ก.ย.'!H111+'ก.ค.-ก.ย.'!I111+'ก.ค.-ก.ย.'!J111+'ก.ค.-ก.ย.'!K111+'ก.ค.-ก.ย.'!L111+'ก.ค.-ก.ย.'!M111+'ก.ค.-ก.ย.'!N111+'ก.ค.-ก.ย.'!O111+'ก.ค.-ก.ย.'!P111+'ก.ค.-ก.ย.'!Q111+'ก.ค.-ก.ย.'!R111+'ก.ค.-ก.ย.'!S111+'ก.ค.-ก.ย.'!T111+'ก.ค.-ก.ย.'!U111+'ก.ค.-ก.ย.'!V111</f>
        <v>6500</v>
      </c>
      <c r="H111" s="498">
        <f t="shared" si="11"/>
        <v>6500</v>
      </c>
      <c r="I111" s="230">
        <f t="shared" si="12"/>
        <v>0</v>
      </c>
    </row>
    <row r="112" spans="1:13" ht="21.75" customHeight="1">
      <c r="A112" s="9"/>
      <c r="B112" s="187" t="s">
        <v>256</v>
      </c>
      <c r="C112" s="279">
        <f>2500+2500</f>
        <v>5000</v>
      </c>
      <c r="D112" s="230">
        <f>+'ต.ค.-ธ.ค.'!E113+'ต.ค.-ธ.ค.'!F113+'ต.ค.-ธ.ค.'!H113+'ต.ค.-ธ.ค.'!I113+'ต.ค.-ธ.ค.'!M113+'ต.ค.-ธ.ค.'!Q113+'ต.ค.-ธ.ค.'!S113</f>
        <v>0</v>
      </c>
      <c r="E112" s="230">
        <f>+'ม.ค.-มี.ค.'!D112+'ม.ค.-มี.ค.'!E112+'ม.ค.-มี.ค.'!F112+'ม.ค.-มี.ค.'!G112+'ม.ค.-มี.ค.'!H112+'ม.ค.-มี.ค.'!I112+'ม.ค.-มี.ค.'!J112+'ม.ค.-มี.ค.'!K112+'ม.ค.-มี.ค.'!L112+'ม.ค.-มี.ค.'!M112+'ม.ค.-มี.ค.'!N112+'ม.ค.-มี.ค.'!O112+'ม.ค.-มี.ค.'!P112+'ม.ค.-มี.ค.'!Q112+'ม.ค.-มี.ค.'!R112+'ม.ค.-มี.ค.'!S112+'ม.ค.-มี.ค.'!U112+'ม.ค.-มี.ค.'!V112</f>
        <v>0</v>
      </c>
      <c r="F112" s="230">
        <f>+'เม.ย.-มิ.ย.'!E112+'เม.ย.-มิ.ย.'!F112+'เม.ย.-มิ.ย.'!G112+'เม.ย.-มิ.ย.'!H112+'เม.ย.-มิ.ย.'!I112+'เม.ย.-มิ.ย.'!M112+'เม.ย.-มิ.ย.'!N112+'เม.ย.-มิ.ย.'!P112+'เม.ย.-มิ.ย.'!R112+'เม.ย.-มิ.ย.'!S112</f>
        <v>0</v>
      </c>
      <c r="G112" s="498">
        <f>+'ก.ค.-ก.ย.'!D112+'ก.ค.-ก.ย.'!E112+'ก.ค.-ก.ย.'!F112+'ก.ค.-ก.ย.'!G112+'ก.ค.-ก.ย.'!H112+'ก.ค.-ก.ย.'!I112+'ก.ค.-ก.ย.'!J112+'ก.ค.-ก.ย.'!K112+'ก.ค.-ก.ย.'!L112+'ก.ค.-ก.ย.'!M112+'ก.ค.-ก.ย.'!N112+'ก.ค.-ก.ย.'!O112+'ก.ค.-ก.ย.'!P112+'ก.ค.-ก.ย.'!Q112+'ก.ค.-ก.ย.'!R112+'ก.ค.-ก.ย.'!S112+'ก.ค.-ก.ย.'!T112+'ก.ค.-ก.ย.'!U112+'ก.ค.-ก.ย.'!V112</f>
        <v>4500</v>
      </c>
      <c r="H112" s="498">
        <f t="shared" si="11"/>
        <v>4500</v>
      </c>
      <c r="I112" s="230">
        <f t="shared" si="12"/>
        <v>500</v>
      </c>
    </row>
    <row r="113" spans="1:14" ht="21.75" customHeight="1">
      <c r="A113" s="9"/>
      <c r="B113" s="187" t="s">
        <v>257</v>
      </c>
      <c r="C113" s="279">
        <f>2500+2500</f>
        <v>5000</v>
      </c>
      <c r="D113" s="230">
        <f>+'ต.ค.-ธ.ค.'!E114+'ต.ค.-ธ.ค.'!F114+'ต.ค.-ธ.ค.'!H114+'ต.ค.-ธ.ค.'!I114+'ต.ค.-ธ.ค.'!M114+'ต.ค.-ธ.ค.'!Q114+'ต.ค.-ธ.ค.'!S114</f>
        <v>0</v>
      </c>
      <c r="E113" s="230">
        <f>+'ม.ค.-มี.ค.'!D113+'ม.ค.-มี.ค.'!E113+'ม.ค.-มี.ค.'!F113+'ม.ค.-มี.ค.'!G113+'ม.ค.-มี.ค.'!H113+'ม.ค.-มี.ค.'!I113+'ม.ค.-มี.ค.'!J113+'ม.ค.-มี.ค.'!K113+'ม.ค.-มี.ค.'!L113+'ม.ค.-มี.ค.'!M113+'ม.ค.-มี.ค.'!N113+'ม.ค.-มี.ค.'!O113+'ม.ค.-มี.ค.'!P113+'ม.ค.-มี.ค.'!Q113+'ม.ค.-มี.ค.'!R113+'ม.ค.-มี.ค.'!S113+'ม.ค.-มี.ค.'!U113+'ม.ค.-มี.ค.'!V113</f>
        <v>0</v>
      </c>
      <c r="F113" s="230">
        <f>+'เม.ย.-มิ.ย.'!E113+'เม.ย.-มิ.ย.'!F113+'เม.ย.-มิ.ย.'!G113+'เม.ย.-มิ.ย.'!H113+'เม.ย.-มิ.ย.'!I113+'เม.ย.-มิ.ย.'!M113+'เม.ย.-มิ.ย.'!N113+'เม.ย.-มิ.ย.'!P113+'เม.ย.-มิ.ย.'!R113+'เม.ย.-มิ.ย.'!S113</f>
        <v>0</v>
      </c>
      <c r="G113" s="498">
        <f>+'ก.ค.-ก.ย.'!D113+'ก.ค.-ก.ย.'!E113+'ก.ค.-ก.ย.'!F113+'ก.ค.-ก.ย.'!G113+'ก.ค.-ก.ย.'!H113+'ก.ค.-ก.ย.'!I113+'ก.ค.-ก.ย.'!J113+'ก.ค.-ก.ย.'!K113+'ก.ค.-ก.ย.'!L113+'ก.ค.-ก.ย.'!M113+'ก.ค.-ก.ย.'!N113+'ก.ค.-ก.ย.'!O113+'ก.ค.-ก.ย.'!P113+'ก.ค.-ก.ย.'!Q113+'ก.ค.-ก.ย.'!R113+'ก.ค.-ก.ย.'!S113+'ก.ค.-ก.ย.'!T113+'ก.ค.-ก.ย.'!U113+'ก.ค.-ก.ย.'!V113</f>
        <v>4500</v>
      </c>
      <c r="H113" s="498">
        <f t="shared" si="11"/>
        <v>4500</v>
      </c>
      <c r="I113" s="230">
        <f t="shared" si="12"/>
        <v>500</v>
      </c>
    </row>
    <row r="114" spans="1:14" ht="21.75" customHeight="1">
      <c r="A114" s="9"/>
      <c r="B114" s="187" t="s">
        <v>258</v>
      </c>
      <c r="C114" s="279">
        <f>2500+2500</f>
        <v>5000</v>
      </c>
      <c r="D114" s="230">
        <f>+'ต.ค.-ธ.ค.'!E115+'ต.ค.-ธ.ค.'!F115+'ต.ค.-ธ.ค.'!H115+'ต.ค.-ธ.ค.'!I115+'ต.ค.-ธ.ค.'!M115+'ต.ค.-ธ.ค.'!Q115+'ต.ค.-ธ.ค.'!S115</f>
        <v>0</v>
      </c>
      <c r="E114" s="230">
        <f>+'ม.ค.-มี.ค.'!D114+'ม.ค.-มี.ค.'!E114+'ม.ค.-มี.ค.'!F114+'ม.ค.-มี.ค.'!G114+'ม.ค.-มี.ค.'!H114+'ม.ค.-มี.ค.'!I114+'ม.ค.-มี.ค.'!J114+'ม.ค.-มี.ค.'!K114+'ม.ค.-มี.ค.'!L114+'ม.ค.-มี.ค.'!M114+'ม.ค.-มี.ค.'!N114+'ม.ค.-มี.ค.'!O114+'ม.ค.-มี.ค.'!P114+'ม.ค.-มี.ค.'!Q114+'ม.ค.-มี.ค.'!R114+'ม.ค.-มี.ค.'!S114+'ม.ค.-มี.ค.'!U114+'ม.ค.-มี.ค.'!V114</f>
        <v>0</v>
      </c>
      <c r="F114" s="230">
        <f>+'เม.ย.-มิ.ย.'!E114+'เม.ย.-มิ.ย.'!F114+'เม.ย.-มิ.ย.'!G114+'เม.ย.-มิ.ย.'!H114+'เม.ย.-มิ.ย.'!I114+'เม.ย.-มิ.ย.'!M114+'เม.ย.-มิ.ย.'!N114+'เม.ย.-มิ.ย.'!P114+'เม.ย.-มิ.ย.'!R114+'เม.ย.-มิ.ย.'!S114</f>
        <v>0</v>
      </c>
      <c r="G114" s="498">
        <f>+'ก.ค.-ก.ย.'!D114+'ก.ค.-ก.ย.'!E114+'ก.ค.-ก.ย.'!F114+'ก.ค.-ก.ย.'!G114+'ก.ค.-ก.ย.'!H114+'ก.ค.-ก.ย.'!I114+'ก.ค.-ก.ย.'!J114+'ก.ค.-ก.ย.'!K114+'ก.ค.-ก.ย.'!L114+'ก.ค.-ก.ย.'!M114+'ก.ค.-ก.ย.'!N114+'ก.ค.-ก.ย.'!O114+'ก.ค.-ก.ย.'!P114+'ก.ค.-ก.ย.'!Q114+'ก.ค.-ก.ย.'!R114+'ก.ค.-ก.ย.'!S114+'ก.ค.-ก.ย.'!T114+'ก.ค.-ก.ย.'!U114+'ก.ค.-ก.ย.'!V114</f>
        <v>4500</v>
      </c>
      <c r="H114" s="498">
        <f t="shared" si="11"/>
        <v>4500</v>
      </c>
      <c r="I114" s="230">
        <f t="shared" si="12"/>
        <v>500</v>
      </c>
    </row>
    <row r="115" spans="1:14" s="172" customFormat="1" ht="21.75" customHeight="1">
      <c r="A115" s="9"/>
      <c r="B115" s="187" t="s">
        <v>259</v>
      </c>
      <c r="C115" s="279">
        <v>1000</v>
      </c>
      <c r="D115" s="230">
        <f>+'ต.ค.-ธ.ค.'!E116+'ต.ค.-ธ.ค.'!F116+'ต.ค.-ธ.ค.'!H116+'ต.ค.-ธ.ค.'!I116+'ต.ค.-ธ.ค.'!M116+'ต.ค.-ธ.ค.'!Q116+'ต.ค.-ธ.ค.'!S116</f>
        <v>0</v>
      </c>
      <c r="E115" s="230">
        <f>+'ม.ค.-มี.ค.'!D115+'ม.ค.-มี.ค.'!E115+'ม.ค.-มี.ค.'!F115+'ม.ค.-มี.ค.'!G115+'ม.ค.-มี.ค.'!H115+'ม.ค.-มี.ค.'!I115+'ม.ค.-มี.ค.'!J115+'ม.ค.-มี.ค.'!K115+'ม.ค.-มี.ค.'!L115+'ม.ค.-มี.ค.'!M115+'ม.ค.-มี.ค.'!N115+'ม.ค.-มี.ค.'!O115+'ม.ค.-มี.ค.'!P115+'ม.ค.-มี.ค.'!Q115+'ม.ค.-มี.ค.'!R115+'ม.ค.-มี.ค.'!S115+'ม.ค.-มี.ค.'!U115+'ม.ค.-มี.ค.'!V115</f>
        <v>0</v>
      </c>
      <c r="F115" s="230">
        <f>+'เม.ย.-มิ.ย.'!E115+'เม.ย.-มิ.ย.'!F115+'เม.ย.-มิ.ย.'!G115+'เม.ย.-มิ.ย.'!H115+'เม.ย.-มิ.ย.'!I115+'เม.ย.-มิ.ย.'!M115+'เม.ย.-มิ.ย.'!N115+'เม.ย.-มิ.ย.'!P115+'เม.ย.-มิ.ย.'!R115+'เม.ย.-มิ.ย.'!S115</f>
        <v>0</v>
      </c>
      <c r="G115" s="498">
        <f>+'ก.ค.-ก.ย.'!D115+'ก.ค.-ก.ย.'!E115+'ก.ค.-ก.ย.'!F115+'ก.ค.-ก.ย.'!G115+'ก.ค.-ก.ย.'!H115+'ก.ค.-ก.ย.'!I115+'ก.ค.-ก.ย.'!J115+'ก.ค.-ก.ย.'!K115+'ก.ค.-ก.ย.'!L115+'ก.ค.-ก.ย.'!M115+'ก.ค.-ก.ย.'!N115+'ก.ค.-ก.ย.'!O115+'ก.ค.-ก.ย.'!P115+'ก.ค.-ก.ย.'!Q115+'ก.ค.-ก.ย.'!R115+'ก.ค.-ก.ย.'!S115+'ก.ค.-ก.ย.'!T115+'ก.ค.-ก.ย.'!U115+'ก.ค.-ก.ย.'!V115</f>
        <v>0</v>
      </c>
      <c r="H115" s="498">
        <f t="shared" si="11"/>
        <v>0</v>
      </c>
      <c r="I115" s="230">
        <f t="shared" ref="I115:I146" si="13">+C115-H115</f>
        <v>1000</v>
      </c>
      <c r="J115" s="233"/>
      <c r="K115" s="331"/>
      <c r="L115" s="330"/>
      <c r="M115" s="330"/>
    </row>
    <row r="116" spans="1:14" ht="21.75" customHeight="1">
      <c r="A116" s="9"/>
      <c r="B116" s="187" t="s">
        <v>260</v>
      </c>
      <c r="C116" s="279">
        <v>1000</v>
      </c>
      <c r="D116" s="230">
        <f>+'ต.ค.-ธ.ค.'!E117+'ต.ค.-ธ.ค.'!F117+'ต.ค.-ธ.ค.'!H117+'ต.ค.-ธ.ค.'!I117+'ต.ค.-ธ.ค.'!M117+'ต.ค.-ธ.ค.'!Q117+'ต.ค.-ธ.ค.'!S117</f>
        <v>0</v>
      </c>
      <c r="E116" s="230">
        <f>+'ม.ค.-มี.ค.'!D116+'ม.ค.-มี.ค.'!E116+'ม.ค.-มี.ค.'!F116+'ม.ค.-มี.ค.'!G116+'ม.ค.-มี.ค.'!H116+'ม.ค.-มี.ค.'!I116+'ม.ค.-มี.ค.'!J116+'ม.ค.-มี.ค.'!K116+'ม.ค.-มี.ค.'!L116+'ม.ค.-มี.ค.'!M116+'ม.ค.-มี.ค.'!N116+'ม.ค.-มี.ค.'!O116+'ม.ค.-มี.ค.'!P116+'ม.ค.-มี.ค.'!Q116+'ม.ค.-มี.ค.'!R116+'ม.ค.-มี.ค.'!S116+'ม.ค.-มี.ค.'!U116+'ม.ค.-มี.ค.'!V116</f>
        <v>0</v>
      </c>
      <c r="F116" s="230">
        <f>+'เม.ย.-มิ.ย.'!E116+'เม.ย.-มิ.ย.'!F116+'เม.ย.-มิ.ย.'!G116+'เม.ย.-มิ.ย.'!H116+'เม.ย.-มิ.ย.'!I116+'เม.ย.-มิ.ย.'!M116+'เม.ย.-มิ.ย.'!N116+'เม.ย.-มิ.ย.'!P116+'เม.ย.-มิ.ย.'!R116+'เม.ย.-มิ.ย.'!S116</f>
        <v>0</v>
      </c>
      <c r="G116" s="498">
        <f>+'ก.ค.-ก.ย.'!D116+'ก.ค.-ก.ย.'!E116+'ก.ค.-ก.ย.'!F116+'ก.ค.-ก.ย.'!G116+'ก.ค.-ก.ย.'!H116+'ก.ค.-ก.ย.'!I116+'ก.ค.-ก.ย.'!J116+'ก.ค.-ก.ย.'!K116+'ก.ค.-ก.ย.'!L116+'ก.ค.-ก.ย.'!M116+'ก.ค.-ก.ย.'!N116+'ก.ค.-ก.ย.'!O116+'ก.ค.-ก.ย.'!P116+'ก.ค.-ก.ย.'!Q116+'ก.ค.-ก.ย.'!R116+'ก.ค.-ก.ย.'!S116+'ก.ค.-ก.ย.'!T116+'ก.ค.-ก.ย.'!U116+'ก.ค.-ก.ย.'!V116</f>
        <v>0</v>
      </c>
      <c r="H116" s="498">
        <f t="shared" si="11"/>
        <v>0</v>
      </c>
      <c r="I116" s="230">
        <f t="shared" si="13"/>
        <v>1000</v>
      </c>
    </row>
    <row r="117" spans="1:14" ht="21.75" customHeight="1">
      <c r="A117" s="9"/>
      <c r="B117" s="187" t="s">
        <v>261</v>
      </c>
      <c r="C117" s="279">
        <f>1000-1000</f>
        <v>0</v>
      </c>
      <c r="D117" s="230">
        <f>+'ต.ค.-ธ.ค.'!E118+'ต.ค.-ธ.ค.'!F118+'ต.ค.-ธ.ค.'!H118+'ต.ค.-ธ.ค.'!I118+'ต.ค.-ธ.ค.'!M118+'ต.ค.-ธ.ค.'!Q118+'ต.ค.-ธ.ค.'!S118</f>
        <v>0</v>
      </c>
      <c r="E117" s="230">
        <f>+'ม.ค.-มี.ค.'!D117+'ม.ค.-มี.ค.'!E117+'ม.ค.-มี.ค.'!F117+'ม.ค.-มี.ค.'!G117+'ม.ค.-มี.ค.'!H117+'ม.ค.-มี.ค.'!I117+'ม.ค.-มี.ค.'!J117+'ม.ค.-มี.ค.'!K117+'ม.ค.-มี.ค.'!L117+'ม.ค.-มี.ค.'!M117+'ม.ค.-มี.ค.'!N117+'ม.ค.-มี.ค.'!O117+'ม.ค.-มี.ค.'!P117+'ม.ค.-มี.ค.'!Q117+'ม.ค.-มี.ค.'!R117+'ม.ค.-มี.ค.'!S117+'ม.ค.-มี.ค.'!U117+'ม.ค.-มี.ค.'!V117</f>
        <v>0</v>
      </c>
      <c r="F117" s="230">
        <f>+'เม.ย.-มิ.ย.'!E117+'เม.ย.-มิ.ย.'!F117+'เม.ย.-มิ.ย.'!G117+'เม.ย.-มิ.ย.'!H117+'เม.ย.-มิ.ย.'!I117+'เม.ย.-มิ.ย.'!M117+'เม.ย.-มิ.ย.'!N117+'เม.ย.-มิ.ย.'!P117+'เม.ย.-มิ.ย.'!R117+'เม.ย.-มิ.ย.'!S117</f>
        <v>0</v>
      </c>
      <c r="G117" s="498">
        <f>+'ก.ค.-ก.ย.'!D117+'ก.ค.-ก.ย.'!E117+'ก.ค.-ก.ย.'!F117+'ก.ค.-ก.ย.'!G117+'ก.ค.-ก.ย.'!H117+'ก.ค.-ก.ย.'!I117+'ก.ค.-ก.ย.'!J117+'ก.ค.-ก.ย.'!K117+'ก.ค.-ก.ย.'!L117+'ก.ค.-ก.ย.'!M117+'ก.ค.-ก.ย.'!N117+'ก.ค.-ก.ย.'!O117+'ก.ค.-ก.ย.'!P117+'ก.ค.-ก.ย.'!Q117+'ก.ค.-ก.ย.'!R117+'ก.ค.-ก.ย.'!S117+'ก.ค.-ก.ย.'!T117+'ก.ค.-ก.ย.'!U117+'ก.ค.-ก.ย.'!V117</f>
        <v>0</v>
      </c>
      <c r="H117" s="498">
        <f t="shared" si="11"/>
        <v>0</v>
      </c>
      <c r="I117" s="498">
        <f t="shared" si="13"/>
        <v>0</v>
      </c>
      <c r="K117" s="331"/>
      <c r="L117" s="338"/>
      <c r="M117" s="247"/>
      <c r="N117" s="168"/>
    </row>
    <row r="118" spans="1:14" ht="21.75" customHeight="1">
      <c r="A118" s="9"/>
      <c r="B118" s="187" t="s">
        <v>262</v>
      </c>
      <c r="C118" s="279">
        <v>1000</v>
      </c>
      <c r="D118" s="230">
        <f>+'ต.ค.-ธ.ค.'!E119+'ต.ค.-ธ.ค.'!F119+'ต.ค.-ธ.ค.'!H119+'ต.ค.-ธ.ค.'!I119+'ต.ค.-ธ.ค.'!M119+'ต.ค.-ธ.ค.'!Q119+'ต.ค.-ธ.ค.'!S119</f>
        <v>0</v>
      </c>
      <c r="E118" s="230">
        <f>+'ม.ค.-มี.ค.'!D118+'ม.ค.-มี.ค.'!E118+'ม.ค.-มี.ค.'!F118+'ม.ค.-มี.ค.'!G118+'ม.ค.-มี.ค.'!H118+'ม.ค.-มี.ค.'!I118+'ม.ค.-มี.ค.'!J118+'ม.ค.-มี.ค.'!K118+'ม.ค.-มี.ค.'!L118+'ม.ค.-มี.ค.'!M118+'ม.ค.-มี.ค.'!N118+'ม.ค.-มี.ค.'!O118+'ม.ค.-มี.ค.'!P118+'ม.ค.-มี.ค.'!Q118+'ม.ค.-มี.ค.'!R118+'ม.ค.-มี.ค.'!S118+'ม.ค.-มี.ค.'!U118+'ม.ค.-มี.ค.'!V118</f>
        <v>0</v>
      </c>
      <c r="F118" s="230">
        <f>+'เม.ย.-มิ.ย.'!E118+'เม.ย.-มิ.ย.'!F118+'เม.ย.-มิ.ย.'!G118+'เม.ย.-มิ.ย.'!H118+'เม.ย.-มิ.ย.'!I118+'เม.ย.-มิ.ย.'!M118+'เม.ย.-มิ.ย.'!N118+'เม.ย.-มิ.ย.'!P118+'เม.ย.-มิ.ย.'!R118+'เม.ย.-มิ.ย.'!S118</f>
        <v>0</v>
      </c>
      <c r="G118" s="498">
        <f>+'ก.ค.-ก.ย.'!D118+'ก.ค.-ก.ย.'!E118+'ก.ค.-ก.ย.'!F118+'ก.ค.-ก.ย.'!G118+'ก.ค.-ก.ย.'!H118+'ก.ค.-ก.ย.'!I118+'ก.ค.-ก.ย.'!J118+'ก.ค.-ก.ย.'!K118+'ก.ค.-ก.ย.'!L118+'ก.ค.-ก.ย.'!M118+'ก.ค.-ก.ย.'!N118+'ก.ค.-ก.ย.'!O118+'ก.ค.-ก.ย.'!P118+'ก.ค.-ก.ย.'!Q118+'ก.ค.-ก.ย.'!R118+'ก.ค.-ก.ย.'!S118+'ก.ค.-ก.ย.'!T118+'ก.ค.-ก.ย.'!U118+'ก.ค.-ก.ย.'!V118</f>
        <v>1000</v>
      </c>
      <c r="H118" s="498">
        <f t="shared" si="11"/>
        <v>1000</v>
      </c>
      <c r="I118" s="230">
        <f t="shared" si="13"/>
        <v>0</v>
      </c>
      <c r="K118" s="331"/>
      <c r="L118" s="338"/>
      <c r="M118" s="247"/>
      <c r="N118" s="168"/>
    </row>
    <row r="119" spans="1:14" ht="21.75" customHeight="1">
      <c r="A119" s="9"/>
      <c r="B119" s="187" t="s">
        <v>211</v>
      </c>
      <c r="C119" s="279">
        <f>392000-2500-1500-9000-2500-3700</f>
        <v>372800</v>
      </c>
      <c r="D119" s="230">
        <f>+'ต.ค.-ธ.ค.'!E120+'ต.ค.-ธ.ค.'!F120+'ต.ค.-ธ.ค.'!H120+'ต.ค.-ธ.ค.'!I120+'ต.ค.-ธ.ค.'!M120+'ต.ค.-ธ.ค.'!Q120+'ต.ค.-ธ.ค.'!S120</f>
        <v>104000</v>
      </c>
      <c r="E119" s="230">
        <f>+'ม.ค.-มี.ค.'!D119+'ม.ค.-มี.ค.'!E119+'ม.ค.-มี.ค.'!F119+'ม.ค.-มี.ค.'!G119+'ม.ค.-มี.ค.'!H119+'ม.ค.-มี.ค.'!I119+'ม.ค.-มี.ค.'!J119+'ม.ค.-มี.ค.'!K119+'ม.ค.-มี.ค.'!L119+'ม.ค.-มี.ค.'!M119+'ม.ค.-มี.ค.'!N119+'ม.ค.-มี.ค.'!O119+'ม.ค.-มี.ค.'!P119+'ม.ค.-มี.ค.'!Q119+'ม.ค.-มี.ค.'!R119+'ม.ค.-มี.ค.'!S119+'ม.ค.-มี.ค.'!U119+'ม.ค.-มี.ค.'!V119</f>
        <v>93600</v>
      </c>
      <c r="F119" s="230">
        <f>+'เม.ย.-มิ.ย.'!E119+'เม.ย.-มิ.ย.'!F119+'เม.ย.-มิ.ย.'!G119+'เม.ย.-มิ.ย.'!H119+'เม.ย.-มิ.ย.'!I119+'เม.ย.-มิ.ย.'!M119+'เม.ย.-มิ.ย.'!N119+'เม.ย.-มิ.ย.'!P119+'เม.ย.-มิ.ย.'!R119+'เม.ย.-มิ.ย.'!S119</f>
        <v>93600</v>
      </c>
      <c r="G119" s="498">
        <f>+'ก.ค.-ก.ย.'!D119+'ก.ค.-ก.ย.'!E119+'ก.ค.-ก.ย.'!F119+'ก.ค.-ก.ย.'!G119+'ก.ค.-ก.ย.'!H119+'ก.ค.-ก.ย.'!I119+'ก.ค.-ก.ย.'!J119+'ก.ค.-ก.ย.'!K119+'ก.ค.-ก.ย.'!L119+'ก.ค.-ก.ย.'!M119+'ก.ค.-ก.ย.'!N119+'ก.ค.-ก.ย.'!O119+'ก.ค.-ก.ย.'!P119+'ก.ค.-ก.ย.'!Q119+'ก.ค.-ก.ย.'!R119+'ก.ค.-ก.ย.'!S119+'ก.ค.-ก.ย.'!T119+'ก.ค.-ก.ย.'!U119+'ก.ค.-ก.ย.'!V119</f>
        <v>81600</v>
      </c>
      <c r="H119" s="498">
        <f t="shared" si="11"/>
        <v>372800</v>
      </c>
      <c r="I119" s="230">
        <f t="shared" si="13"/>
        <v>0</v>
      </c>
    </row>
    <row r="120" spans="1:14" ht="21.75" customHeight="1">
      <c r="A120" s="9"/>
      <c r="B120" s="187" t="s">
        <v>263</v>
      </c>
      <c r="C120" s="279">
        <f>200900+3700</f>
        <v>204600</v>
      </c>
      <c r="D120" s="230">
        <f>+'ต.ค.-ธ.ค.'!E121+'ต.ค.-ธ.ค.'!F121+'ต.ค.-ธ.ค.'!H121+'ต.ค.-ธ.ค.'!I121+'ต.ค.-ธ.ค.'!M121+'ต.ค.-ธ.ค.'!Q121+'ต.ค.-ธ.ค.'!S121</f>
        <v>54600</v>
      </c>
      <c r="E120" s="230">
        <f>+'ม.ค.-มี.ค.'!D120+'ม.ค.-มี.ค.'!E120+'ม.ค.-มี.ค.'!F120+'ม.ค.-มี.ค.'!G120+'ม.ค.-มี.ค.'!H120+'ม.ค.-มี.ค.'!I120+'ม.ค.-มี.ค.'!J120+'ม.ค.-มี.ค.'!K120+'ม.ค.-มี.ค.'!L120+'ม.ค.-มี.ค.'!M120+'ม.ค.-มี.ค.'!N120+'ม.ค.-มี.ค.'!O120+'ม.ค.-มี.ค.'!P120+'ม.ค.-มี.ค.'!Q120+'ม.ค.-มี.ค.'!R120+'ม.ค.-มี.ค.'!S120+'ม.ค.-มี.ค.'!U120+'ม.ค.-มี.ค.'!V120</f>
        <v>50400</v>
      </c>
      <c r="F120" s="230">
        <f>+'เม.ย.-มิ.ย.'!E120+'เม.ย.-มิ.ย.'!F120+'เม.ย.-มิ.ย.'!G120+'เม.ย.-มิ.ย.'!H120+'เม.ย.-มิ.ย.'!I120+'เม.ย.-มิ.ย.'!M120+'เม.ย.-มิ.ย.'!N120+'เม.ย.-มิ.ย.'!P120+'เม.ย.-มิ.ย.'!R120+'เม.ย.-มิ.ย.'!S120</f>
        <v>50400</v>
      </c>
      <c r="G120" s="498">
        <f>+'ก.ค.-ก.ย.'!D120+'ก.ค.-ก.ย.'!E120+'ก.ค.-ก.ย.'!F120+'ก.ค.-ก.ย.'!G120+'ก.ค.-ก.ย.'!H120+'ก.ค.-ก.ย.'!I120+'ก.ค.-ก.ย.'!J120+'ก.ค.-ก.ย.'!K120+'ก.ค.-ก.ย.'!L120+'ก.ค.-ก.ย.'!M120+'ก.ค.-ก.ย.'!N120+'ก.ค.-ก.ย.'!O120+'ก.ค.-ก.ย.'!P120+'ก.ค.-ก.ย.'!Q120+'ก.ค.-ก.ย.'!R120+'ก.ค.-ก.ย.'!S120+'ก.ค.-ก.ย.'!T120+'ก.ค.-ก.ย.'!U120+'ก.ค.-ก.ย.'!V120</f>
        <v>49200</v>
      </c>
      <c r="H120" s="498">
        <f t="shared" si="11"/>
        <v>204600</v>
      </c>
      <c r="I120" s="498">
        <f t="shared" si="13"/>
        <v>0</v>
      </c>
    </row>
    <row r="121" spans="1:14" ht="21.75" customHeight="1">
      <c r="A121" s="9"/>
      <c r="B121" s="187" t="s">
        <v>315</v>
      </c>
      <c r="C121" s="279">
        <v>230300</v>
      </c>
      <c r="D121" s="230">
        <f>+'ต.ค.-ธ.ค.'!E122+'ต.ค.-ธ.ค.'!F122+'ต.ค.-ธ.ค.'!H122+'ต.ค.-ธ.ค.'!I122+'ต.ค.-ธ.ค.'!M122+'ต.ค.-ธ.ค.'!Q122+'ต.ค.-ธ.ค.'!S122</f>
        <v>59800</v>
      </c>
      <c r="E121" s="230">
        <f>+'ม.ค.-มี.ค.'!D121+'ม.ค.-มี.ค.'!E121+'ม.ค.-มี.ค.'!F121+'ม.ค.-มี.ค.'!G121+'ม.ค.-มี.ค.'!H121+'ม.ค.-มี.ค.'!I121+'ม.ค.-มี.ค.'!J121+'ม.ค.-มี.ค.'!K121+'ม.ค.-มี.ค.'!L121+'ม.ค.-มี.ค.'!M121+'ม.ค.-มี.ค.'!N121+'ม.ค.-มี.ค.'!O121+'ม.ค.-มี.ค.'!P121+'ม.ค.-มี.ค.'!Q121+'ม.ค.-มี.ค.'!R121+'ม.ค.-มี.ค.'!S121+'ม.ค.-มี.ค.'!U121+'ม.ค.-มี.ค.'!V121</f>
        <v>55200</v>
      </c>
      <c r="F121" s="230">
        <f>+'เม.ย.-มิ.ย.'!E121+'เม.ย.-มิ.ย.'!F121+'เม.ย.-มิ.ย.'!G121+'เม.ย.-มิ.ย.'!H121+'เม.ย.-มิ.ย.'!I121+'เม.ย.-มิ.ย.'!M121+'เม.ย.-มิ.ย.'!N121+'เม.ย.-มิ.ย.'!P121+'เม.ย.-มิ.ย.'!R121+'เม.ย.-มิ.ย.'!S121</f>
        <v>55200</v>
      </c>
      <c r="G121" s="498">
        <f>+'ก.ค.-ก.ย.'!D121+'ก.ค.-ก.ย.'!E121+'ก.ค.-ก.ย.'!F121+'ก.ค.-ก.ย.'!G121+'ก.ค.-ก.ย.'!H121+'ก.ค.-ก.ย.'!I121+'ก.ค.-ก.ย.'!J121+'ก.ค.-ก.ย.'!K121+'ก.ค.-ก.ย.'!L121+'ก.ค.-ก.ย.'!M121+'ก.ค.-ก.ย.'!N121+'ก.ค.-ก.ย.'!O121+'ก.ค.-ก.ย.'!P121+'ก.ค.-ก.ย.'!Q121+'ก.ค.-ก.ย.'!R121+'ก.ค.-ก.ย.'!S121+'ก.ค.-ก.ย.'!T121+'ก.ค.-ก.ย.'!U121+'ก.ค.-ก.ย.'!V121</f>
        <v>60000</v>
      </c>
      <c r="H121" s="498">
        <f t="shared" si="11"/>
        <v>230200</v>
      </c>
      <c r="I121" s="230">
        <f t="shared" si="13"/>
        <v>100</v>
      </c>
    </row>
    <row r="122" spans="1:14" ht="21.75" customHeight="1">
      <c r="A122" s="9"/>
      <c r="B122" s="187" t="s">
        <v>212</v>
      </c>
      <c r="C122" s="279">
        <f>171500-2500-1100</f>
        <v>167900</v>
      </c>
      <c r="D122" s="230">
        <f>+'ต.ค.-ธ.ค.'!E123+'ต.ค.-ธ.ค.'!F123+'ต.ค.-ธ.ค.'!H123+'ต.ค.-ธ.ค.'!I123+'ต.ค.-ธ.ค.'!M123+'ต.ค.-ธ.ค.'!Q123+'ต.ค.-ธ.ค.'!S123</f>
        <v>45500</v>
      </c>
      <c r="E122" s="230">
        <f>+'ม.ค.-มี.ค.'!D122+'ม.ค.-มี.ค.'!E122+'ม.ค.-มี.ค.'!F122+'ม.ค.-มี.ค.'!G122+'ม.ค.-มี.ค.'!H122+'ม.ค.-มี.ค.'!I122+'ม.ค.-มี.ค.'!J122+'ม.ค.-มี.ค.'!K122+'ม.ค.-มี.ค.'!L122+'ม.ค.-มี.ค.'!M122+'ม.ค.-มี.ค.'!N122+'ม.ค.-มี.ค.'!O122+'ม.ค.-มี.ค.'!P122+'ม.ค.-มี.ค.'!Q122+'ม.ค.-มี.ค.'!R122+'ม.ค.-มี.ค.'!S122+'ม.ค.-มี.ค.'!U122+'ม.ค.-มี.ค.'!V122</f>
        <v>43200</v>
      </c>
      <c r="F122" s="230">
        <f>+'เม.ย.-มิ.ย.'!E122+'เม.ย.-มิ.ย.'!F122+'เม.ย.-มิ.ย.'!G122+'เม.ย.-มิ.ย.'!H122+'เม.ย.-มิ.ย.'!I122+'เม.ย.-มิ.ย.'!M122+'เม.ย.-มิ.ย.'!N122+'เม.ย.-มิ.ย.'!P122+'เม.ย.-มิ.ย.'!R122+'เม.ย.-มิ.ย.'!S122</f>
        <v>43200</v>
      </c>
      <c r="G122" s="498">
        <f>+'ก.ค.-ก.ย.'!D122+'ก.ค.-ก.ย.'!E122+'ก.ค.-ก.ย.'!F122+'ก.ค.-ก.ย.'!G122+'ก.ค.-ก.ย.'!H122+'ก.ค.-ก.ย.'!I122+'ก.ค.-ก.ย.'!J122+'ก.ค.-ก.ย.'!K122+'ก.ค.-ก.ย.'!L122+'ก.ค.-ก.ย.'!M122+'ก.ค.-ก.ย.'!N122+'ก.ค.-ก.ย.'!O122+'ก.ค.-ก.ย.'!P122+'ก.ค.-ก.ย.'!Q122+'ก.ค.-ก.ย.'!R122+'ก.ค.-ก.ย.'!S122+'ก.ค.-ก.ย.'!T122+'ก.ค.-ก.ย.'!U122+'ก.ค.-ก.ย.'!V122</f>
        <v>36000</v>
      </c>
      <c r="H122" s="498">
        <f t="shared" si="11"/>
        <v>167900</v>
      </c>
      <c r="I122" s="498">
        <f t="shared" si="13"/>
        <v>0</v>
      </c>
    </row>
    <row r="123" spans="1:14" ht="21.75" customHeight="1">
      <c r="A123" s="9"/>
      <c r="B123" s="187" t="s">
        <v>140</v>
      </c>
      <c r="C123" s="279">
        <v>50000</v>
      </c>
      <c r="D123" s="230">
        <f>+'ต.ค.-ธ.ค.'!E124+'ต.ค.-ธ.ค.'!F124+'ต.ค.-ธ.ค.'!H124+'ต.ค.-ธ.ค.'!I124+'ต.ค.-ธ.ค.'!M124+'ต.ค.-ธ.ค.'!Q124+'ต.ค.-ธ.ค.'!S124</f>
        <v>0</v>
      </c>
      <c r="E123" s="230">
        <f>+'ม.ค.-มี.ค.'!D123+'ม.ค.-มี.ค.'!E123+'ม.ค.-มี.ค.'!F123+'ม.ค.-มี.ค.'!G123+'ม.ค.-มี.ค.'!H123+'ม.ค.-มี.ค.'!I123+'ม.ค.-มี.ค.'!J123+'ม.ค.-มี.ค.'!K123+'ม.ค.-มี.ค.'!L123+'ม.ค.-มี.ค.'!M123+'ม.ค.-มี.ค.'!N123+'ม.ค.-มี.ค.'!O123+'ม.ค.-มี.ค.'!P123+'ม.ค.-มี.ค.'!Q123+'ม.ค.-มี.ค.'!R123+'ม.ค.-มี.ค.'!S123+'ม.ค.-มี.ค.'!U123+'ม.ค.-มี.ค.'!V123</f>
        <v>49995</v>
      </c>
      <c r="F123" s="230">
        <f>+'เม.ย.-มิ.ย.'!E123+'เม.ย.-มิ.ย.'!F123+'เม.ย.-มิ.ย.'!G123+'เม.ย.-มิ.ย.'!H123+'เม.ย.-มิ.ย.'!I123+'เม.ย.-มิ.ย.'!M123+'เม.ย.-มิ.ย.'!N123+'เม.ย.-มิ.ย.'!P123+'เม.ย.-มิ.ย.'!R123+'เม.ย.-มิ.ย.'!S123</f>
        <v>0</v>
      </c>
      <c r="G123" s="498">
        <f>+'ก.ค.-ก.ย.'!D123+'ก.ค.-ก.ย.'!E123+'ก.ค.-ก.ย.'!F123+'ก.ค.-ก.ย.'!G123+'ก.ค.-ก.ย.'!H123+'ก.ค.-ก.ย.'!I123+'ก.ค.-ก.ย.'!J123+'ก.ค.-ก.ย.'!K123+'ก.ค.-ก.ย.'!L123+'ก.ค.-ก.ย.'!M123+'ก.ค.-ก.ย.'!N123+'ก.ค.-ก.ย.'!O123+'ก.ค.-ก.ย.'!P123+'ก.ค.-ก.ย.'!Q123+'ก.ค.-ก.ย.'!R123+'ก.ค.-ก.ย.'!S123+'ก.ค.-ก.ย.'!T123+'ก.ค.-ก.ย.'!U123+'ก.ค.-ก.ย.'!V123</f>
        <v>0</v>
      </c>
      <c r="H123" s="498">
        <f t="shared" si="11"/>
        <v>49995</v>
      </c>
      <c r="I123" s="230">
        <f t="shared" si="13"/>
        <v>5</v>
      </c>
      <c r="K123" s="331"/>
      <c r="L123" s="247"/>
      <c r="M123" s="247"/>
      <c r="N123" s="168"/>
    </row>
    <row r="124" spans="1:14" ht="21.75" customHeight="1">
      <c r="A124" s="9"/>
      <c r="B124" s="187" t="s">
        <v>206</v>
      </c>
      <c r="C124" s="279">
        <f>20000+20000</f>
        <v>40000</v>
      </c>
      <c r="D124" s="230">
        <f>+'ต.ค.-ธ.ค.'!E125+'ต.ค.-ธ.ค.'!F125+'ต.ค.-ธ.ค.'!H125+'ต.ค.-ธ.ค.'!I125+'ต.ค.-ธ.ค.'!M125+'ต.ค.-ธ.ค.'!Q125+'ต.ค.-ธ.ค.'!S125</f>
        <v>0</v>
      </c>
      <c r="E124" s="230">
        <f>+'ม.ค.-มี.ค.'!D124+'ม.ค.-มี.ค.'!E124+'ม.ค.-มี.ค.'!F124+'ม.ค.-มี.ค.'!G124+'ม.ค.-มี.ค.'!H124+'ม.ค.-มี.ค.'!I124+'ม.ค.-มี.ค.'!J124+'ม.ค.-มี.ค.'!K124+'ม.ค.-มี.ค.'!L124+'ม.ค.-มี.ค.'!M124+'ม.ค.-มี.ค.'!N124+'ม.ค.-มี.ค.'!O124+'ม.ค.-มี.ค.'!P124+'ม.ค.-มี.ค.'!Q124+'ม.ค.-มี.ค.'!R124+'ม.ค.-มี.ค.'!S124+'ม.ค.-มี.ค.'!U124+'ม.ค.-มี.ค.'!V124</f>
        <v>0</v>
      </c>
      <c r="F124" s="230">
        <f>+'เม.ย.-มิ.ย.'!E124+'เม.ย.-มิ.ย.'!F124+'เม.ย.-มิ.ย.'!G124+'เม.ย.-มิ.ย.'!H124+'เม.ย.-มิ.ย.'!I124+'เม.ย.-มิ.ย.'!M124+'เม.ย.-มิ.ย.'!N124+'เม.ย.-มิ.ย.'!P124+'เม.ย.-มิ.ย.'!R124+'เม.ย.-มิ.ย.'!S124</f>
        <v>0</v>
      </c>
      <c r="G124" s="498">
        <f>+'ก.ค.-ก.ย.'!D124+'ก.ค.-ก.ย.'!E124+'ก.ค.-ก.ย.'!F124+'ก.ค.-ก.ย.'!G124+'ก.ค.-ก.ย.'!H124+'ก.ค.-ก.ย.'!I124+'ก.ค.-ก.ย.'!J124+'ก.ค.-ก.ย.'!K124+'ก.ค.-ก.ย.'!L124+'ก.ค.-ก.ย.'!M124+'ก.ค.-ก.ย.'!N124+'ก.ค.-ก.ย.'!O124+'ก.ค.-ก.ย.'!P124+'ก.ค.-ก.ย.'!Q124+'ก.ค.-ก.ย.'!R124+'ก.ค.-ก.ย.'!S124+'ก.ค.-ก.ย.'!T124+'ก.ค.-ก.ย.'!U124+'ก.ค.-ก.ย.'!V124</f>
        <v>39998</v>
      </c>
      <c r="H124" s="498">
        <f t="shared" si="11"/>
        <v>39998</v>
      </c>
      <c r="I124" s="230">
        <f t="shared" si="13"/>
        <v>2</v>
      </c>
      <c r="K124" s="331"/>
      <c r="L124" s="247"/>
      <c r="M124" s="247"/>
      <c r="N124" s="168"/>
    </row>
    <row r="125" spans="1:14" s="168" customFormat="1" ht="21.75" customHeight="1">
      <c r="A125" s="9"/>
      <c r="B125" s="187" t="s">
        <v>326</v>
      </c>
      <c r="C125" s="279">
        <v>5000</v>
      </c>
      <c r="D125" s="230">
        <f>+'ต.ค.-ธ.ค.'!E126+'ต.ค.-ธ.ค.'!F126+'ต.ค.-ธ.ค.'!H126+'ต.ค.-ธ.ค.'!I126+'ต.ค.-ธ.ค.'!M126+'ต.ค.-ธ.ค.'!Q126+'ต.ค.-ธ.ค.'!S126</f>
        <v>0</v>
      </c>
      <c r="E125" s="230">
        <f>+'ม.ค.-มี.ค.'!D125+'ม.ค.-มี.ค.'!E125+'ม.ค.-มี.ค.'!F125+'ม.ค.-มี.ค.'!G125+'ม.ค.-มี.ค.'!H125+'ม.ค.-มี.ค.'!I125+'ม.ค.-มี.ค.'!J125+'ม.ค.-มี.ค.'!K125+'ม.ค.-มี.ค.'!L125+'ม.ค.-มี.ค.'!M125+'ม.ค.-มี.ค.'!N125+'ม.ค.-มี.ค.'!O125+'ม.ค.-มี.ค.'!P125+'ม.ค.-มี.ค.'!Q125+'ม.ค.-มี.ค.'!R125+'ม.ค.-มี.ค.'!S125+'ม.ค.-มี.ค.'!U125+'ม.ค.-มี.ค.'!V125</f>
        <v>0</v>
      </c>
      <c r="F125" s="230">
        <f>+'เม.ย.-มิ.ย.'!E125+'เม.ย.-มิ.ย.'!F125+'เม.ย.-มิ.ย.'!G125+'เม.ย.-มิ.ย.'!H125+'เม.ย.-มิ.ย.'!I125+'เม.ย.-มิ.ย.'!M125+'เม.ย.-มิ.ย.'!N125+'เม.ย.-มิ.ย.'!P125+'เม.ย.-มิ.ย.'!R125+'เม.ย.-มิ.ย.'!S125</f>
        <v>0</v>
      </c>
      <c r="G125" s="498">
        <f>+'ก.ค.-ก.ย.'!D125+'ก.ค.-ก.ย.'!E125+'ก.ค.-ก.ย.'!F125+'ก.ค.-ก.ย.'!G125+'ก.ค.-ก.ย.'!H125+'ก.ค.-ก.ย.'!I125+'ก.ค.-ก.ย.'!J125+'ก.ค.-ก.ย.'!K125+'ก.ค.-ก.ย.'!L125+'ก.ค.-ก.ย.'!M125+'ก.ค.-ก.ย.'!N125+'ก.ค.-ก.ย.'!O125+'ก.ค.-ก.ย.'!P125+'ก.ค.-ก.ย.'!Q125+'ก.ค.-ก.ย.'!R125+'ก.ค.-ก.ย.'!S125+'ก.ค.-ก.ย.'!T125+'ก.ค.-ก.ย.'!U125+'ก.ค.-ก.ย.'!V125</f>
        <v>0</v>
      </c>
      <c r="H125" s="498">
        <f t="shared" si="11"/>
        <v>0</v>
      </c>
      <c r="I125" s="230">
        <f t="shared" si="13"/>
        <v>5000</v>
      </c>
      <c r="J125" s="233"/>
      <c r="K125" s="331"/>
      <c r="L125" s="247"/>
      <c r="M125" s="338"/>
    </row>
    <row r="126" spans="1:14" ht="21.75" customHeight="1">
      <c r="A126" s="9"/>
      <c r="B126" s="187" t="s">
        <v>327</v>
      </c>
      <c r="C126" s="279">
        <f>5000-5000</f>
        <v>0</v>
      </c>
      <c r="D126" s="230">
        <f>+'ต.ค.-ธ.ค.'!E127+'ต.ค.-ธ.ค.'!F127+'ต.ค.-ธ.ค.'!H127+'ต.ค.-ธ.ค.'!I127+'ต.ค.-ธ.ค.'!M127+'ต.ค.-ธ.ค.'!Q127+'ต.ค.-ธ.ค.'!S127</f>
        <v>0</v>
      </c>
      <c r="E126" s="230">
        <f>+'ม.ค.-มี.ค.'!D126+'ม.ค.-มี.ค.'!E126+'ม.ค.-มี.ค.'!F126+'ม.ค.-มี.ค.'!G126+'ม.ค.-มี.ค.'!H126+'ม.ค.-มี.ค.'!I126+'ม.ค.-มี.ค.'!J126+'ม.ค.-มี.ค.'!K126+'ม.ค.-มี.ค.'!L126+'ม.ค.-มี.ค.'!M126+'ม.ค.-มี.ค.'!N126+'ม.ค.-มี.ค.'!O126+'ม.ค.-มี.ค.'!P126+'ม.ค.-มี.ค.'!Q126+'ม.ค.-มี.ค.'!R126+'ม.ค.-มี.ค.'!S126+'ม.ค.-มี.ค.'!U126+'ม.ค.-มี.ค.'!V126</f>
        <v>0</v>
      </c>
      <c r="F126" s="230">
        <f>+'เม.ย.-มิ.ย.'!E126+'เม.ย.-มิ.ย.'!F126+'เม.ย.-มิ.ย.'!G126+'เม.ย.-มิ.ย.'!H126+'เม.ย.-มิ.ย.'!I126+'เม.ย.-มิ.ย.'!M126+'เม.ย.-มิ.ย.'!N126+'เม.ย.-มิ.ย.'!P126+'เม.ย.-มิ.ย.'!R126+'เม.ย.-มิ.ย.'!S126</f>
        <v>0</v>
      </c>
      <c r="G126" s="498">
        <f>+'ก.ค.-ก.ย.'!D126+'ก.ค.-ก.ย.'!E126+'ก.ค.-ก.ย.'!F126+'ก.ค.-ก.ย.'!G126+'ก.ค.-ก.ย.'!H126+'ก.ค.-ก.ย.'!I126+'ก.ค.-ก.ย.'!J126+'ก.ค.-ก.ย.'!K126+'ก.ค.-ก.ย.'!L126+'ก.ค.-ก.ย.'!M126+'ก.ค.-ก.ย.'!N126+'ก.ค.-ก.ย.'!O126+'ก.ค.-ก.ย.'!P126+'ก.ค.-ก.ย.'!Q126+'ก.ค.-ก.ย.'!R126+'ก.ค.-ก.ย.'!S126+'ก.ค.-ก.ย.'!T126+'ก.ค.-ก.ย.'!U126+'ก.ค.-ก.ย.'!V126</f>
        <v>0</v>
      </c>
      <c r="H126" s="498">
        <f t="shared" si="11"/>
        <v>0</v>
      </c>
      <c r="I126" s="498">
        <f t="shared" si="13"/>
        <v>0</v>
      </c>
      <c r="K126" s="331"/>
      <c r="L126" s="247"/>
      <c r="M126" s="247"/>
      <c r="N126" s="168"/>
    </row>
    <row r="127" spans="1:14" ht="21.75" customHeight="1">
      <c r="A127" s="9"/>
      <c r="B127" s="187" t="s">
        <v>142</v>
      </c>
      <c r="C127" s="279">
        <f>20000-10000</f>
        <v>10000</v>
      </c>
      <c r="D127" s="230">
        <f>+'ต.ค.-ธ.ค.'!E128+'ต.ค.-ธ.ค.'!F128+'ต.ค.-ธ.ค.'!H128+'ต.ค.-ธ.ค.'!I128+'ต.ค.-ธ.ค.'!M128+'ต.ค.-ธ.ค.'!Q128+'ต.ค.-ธ.ค.'!S128</f>
        <v>0</v>
      </c>
      <c r="E127" s="230">
        <f>+'ม.ค.-มี.ค.'!D127+'ม.ค.-มี.ค.'!E127+'ม.ค.-มี.ค.'!F127+'ม.ค.-มี.ค.'!G127+'ม.ค.-มี.ค.'!H127+'ม.ค.-มี.ค.'!I127+'ม.ค.-มี.ค.'!J127+'ม.ค.-มี.ค.'!K127+'ม.ค.-มี.ค.'!L127+'ม.ค.-มี.ค.'!M127+'ม.ค.-มี.ค.'!N127+'ม.ค.-มี.ค.'!O127+'ม.ค.-มี.ค.'!P127+'ม.ค.-มี.ค.'!Q127+'ม.ค.-มี.ค.'!R127+'ม.ค.-มี.ค.'!S127+'ม.ค.-มี.ค.'!U127+'ม.ค.-มี.ค.'!V127</f>
        <v>0</v>
      </c>
      <c r="F127" s="230">
        <f>+'เม.ย.-มิ.ย.'!E127+'เม.ย.-มิ.ย.'!F127+'เม.ย.-มิ.ย.'!G127+'เม.ย.-มิ.ย.'!H127+'เม.ย.-มิ.ย.'!I127+'เม.ย.-มิ.ย.'!M127+'เม.ย.-มิ.ย.'!N127+'เม.ย.-มิ.ย.'!P127+'เม.ย.-มิ.ย.'!R127+'เม.ย.-มิ.ย.'!S127</f>
        <v>0</v>
      </c>
      <c r="G127" s="498">
        <f>+'ก.ค.-ก.ย.'!D127+'ก.ค.-ก.ย.'!E127+'ก.ค.-ก.ย.'!F127+'ก.ค.-ก.ย.'!G127+'ก.ค.-ก.ย.'!H127+'ก.ค.-ก.ย.'!I127+'ก.ค.-ก.ย.'!J127+'ก.ค.-ก.ย.'!K127+'ก.ค.-ก.ย.'!L127+'ก.ค.-ก.ย.'!M127+'ก.ค.-ก.ย.'!N127+'ก.ค.-ก.ย.'!O127+'ก.ค.-ก.ย.'!P127+'ก.ค.-ก.ย.'!Q127+'ก.ค.-ก.ย.'!R127+'ก.ค.-ก.ย.'!S127+'ก.ค.-ก.ย.'!T127+'ก.ค.-ก.ย.'!U127+'ก.ค.-ก.ย.'!V127</f>
        <v>0</v>
      </c>
      <c r="H127" s="498">
        <f t="shared" si="11"/>
        <v>0</v>
      </c>
      <c r="I127" s="230">
        <f t="shared" si="13"/>
        <v>10000</v>
      </c>
    </row>
    <row r="128" spans="1:14" ht="21.75" customHeight="1">
      <c r="A128" s="9"/>
      <c r="B128" s="226" t="s">
        <v>328</v>
      </c>
      <c r="C128" s="279">
        <f>10000-10000</f>
        <v>0</v>
      </c>
      <c r="D128" s="230">
        <f>+'ต.ค.-ธ.ค.'!E129+'ต.ค.-ธ.ค.'!F129+'ต.ค.-ธ.ค.'!H129+'ต.ค.-ธ.ค.'!I129+'ต.ค.-ธ.ค.'!M129+'ต.ค.-ธ.ค.'!Q129+'ต.ค.-ธ.ค.'!S129</f>
        <v>0</v>
      </c>
      <c r="E128" s="230">
        <f>+'ม.ค.-มี.ค.'!D128+'ม.ค.-มี.ค.'!E128+'ม.ค.-มี.ค.'!F128+'ม.ค.-มี.ค.'!G128+'ม.ค.-มี.ค.'!H128+'ม.ค.-มี.ค.'!I128+'ม.ค.-มี.ค.'!J128+'ม.ค.-มี.ค.'!K128+'ม.ค.-มี.ค.'!L128+'ม.ค.-มี.ค.'!M128+'ม.ค.-มี.ค.'!N128+'ม.ค.-มี.ค.'!O128+'ม.ค.-มี.ค.'!P128+'ม.ค.-มี.ค.'!Q128+'ม.ค.-มี.ค.'!R128+'ม.ค.-มี.ค.'!S128+'ม.ค.-มี.ค.'!U128+'ม.ค.-มี.ค.'!V128</f>
        <v>0</v>
      </c>
      <c r="F128" s="230">
        <f>+'เม.ย.-มิ.ย.'!E128+'เม.ย.-มิ.ย.'!F128+'เม.ย.-มิ.ย.'!G128+'เม.ย.-มิ.ย.'!H128+'เม.ย.-มิ.ย.'!I128+'เม.ย.-มิ.ย.'!M128+'เม.ย.-มิ.ย.'!N128+'เม.ย.-มิ.ย.'!P128+'เม.ย.-มิ.ย.'!R128+'เม.ย.-มิ.ย.'!S128</f>
        <v>0</v>
      </c>
      <c r="G128" s="498">
        <f>+'ก.ค.-ก.ย.'!D128+'ก.ค.-ก.ย.'!E128+'ก.ค.-ก.ย.'!F128+'ก.ค.-ก.ย.'!G128+'ก.ค.-ก.ย.'!H128+'ก.ค.-ก.ย.'!I128+'ก.ค.-ก.ย.'!J128+'ก.ค.-ก.ย.'!K128+'ก.ค.-ก.ย.'!L128+'ก.ค.-ก.ย.'!M128+'ก.ค.-ก.ย.'!N128+'ก.ค.-ก.ย.'!O128+'ก.ค.-ก.ย.'!P128+'ก.ค.-ก.ย.'!Q128+'ก.ค.-ก.ย.'!R128+'ก.ค.-ก.ย.'!S128+'ก.ค.-ก.ย.'!T128+'ก.ค.-ก.ย.'!U128+'ก.ค.-ก.ย.'!V128</f>
        <v>0</v>
      </c>
      <c r="H128" s="498">
        <f t="shared" si="11"/>
        <v>0</v>
      </c>
      <c r="I128" s="230">
        <f t="shared" si="13"/>
        <v>0</v>
      </c>
    </row>
    <row r="129" spans="1:13" ht="21.75" customHeight="1">
      <c r="A129" s="9"/>
      <c r="B129" s="226" t="s">
        <v>329</v>
      </c>
      <c r="C129" s="279">
        <f>10000-10000</f>
        <v>0</v>
      </c>
      <c r="D129" s="230">
        <f>+'ต.ค.-ธ.ค.'!E130+'ต.ค.-ธ.ค.'!F130+'ต.ค.-ธ.ค.'!H130+'ต.ค.-ธ.ค.'!I130+'ต.ค.-ธ.ค.'!M130+'ต.ค.-ธ.ค.'!Q130+'ต.ค.-ธ.ค.'!S130</f>
        <v>0</v>
      </c>
      <c r="E129" s="230">
        <f>+'ม.ค.-มี.ค.'!D129+'ม.ค.-มี.ค.'!E129+'ม.ค.-มี.ค.'!F129+'ม.ค.-มี.ค.'!G129+'ม.ค.-มี.ค.'!H129+'ม.ค.-มี.ค.'!I129+'ม.ค.-มี.ค.'!J129+'ม.ค.-มี.ค.'!K129+'ม.ค.-มี.ค.'!L129+'ม.ค.-มี.ค.'!M129+'ม.ค.-มี.ค.'!N129+'ม.ค.-มี.ค.'!O129+'ม.ค.-มี.ค.'!P129+'ม.ค.-มี.ค.'!Q129+'ม.ค.-มี.ค.'!R129+'ม.ค.-มี.ค.'!S129+'ม.ค.-มี.ค.'!U129+'ม.ค.-มี.ค.'!V129</f>
        <v>0</v>
      </c>
      <c r="F129" s="230">
        <f>+'เม.ย.-มิ.ย.'!E129+'เม.ย.-มิ.ย.'!F129+'เม.ย.-มิ.ย.'!G129+'เม.ย.-มิ.ย.'!H129+'เม.ย.-มิ.ย.'!I129+'เม.ย.-มิ.ย.'!M129+'เม.ย.-มิ.ย.'!N129+'เม.ย.-มิ.ย.'!P129+'เม.ย.-มิ.ย.'!R129+'เม.ย.-มิ.ย.'!S129</f>
        <v>0</v>
      </c>
      <c r="G129" s="498">
        <f>+'ก.ค.-ก.ย.'!D129+'ก.ค.-ก.ย.'!E129+'ก.ค.-ก.ย.'!F129+'ก.ค.-ก.ย.'!G129+'ก.ค.-ก.ย.'!H129+'ก.ค.-ก.ย.'!I129+'ก.ค.-ก.ย.'!J129+'ก.ค.-ก.ย.'!K129+'ก.ค.-ก.ย.'!L129+'ก.ค.-ก.ย.'!M129+'ก.ค.-ก.ย.'!N129+'ก.ค.-ก.ย.'!O129+'ก.ค.-ก.ย.'!P129+'ก.ค.-ก.ย.'!Q129+'ก.ค.-ก.ย.'!R129+'ก.ค.-ก.ย.'!S129+'ก.ค.-ก.ย.'!T129+'ก.ค.-ก.ย.'!U129+'ก.ค.-ก.ย.'!V129</f>
        <v>0</v>
      </c>
      <c r="H129" s="498">
        <f t="shared" si="11"/>
        <v>0</v>
      </c>
      <c r="I129" s="498">
        <f t="shared" si="13"/>
        <v>0</v>
      </c>
    </row>
    <row r="130" spans="1:13" s="168" customFormat="1" ht="21.75" customHeight="1">
      <c r="A130" s="9"/>
      <c r="B130" s="226" t="s">
        <v>330</v>
      </c>
      <c r="C130" s="279">
        <f>10000-7000</f>
        <v>3000</v>
      </c>
      <c r="D130" s="230">
        <f>+'ต.ค.-ธ.ค.'!E131+'ต.ค.-ธ.ค.'!F131+'ต.ค.-ธ.ค.'!H131+'ต.ค.-ธ.ค.'!I131+'ต.ค.-ธ.ค.'!M131+'ต.ค.-ธ.ค.'!Q131+'ต.ค.-ธ.ค.'!S131</f>
        <v>0</v>
      </c>
      <c r="E130" s="230">
        <f>+'ม.ค.-มี.ค.'!D130+'ม.ค.-มี.ค.'!E130+'ม.ค.-มี.ค.'!F130+'ม.ค.-มี.ค.'!G130+'ม.ค.-มี.ค.'!H130+'ม.ค.-มี.ค.'!I130+'ม.ค.-มี.ค.'!J130+'ม.ค.-มี.ค.'!K130+'ม.ค.-มี.ค.'!L130+'ม.ค.-มี.ค.'!M130+'ม.ค.-มี.ค.'!N130+'ม.ค.-มี.ค.'!O130+'ม.ค.-มี.ค.'!P130+'ม.ค.-มี.ค.'!Q130+'ม.ค.-มี.ค.'!R130+'ม.ค.-มี.ค.'!S130+'ม.ค.-มี.ค.'!U130+'ม.ค.-มี.ค.'!V130</f>
        <v>0</v>
      </c>
      <c r="F130" s="230">
        <f>+'เม.ย.-มิ.ย.'!E130+'เม.ย.-มิ.ย.'!F130+'เม.ย.-มิ.ย.'!G130+'เม.ย.-มิ.ย.'!H130+'เม.ย.-มิ.ย.'!I130+'เม.ย.-มิ.ย.'!M130+'เม.ย.-มิ.ย.'!N130+'เม.ย.-มิ.ย.'!P130+'เม.ย.-มิ.ย.'!R130+'เม.ย.-มิ.ย.'!S130</f>
        <v>0</v>
      </c>
      <c r="G130" s="498">
        <f>+'ก.ค.-ก.ย.'!D130+'ก.ค.-ก.ย.'!E130+'ก.ค.-ก.ย.'!F130+'ก.ค.-ก.ย.'!G130+'ก.ค.-ก.ย.'!H130+'ก.ค.-ก.ย.'!I130+'ก.ค.-ก.ย.'!J130+'ก.ค.-ก.ย.'!K130+'ก.ค.-ก.ย.'!L130+'ก.ค.-ก.ย.'!M130+'ก.ค.-ก.ย.'!N130+'ก.ค.-ก.ย.'!O130+'ก.ค.-ก.ย.'!P130+'ก.ค.-ก.ย.'!Q130+'ก.ค.-ก.ย.'!R130+'ก.ค.-ก.ย.'!S130+'ก.ค.-ก.ย.'!T130+'ก.ค.-ก.ย.'!U130+'ก.ค.-ก.ย.'!V130</f>
        <v>1490.32</v>
      </c>
      <c r="H130" s="498">
        <f t="shared" si="11"/>
        <v>1490.32</v>
      </c>
      <c r="I130" s="230">
        <f t="shared" si="13"/>
        <v>1509.68</v>
      </c>
      <c r="J130" s="233"/>
      <c r="K130" s="331"/>
      <c r="L130" s="247"/>
      <c r="M130" s="247"/>
    </row>
    <row r="131" spans="1:13" s="168" customFormat="1" ht="21.75" customHeight="1">
      <c r="A131" s="9"/>
      <c r="B131" s="226" t="s">
        <v>331</v>
      </c>
      <c r="C131" s="279">
        <f>10000-10000</f>
        <v>0</v>
      </c>
      <c r="D131" s="230">
        <f>+'ต.ค.-ธ.ค.'!E132+'ต.ค.-ธ.ค.'!F132+'ต.ค.-ธ.ค.'!H132+'ต.ค.-ธ.ค.'!I132+'ต.ค.-ธ.ค.'!M132+'ต.ค.-ธ.ค.'!Q132+'ต.ค.-ธ.ค.'!S132</f>
        <v>0</v>
      </c>
      <c r="E131" s="230">
        <f>+'ม.ค.-มี.ค.'!D131+'ม.ค.-มี.ค.'!E131+'ม.ค.-มี.ค.'!F131+'ม.ค.-มี.ค.'!G131+'ม.ค.-มี.ค.'!H131+'ม.ค.-มี.ค.'!I131+'ม.ค.-มี.ค.'!J131+'ม.ค.-มี.ค.'!K131+'ม.ค.-มี.ค.'!L131+'ม.ค.-มี.ค.'!M131+'ม.ค.-มี.ค.'!N131+'ม.ค.-มี.ค.'!O131+'ม.ค.-มี.ค.'!P131+'ม.ค.-มี.ค.'!Q131+'ม.ค.-มี.ค.'!R131+'ม.ค.-มี.ค.'!S131+'ม.ค.-มี.ค.'!U131+'ม.ค.-มี.ค.'!V131</f>
        <v>0</v>
      </c>
      <c r="F131" s="230">
        <f>+'เม.ย.-มิ.ย.'!E131+'เม.ย.-มิ.ย.'!F131+'เม.ย.-มิ.ย.'!G131+'เม.ย.-มิ.ย.'!H131+'เม.ย.-มิ.ย.'!I131+'เม.ย.-มิ.ย.'!M131+'เม.ย.-มิ.ย.'!N131+'เม.ย.-มิ.ย.'!P131+'เม.ย.-มิ.ย.'!R131+'เม.ย.-มิ.ย.'!S131</f>
        <v>0</v>
      </c>
      <c r="G131" s="498">
        <f>+'ก.ค.-ก.ย.'!D131+'ก.ค.-ก.ย.'!E131+'ก.ค.-ก.ย.'!F131+'ก.ค.-ก.ย.'!G131+'ก.ค.-ก.ย.'!H131+'ก.ค.-ก.ย.'!I131+'ก.ค.-ก.ย.'!J131+'ก.ค.-ก.ย.'!K131+'ก.ค.-ก.ย.'!L131+'ก.ค.-ก.ย.'!M131+'ก.ค.-ก.ย.'!N131+'ก.ค.-ก.ย.'!O131+'ก.ค.-ก.ย.'!P131+'ก.ค.-ก.ย.'!Q131+'ก.ค.-ก.ย.'!R131+'ก.ค.-ก.ย.'!S131+'ก.ค.-ก.ย.'!T131+'ก.ค.-ก.ย.'!U131+'ก.ค.-ก.ย.'!V131</f>
        <v>0</v>
      </c>
      <c r="H131" s="498">
        <f t="shared" si="11"/>
        <v>0</v>
      </c>
      <c r="I131" s="230">
        <f t="shared" si="13"/>
        <v>0</v>
      </c>
      <c r="J131" s="233"/>
      <c r="K131" s="331"/>
      <c r="L131" s="247"/>
      <c r="M131" s="247"/>
    </row>
    <row r="132" spans="1:13" s="168" customFormat="1" ht="21.75" customHeight="1">
      <c r="A132" s="9"/>
      <c r="B132" s="226" t="s">
        <v>333</v>
      </c>
      <c r="C132" s="279">
        <f>15000-15000</f>
        <v>0</v>
      </c>
      <c r="D132" s="230">
        <f>+'ต.ค.-ธ.ค.'!E133+'ต.ค.-ธ.ค.'!F133+'ต.ค.-ธ.ค.'!H133+'ต.ค.-ธ.ค.'!I133+'ต.ค.-ธ.ค.'!M133+'ต.ค.-ธ.ค.'!Q133+'ต.ค.-ธ.ค.'!S133</f>
        <v>0</v>
      </c>
      <c r="E132" s="230">
        <f>+'ม.ค.-มี.ค.'!D132+'ม.ค.-มี.ค.'!E132+'ม.ค.-มี.ค.'!F132+'ม.ค.-มี.ค.'!G132+'ม.ค.-มี.ค.'!H132+'ม.ค.-มี.ค.'!I132+'ม.ค.-มี.ค.'!J132+'ม.ค.-มี.ค.'!K132+'ม.ค.-มี.ค.'!L132+'ม.ค.-มี.ค.'!M132+'ม.ค.-มี.ค.'!N132+'ม.ค.-มี.ค.'!O132+'ม.ค.-มี.ค.'!P132+'ม.ค.-มี.ค.'!Q132+'ม.ค.-มี.ค.'!R132+'ม.ค.-มี.ค.'!S132+'ม.ค.-มี.ค.'!U132+'ม.ค.-มี.ค.'!V132</f>
        <v>0</v>
      </c>
      <c r="F132" s="230">
        <f>+'เม.ย.-มิ.ย.'!E132+'เม.ย.-มิ.ย.'!F132+'เม.ย.-มิ.ย.'!G132+'เม.ย.-มิ.ย.'!H132+'เม.ย.-มิ.ย.'!I132+'เม.ย.-มิ.ย.'!M132+'เม.ย.-มิ.ย.'!N132+'เม.ย.-มิ.ย.'!P132+'เม.ย.-มิ.ย.'!R132+'เม.ย.-มิ.ย.'!S132</f>
        <v>0</v>
      </c>
      <c r="G132" s="498">
        <f>+'ก.ค.-ก.ย.'!D132+'ก.ค.-ก.ย.'!E132+'ก.ค.-ก.ย.'!F132+'ก.ค.-ก.ย.'!G132+'ก.ค.-ก.ย.'!H132+'ก.ค.-ก.ย.'!I132+'ก.ค.-ก.ย.'!J132+'ก.ค.-ก.ย.'!K132+'ก.ค.-ก.ย.'!L132+'ก.ค.-ก.ย.'!M132+'ก.ค.-ก.ย.'!N132+'ก.ค.-ก.ย.'!O132+'ก.ค.-ก.ย.'!P132+'ก.ค.-ก.ย.'!Q132+'ก.ค.-ก.ย.'!R132+'ก.ค.-ก.ย.'!S132+'ก.ค.-ก.ย.'!T132+'ก.ค.-ก.ย.'!U132+'ก.ค.-ก.ย.'!V132</f>
        <v>0</v>
      </c>
      <c r="H132" s="498">
        <f t="shared" si="11"/>
        <v>0</v>
      </c>
      <c r="I132" s="230">
        <f t="shared" si="13"/>
        <v>0</v>
      </c>
      <c r="J132" s="233"/>
      <c r="K132" s="331"/>
      <c r="L132" s="247"/>
      <c r="M132" s="247"/>
    </row>
    <row r="133" spans="1:13" ht="21.75" customHeight="1">
      <c r="A133" s="9"/>
      <c r="B133" s="226" t="s">
        <v>157</v>
      </c>
      <c r="C133" s="279">
        <f>10000+8000</f>
        <v>18000</v>
      </c>
      <c r="D133" s="230">
        <f>+'ต.ค.-ธ.ค.'!E134+'ต.ค.-ธ.ค.'!F134+'ต.ค.-ธ.ค.'!H134+'ต.ค.-ธ.ค.'!I134+'ต.ค.-ธ.ค.'!M134+'ต.ค.-ธ.ค.'!Q134+'ต.ค.-ธ.ค.'!S134</f>
        <v>0</v>
      </c>
      <c r="E133" s="230">
        <f>+'ม.ค.-มี.ค.'!D133+'ม.ค.-มี.ค.'!E133+'ม.ค.-มี.ค.'!F133+'ม.ค.-มี.ค.'!G133+'ม.ค.-มี.ค.'!H133+'ม.ค.-มี.ค.'!I133+'ม.ค.-มี.ค.'!J133+'ม.ค.-มี.ค.'!K133+'ม.ค.-มี.ค.'!L133+'ม.ค.-มี.ค.'!M133+'ม.ค.-มี.ค.'!N133+'ม.ค.-มี.ค.'!O133+'ม.ค.-มี.ค.'!P133+'ม.ค.-มี.ค.'!Q133+'ม.ค.-มี.ค.'!R133+'ม.ค.-มี.ค.'!S133+'ม.ค.-มี.ค.'!U133+'ม.ค.-มี.ค.'!V133</f>
        <v>0</v>
      </c>
      <c r="F133" s="230">
        <f>+'เม.ย.-มิ.ย.'!E133+'เม.ย.-มิ.ย.'!F133+'เม.ย.-มิ.ย.'!G133+'เม.ย.-มิ.ย.'!H133+'เม.ย.-มิ.ย.'!I133+'เม.ย.-มิ.ย.'!M133+'เม.ย.-มิ.ย.'!N133+'เม.ย.-มิ.ย.'!P133+'เม.ย.-มิ.ย.'!R133+'เม.ย.-มิ.ย.'!S133</f>
        <v>3600</v>
      </c>
      <c r="G133" s="498">
        <f>+'ก.ค.-ก.ย.'!D133+'ก.ค.-ก.ย.'!E133+'ก.ค.-ก.ย.'!F133+'ก.ค.-ก.ย.'!G133+'ก.ค.-ก.ย.'!H133+'ก.ค.-ก.ย.'!I133+'ก.ค.-ก.ย.'!J133+'ก.ค.-ก.ย.'!K133+'ก.ค.-ก.ย.'!L133+'ก.ค.-ก.ย.'!M133+'ก.ค.-ก.ย.'!N133+'ก.ค.-ก.ย.'!O133+'ก.ค.-ก.ย.'!P133+'ก.ค.-ก.ย.'!Q133+'ก.ค.-ก.ย.'!R133+'ก.ค.-ก.ย.'!S133+'ก.ค.-ก.ย.'!T133+'ก.ค.-ก.ย.'!U133+'ก.ค.-ก.ย.'!V133</f>
        <v>14395</v>
      </c>
      <c r="H133" s="498">
        <f t="shared" ref="H133:H157" si="14">SUM(D133:G133)</f>
        <v>17995</v>
      </c>
      <c r="I133" s="230">
        <f t="shared" si="13"/>
        <v>5</v>
      </c>
    </row>
    <row r="134" spans="1:13" ht="21.75" customHeight="1">
      <c r="A134" s="9"/>
      <c r="B134" s="226" t="s">
        <v>158</v>
      </c>
      <c r="C134" s="279">
        <f>10000-8000-2000</f>
        <v>0</v>
      </c>
      <c r="D134" s="230">
        <f>+'ต.ค.-ธ.ค.'!E135+'ต.ค.-ธ.ค.'!F135+'ต.ค.-ธ.ค.'!H135+'ต.ค.-ธ.ค.'!I135+'ต.ค.-ธ.ค.'!M135+'ต.ค.-ธ.ค.'!Q135+'ต.ค.-ธ.ค.'!S135</f>
        <v>0</v>
      </c>
      <c r="E134" s="230">
        <f>+'ม.ค.-มี.ค.'!D134+'ม.ค.-มี.ค.'!E134+'ม.ค.-มี.ค.'!F134+'ม.ค.-มี.ค.'!G134+'ม.ค.-มี.ค.'!H134+'ม.ค.-มี.ค.'!I134+'ม.ค.-มี.ค.'!J134+'ม.ค.-มี.ค.'!K134+'ม.ค.-มี.ค.'!L134+'ม.ค.-มี.ค.'!M134+'ม.ค.-มี.ค.'!N134+'ม.ค.-มี.ค.'!O134+'ม.ค.-มี.ค.'!P134+'ม.ค.-มี.ค.'!Q134+'ม.ค.-มี.ค.'!R134+'ม.ค.-มี.ค.'!S134+'ม.ค.-มี.ค.'!U134+'ม.ค.-มี.ค.'!V134</f>
        <v>0</v>
      </c>
      <c r="F134" s="230">
        <f>+'เม.ย.-มิ.ย.'!E134+'เม.ย.-มิ.ย.'!F134+'เม.ย.-มิ.ย.'!G134+'เม.ย.-มิ.ย.'!H134+'เม.ย.-มิ.ย.'!I134+'เม.ย.-มิ.ย.'!M134+'เม.ย.-มิ.ย.'!N134+'เม.ย.-มิ.ย.'!P134+'เม.ย.-มิ.ย.'!R134+'เม.ย.-มิ.ย.'!S134</f>
        <v>0</v>
      </c>
      <c r="G134" s="498">
        <f>+'ก.ค.-ก.ย.'!D134+'ก.ค.-ก.ย.'!E134+'ก.ค.-ก.ย.'!F134+'ก.ค.-ก.ย.'!G134+'ก.ค.-ก.ย.'!H134+'ก.ค.-ก.ย.'!I134+'ก.ค.-ก.ย.'!J134+'ก.ค.-ก.ย.'!K134+'ก.ค.-ก.ย.'!L134+'ก.ค.-ก.ย.'!M134+'ก.ค.-ก.ย.'!N134+'ก.ค.-ก.ย.'!O134+'ก.ค.-ก.ย.'!P134+'ก.ค.-ก.ย.'!Q134+'ก.ค.-ก.ย.'!R134+'ก.ค.-ก.ย.'!S134+'ก.ค.-ก.ย.'!T134+'ก.ค.-ก.ย.'!U134+'ก.ค.-ก.ย.'!V134</f>
        <v>0</v>
      </c>
      <c r="H134" s="498">
        <f t="shared" si="14"/>
        <v>0</v>
      </c>
      <c r="I134" s="498">
        <f t="shared" si="13"/>
        <v>0</v>
      </c>
    </row>
    <row r="135" spans="1:13" ht="21.75" customHeight="1">
      <c r="A135" s="9"/>
      <c r="B135" s="226" t="s">
        <v>352</v>
      </c>
      <c r="C135" s="279">
        <f>10000+10000-20000</f>
        <v>0</v>
      </c>
      <c r="D135" s="230">
        <f>+'ต.ค.-ธ.ค.'!E136+'ต.ค.-ธ.ค.'!F136+'ต.ค.-ธ.ค.'!H136+'ต.ค.-ธ.ค.'!I136+'ต.ค.-ธ.ค.'!M136+'ต.ค.-ธ.ค.'!Q136+'ต.ค.-ธ.ค.'!S136</f>
        <v>0</v>
      </c>
      <c r="E135" s="230">
        <f>+'ม.ค.-มี.ค.'!D135+'ม.ค.-มี.ค.'!E135+'ม.ค.-มี.ค.'!F135+'ม.ค.-มี.ค.'!G135+'ม.ค.-มี.ค.'!H135+'ม.ค.-มี.ค.'!I135+'ม.ค.-มี.ค.'!J135+'ม.ค.-มี.ค.'!K135+'ม.ค.-มี.ค.'!L135+'ม.ค.-มี.ค.'!M135+'ม.ค.-มี.ค.'!N135+'ม.ค.-มี.ค.'!O135+'ม.ค.-มี.ค.'!P135+'ม.ค.-มี.ค.'!Q135+'ม.ค.-มี.ค.'!R135+'ม.ค.-มี.ค.'!S135+'ม.ค.-มี.ค.'!U135+'ม.ค.-มี.ค.'!V135</f>
        <v>0</v>
      </c>
      <c r="F135" s="230">
        <f>+'เม.ย.-มิ.ย.'!E135+'เม.ย.-มิ.ย.'!F135+'เม.ย.-มิ.ย.'!G135+'เม.ย.-มิ.ย.'!H135+'เม.ย.-มิ.ย.'!I135+'เม.ย.-มิ.ย.'!M135+'เม.ย.-มิ.ย.'!N135+'เม.ย.-มิ.ย.'!P135+'เม.ย.-มิ.ย.'!R135+'เม.ย.-มิ.ย.'!S135</f>
        <v>0</v>
      </c>
      <c r="G135" s="498">
        <f>+'ก.ค.-ก.ย.'!D135+'ก.ค.-ก.ย.'!E135+'ก.ค.-ก.ย.'!F135+'ก.ค.-ก.ย.'!G135+'ก.ค.-ก.ย.'!H135+'ก.ค.-ก.ย.'!I135+'ก.ค.-ก.ย.'!J135+'ก.ค.-ก.ย.'!K135+'ก.ค.-ก.ย.'!L135+'ก.ค.-ก.ย.'!M135+'ก.ค.-ก.ย.'!N135+'ก.ค.-ก.ย.'!O135+'ก.ค.-ก.ย.'!P135+'ก.ค.-ก.ย.'!Q135+'ก.ค.-ก.ย.'!R135+'ก.ค.-ก.ย.'!S135+'ก.ค.-ก.ย.'!T135+'ก.ค.-ก.ย.'!U135+'ก.ค.-ก.ย.'!V135</f>
        <v>0</v>
      </c>
      <c r="H135" s="498">
        <f t="shared" si="14"/>
        <v>0</v>
      </c>
      <c r="I135" s="230">
        <f t="shared" si="13"/>
        <v>0</v>
      </c>
    </row>
    <row r="136" spans="1:13" ht="21.75" customHeight="1">
      <c r="A136" s="9"/>
      <c r="B136" s="226" t="s">
        <v>213</v>
      </c>
      <c r="C136" s="279">
        <v>15000</v>
      </c>
      <c r="D136" s="230">
        <f>+'ต.ค.-ธ.ค.'!E137+'ต.ค.-ธ.ค.'!F137+'ต.ค.-ธ.ค.'!H137+'ต.ค.-ธ.ค.'!I137+'ต.ค.-ธ.ค.'!M137+'ต.ค.-ธ.ค.'!Q137+'ต.ค.-ธ.ค.'!S137</f>
        <v>0</v>
      </c>
      <c r="E136" s="230">
        <f>+'ม.ค.-มี.ค.'!D136+'ม.ค.-มี.ค.'!E136+'ม.ค.-มี.ค.'!F136+'ม.ค.-มี.ค.'!G136+'ม.ค.-มี.ค.'!H136+'ม.ค.-มี.ค.'!I136+'ม.ค.-มี.ค.'!J136+'ม.ค.-มี.ค.'!K136+'ม.ค.-มี.ค.'!L136+'ม.ค.-มี.ค.'!M136+'ม.ค.-มี.ค.'!N136+'ม.ค.-มี.ค.'!O136+'ม.ค.-มี.ค.'!P136+'ม.ค.-มี.ค.'!Q136+'ม.ค.-มี.ค.'!R136+'ม.ค.-มี.ค.'!S136+'ม.ค.-มี.ค.'!U136+'ม.ค.-มี.ค.'!V136</f>
        <v>0</v>
      </c>
      <c r="F136" s="230">
        <f>+'เม.ย.-มิ.ย.'!E136+'เม.ย.-มิ.ย.'!F136+'เม.ย.-มิ.ย.'!G136+'เม.ย.-มิ.ย.'!H136+'เม.ย.-มิ.ย.'!I136+'เม.ย.-มิ.ย.'!M136+'เม.ย.-มิ.ย.'!N136+'เม.ย.-มิ.ย.'!P136+'เม.ย.-มิ.ย.'!R136+'เม.ย.-มิ.ย.'!S136</f>
        <v>0</v>
      </c>
      <c r="G136" s="498">
        <f>+'ก.ค.-ก.ย.'!D136+'ก.ค.-ก.ย.'!E136+'ก.ค.-ก.ย.'!F136+'ก.ค.-ก.ย.'!G136+'ก.ค.-ก.ย.'!H136+'ก.ค.-ก.ย.'!I136+'ก.ค.-ก.ย.'!J136+'ก.ค.-ก.ย.'!K136+'ก.ค.-ก.ย.'!L136+'ก.ค.-ก.ย.'!M136+'ก.ค.-ก.ย.'!N136+'ก.ค.-ก.ย.'!O136+'ก.ค.-ก.ย.'!P136+'ก.ค.-ก.ย.'!Q136+'ก.ค.-ก.ย.'!R136+'ก.ค.-ก.ย.'!S136+'ก.ค.-ก.ย.'!T136+'ก.ค.-ก.ย.'!U136+'ก.ค.-ก.ย.'!V136</f>
        <v>0</v>
      </c>
      <c r="H136" s="498">
        <f t="shared" si="14"/>
        <v>0</v>
      </c>
      <c r="I136" s="230">
        <f t="shared" si="13"/>
        <v>15000</v>
      </c>
    </row>
    <row r="137" spans="1:13" ht="21.75" customHeight="1">
      <c r="A137" s="9"/>
      <c r="B137" s="226" t="s">
        <v>265</v>
      </c>
      <c r="C137" s="279">
        <f>20000-20000</f>
        <v>0</v>
      </c>
      <c r="D137" s="230">
        <f>+'ต.ค.-ธ.ค.'!E138+'ต.ค.-ธ.ค.'!F138+'ต.ค.-ธ.ค.'!H138+'ต.ค.-ธ.ค.'!I138+'ต.ค.-ธ.ค.'!M138+'ต.ค.-ธ.ค.'!Q138+'ต.ค.-ธ.ค.'!S138</f>
        <v>0</v>
      </c>
      <c r="E137" s="230">
        <f>+'ม.ค.-มี.ค.'!D137+'ม.ค.-มี.ค.'!E137+'ม.ค.-มี.ค.'!F137+'ม.ค.-มี.ค.'!G137+'ม.ค.-มี.ค.'!H137+'ม.ค.-มี.ค.'!I137+'ม.ค.-มี.ค.'!J137+'ม.ค.-มี.ค.'!K137+'ม.ค.-มี.ค.'!L137+'ม.ค.-มี.ค.'!M137+'ม.ค.-มี.ค.'!N137+'ม.ค.-มี.ค.'!O137+'ม.ค.-มี.ค.'!P137+'ม.ค.-มี.ค.'!Q137+'ม.ค.-มี.ค.'!R137+'ม.ค.-มี.ค.'!S137+'ม.ค.-มี.ค.'!U137+'ม.ค.-มี.ค.'!V137</f>
        <v>0</v>
      </c>
      <c r="F137" s="230">
        <f>+'เม.ย.-มิ.ย.'!E137+'เม.ย.-มิ.ย.'!F137+'เม.ย.-มิ.ย.'!G137+'เม.ย.-มิ.ย.'!H137+'เม.ย.-มิ.ย.'!I137+'เม.ย.-มิ.ย.'!M137+'เม.ย.-มิ.ย.'!N137+'เม.ย.-มิ.ย.'!P137+'เม.ย.-มิ.ย.'!R137+'เม.ย.-มิ.ย.'!S137</f>
        <v>0</v>
      </c>
      <c r="G137" s="498">
        <f>+'ก.ค.-ก.ย.'!D137+'ก.ค.-ก.ย.'!E137+'ก.ค.-ก.ย.'!F137+'ก.ค.-ก.ย.'!G137+'ก.ค.-ก.ย.'!H137+'ก.ค.-ก.ย.'!I137+'ก.ค.-ก.ย.'!J137+'ก.ค.-ก.ย.'!K137+'ก.ค.-ก.ย.'!L137+'ก.ค.-ก.ย.'!M137+'ก.ค.-ก.ย.'!N137+'ก.ค.-ก.ย.'!O137+'ก.ค.-ก.ย.'!P137+'ก.ค.-ก.ย.'!Q137+'ก.ค.-ก.ย.'!R137+'ก.ค.-ก.ย.'!S137+'ก.ค.-ก.ย.'!T137+'ก.ค.-ก.ย.'!U137+'ก.ค.-ก.ย.'!V137</f>
        <v>0</v>
      </c>
      <c r="H137" s="498">
        <f t="shared" si="14"/>
        <v>0</v>
      </c>
      <c r="I137" s="230">
        <f t="shared" si="13"/>
        <v>0</v>
      </c>
    </row>
    <row r="138" spans="1:13" ht="21.75" customHeight="1">
      <c r="A138" s="9"/>
      <c r="B138" s="226" t="s">
        <v>353</v>
      </c>
      <c r="C138" s="279">
        <v>5000</v>
      </c>
      <c r="D138" s="230">
        <f>+'ต.ค.-ธ.ค.'!E139+'ต.ค.-ธ.ค.'!F139+'ต.ค.-ธ.ค.'!H139+'ต.ค.-ธ.ค.'!I139+'ต.ค.-ธ.ค.'!M139+'ต.ค.-ธ.ค.'!Q139+'ต.ค.-ธ.ค.'!S139</f>
        <v>4880</v>
      </c>
      <c r="E138" s="230">
        <f>+'ม.ค.-มี.ค.'!D138+'ม.ค.-มี.ค.'!E138+'ม.ค.-มี.ค.'!F138+'ม.ค.-มี.ค.'!G138+'ม.ค.-มี.ค.'!H138+'ม.ค.-มี.ค.'!I138+'ม.ค.-มี.ค.'!J138+'ม.ค.-มี.ค.'!K138+'ม.ค.-มี.ค.'!L138+'ม.ค.-มี.ค.'!M138+'ม.ค.-มี.ค.'!N138+'ม.ค.-มี.ค.'!O138+'ม.ค.-มี.ค.'!P138+'ม.ค.-มี.ค.'!Q138+'ม.ค.-มี.ค.'!R138+'ม.ค.-มี.ค.'!S138+'ม.ค.-มี.ค.'!U138+'ม.ค.-มี.ค.'!V138</f>
        <v>0</v>
      </c>
      <c r="F138" s="230">
        <f>+'เม.ย.-มิ.ย.'!E138+'เม.ย.-มิ.ย.'!F138+'เม.ย.-มิ.ย.'!G138+'เม.ย.-มิ.ย.'!H138+'เม.ย.-มิ.ย.'!I138+'เม.ย.-มิ.ย.'!M138+'เม.ย.-มิ.ย.'!N138+'เม.ย.-มิ.ย.'!P138+'เม.ย.-มิ.ย.'!R138+'เม.ย.-มิ.ย.'!S138</f>
        <v>0</v>
      </c>
      <c r="G138" s="498">
        <f>+'ก.ค.-ก.ย.'!D138+'ก.ค.-ก.ย.'!E138+'ก.ค.-ก.ย.'!F138+'ก.ค.-ก.ย.'!G138+'ก.ค.-ก.ย.'!H138+'ก.ค.-ก.ย.'!I138+'ก.ค.-ก.ย.'!J138+'ก.ค.-ก.ย.'!K138+'ก.ค.-ก.ย.'!L138+'ก.ค.-ก.ย.'!M138+'ก.ค.-ก.ย.'!N138+'ก.ค.-ก.ย.'!O138+'ก.ค.-ก.ย.'!P138+'ก.ค.-ก.ย.'!Q138+'ก.ค.-ก.ย.'!R138+'ก.ค.-ก.ย.'!S138+'ก.ค.-ก.ย.'!T138+'ก.ค.-ก.ย.'!U138+'ก.ค.-ก.ย.'!V138</f>
        <v>0</v>
      </c>
      <c r="H138" s="498">
        <f t="shared" si="14"/>
        <v>4880</v>
      </c>
      <c r="I138" s="230">
        <f t="shared" si="13"/>
        <v>120</v>
      </c>
    </row>
    <row r="139" spans="1:13" ht="21.75" customHeight="1">
      <c r="A139" s="9"/>
      <c r="B139" s="226" t="s">
        <v>354</v>
      </c>
      <c r="C139" s="279">
        <f>10000-10000</f>
        <v>0</v>
      </c>
      <c r="D139" s="230">
        <f>+'ต.ค.-ธ.ค.'!E140+'ต.ค.-ธ.ค.'!F140+'ต.ค.-ธ.ค.'!H140+'ต.ค.-ธ.ค.'!I140+'ต.ค.-ธ.ค.'!M140+'ต.ค.-ธ.ค.'!Q140+'ต.ค.-ธ.ค.'!S140</f>
        <v>0</v>
      </c>
      <c r="E139" s="230">
        <f>+'ม.ค.-มี.ค.'!D139+'ม.ค.-มี.ค.'!E139+'ม.ค.-มี.ค.'!F139+'ม.ค.-มี.ค.'!G139+'ม.ค.-มี.ค.'!H139+'ม.ค.-มี.ค.'!I139+'ม.ค.-มี.ค.'!J139+'ม.ค.-มี.ค.'!K139+'ม.ค.-มี.ค.'!L139+'ม.ค.-มี.ค.'!M139+'ม.ค.-มี.ค.'!N139+'ม.ค.-มี.ค.'!O139+'ม.ค.-มี.ค.'!P139+'ม.ค.-มี.ค.'!Q139+'ม.ค.-มี.ค.'!R139+'ม.ค.-มี.ค.'!S139+'ม.ค.-มี.ค.'!U139+'ม.ค.-มี.ค.'!V139</f>
        <v>0</v>
      </c>
      <c r="F139" s="230">
        <f>+'เม.ย.-มิ.ย.'!E139+'เม.ย.-มิ.ย.'!F139+'เม.ย.-มิ.ย.'!G139+'เม.ย.-มิ.ย.'!H139+'เม.ย.-มิ.ย.'!I139+'เม.ย.-มิ.ย.'!M139+'เม.ย.-มิ.ย.'!N139+'เม.ย.-มิ.ย.'!P139+'เม.ย.-มิ.ย.'!R139+'เม.ย.-มิ.ย.'!S139</f>
        <v>0</v>
      </c>
      <c r="G139" s="498">
        <f>+'ก.ค.-ก.ย.'!D139+'ก.ค.-ก.ย.'!E139+'ก.ค.-ก.ย.'!F139+'ก.ค.-ก.ย.'!G139+'ก.ค.-ก.ย.'!H139+'ก.ค.-ก.ย.'!I139+'ก.ค.-ก.ย.'!J139+'ก.ค.-ก.ย.'!K139+'ก.ค.-ก.ย.'!L139+'ก.ค.-ก.ย.'!M139+'ก.ค.-ก.ย.'!N139+'ก.ค.-ก.ย.'!O139+'ก.ค.-ก.ย.'!P139+'ก.ค.-ก.ย.'!Q139+'ก.ค.-ก.ย.'!R139+'ก.ค.-ก.ย.'!S139+'ก.ค.-ก.ย.'!T139+'ก.ค.-ก.ย.'!U139+'ก.ค.-ก.ย.'!V139</f>
        <v>0</v>
      </c>
      <c r="H139" s="498">
        <f t="shared" si="14"/>
        <v>0</v>
      </c>
      <c r="I139" s="230">
        <f t="shared" si="13"/>
        <v>0</v>
      </c>
    </row>
    <row r="140" spans="1:13" ht="21.75" customHeight="1">
      <c r="A140" s="9"/>
      <c r="B140" s="187" t="s">
        <v>355</v>
      </c>
      <c r="C140" s="279">
        <v>20000</v>
      </c>
      <c r="D140" s="230">
        <f>+'ต.ค.-ธ.ค.'!E141+'ต.ค.-ธ.ค.'!F141+'ต.ค.-ธ.ค.'!H141+'ต.ค.-ธ.ค.'!I141+'ต.ค.-ธ.ค.'!M141+'ต.ค.-ธ.ค.'!Q141+'ต.ค.-ธ.ค.'!S141</f>
        <v>0</v>
      </c>
      <c r="E140" s="230">
        <f>+'ม.ค.-มี.ค.'!D140+'ม.ค.-มี.ค.'!E140+'ม.ค.-มี.ค.'!F140+'ม.ค.-มี.ค.'!G140+'ม.ค.-มี.ค.'!H140+'ม.ค.-มี.ค.'!I140+'ม.ค.-มี.ค.'!J140+'ม.ค.-มี.ค.'!K140+'ม.ค.-มี.ค.'!L140+'ม.ค.-มี.ค.'!M140+'ม.ค.-มี.ค.'!N140+'ม.ค.-มี.ค.'!O140+'ม.ค.-มี.ค.'!P140+'ม.ค.-มี.ค.'!Q140+'ม.ค.-มี.ค.'!R140+'ม.ค.-มี.ค.'!S140+'ม.ค.-มี.ค.'!U140+'ม.ค.-มี.ค.'!V140</f>
        <v>0</v>
      </c>
      <c r="F140" s="230">
        <f>+'เม.ย.-มิ.ย.'!E140+'เม.ย.-มิ.ย.'!F140+'เม.ย.-มิ.ย.'!G140+'เม.ย.-มิ.ย.'!H140+'เม.ย.-มิ.ย.'!I140+'เม.ย.-มิ.ย.'!M140+'เม.ย.-มิ.ย.'!N140+'เม.ย.-มิ.ย.'!P140+'เม.ย.-มิ.ย.'!R140+'เม.ย.-มิ.ย.'!S140</f>
        <v>0</v>
      </c>
      <c r="G140" s="498">
        <f>+'ก.ค.-ก.ย.'!D140+'ก.ค.-ก.ย.'!E140+'ก.ค.-ก.ย.'!F140+'ก.ค.-ก.ย.'!G140+'ก.ค.-ก.ย.'!H140+'ก.ค.-ก.ย.'!I140+'ก.ค.-ก.ย.'!J140+'ก.ค.-ก.ย.'!K140+'ก.ค.-ก.ย.'!L140+'ก.ค.-ก.ย.'!M140+'ก.ค.-ก.ย.'!N140+'ก.ค.-ก.ย.'!O140+'ก.ค.-ก.ย.'!P140+'ก.ค.-ก.ย.'!Q140+'ก.ค.-ก.ย.'!R140+'ก.ค.-ก.ย.'!S140+'ก.ค.-ก.ย.'!T140+'ก.ค.-ก.ย.'!U140+'ก.ค.-ก.ย.'!V140</f>
        <v>0</v>
      </c>
      <c r="H140" s="498">
        <f t="shared" si="14"/>
        <v>0</v>
      </c>
      <c r="I140" s="230">
        <f t="shared" si="13"/>
        <v>20000</v>
      </c>
    </row>
    <row r="141" spans="1:13" ht="21.75" customHeight="1">
      <c r="A141" s="9"/>
      <c r="B141" s="187" t="s">
        <v>356</v>
      </c>
      <c r="C141" s="279">
        <v>20000</v>
      </c>
      <c r="D141" s="230">
        <f>+'ต.ค.-ธ.ค.'!E142+'ต.ค.-ธ.ค.'!F142+'ต.ค.-ธ.ค.'!H142+'ต.ค.-ธ.ค.'!I142+'ต.ค.-ธ.ค.'!M142+'ต.ค.-ธ.ค.'!Q142+'ต.ค.-ธ.ค.'!S142</f>
        <v>0</v>
      </c>
      <c r="E141" s="230">
        <f>+'ม.ค.-มี.ค.'!D141+'ม.ค.-มี.ค.'!E141+'ม.ค.-มี.ค.'!F141+'ม.ค.-มี.ค.'!G141+'ม.ค.-มี.ค.'!H141+'ม.ค.-มี.ค.'!I141+'ม.ค.-มี.ค.'!J141+'ม.ค.-มี.ค.'!K141+'ม.ค.-มี.ค.'!L141+'ม.ค.-มี.ค.'!M141+'ม.ค.-มี.ค.'!N141+'ม.ค.-มี.ค.'!O141+'ม.ค.-มี.ค.'!P141+'ม.ค.-มี.ค.'!Q141+'ม.ค.-มี.ค.'!R141+'ม.ค.-มี.ค.'!S141+'ม.ค.-มี.ค.'!U141+'ม.ค.-มี.ค.'!V141</f>
        <v>0</v>
      </c>
      <c r="F141" s="230">
        <f>+'เม.ย.-มิ.ย.'!E141+'เม.ย.-มิ.ย.'!F141+'เม.ย.-มิ.ย.'!G141+'เม.ย.-มิ.ย.'!H141+'เม.ย.-มิ.ย.'!I141+'เม.ย.-มิ.ย.'!M141+'เม.ย.-มิ.ย.'!N141+'เม.ย.-มิ.ย.'!P141+'เม.ย.-มิ.ย.'!R141+'เม.ย.-มิ.ย.'!S141</f>
        <v>0</v>
      </c>
      <c r="G141" s="498">
        <f>+'ก.ค.-ก.ย.'!D141+'ก.ค.-ก.ย.'!E141+'ก.ค.-ก.ย.'!F141+'ก.ค.-ก.ย.'!G141+'ก.ค.-ก.ย.'!H141+'ก.ค.-ก.ย.'!I141+'ก.ค.-ก.ย.'!J141+'ก.ค.-ก.ย.'!K141+'ก.ค.-ก.ย.'!L141+'ก.ค.-ก.ย.'!M141+'ก.ค.-ก.ย.'!N141+'ก.ค.-ก.ย.'!O141+'ก.ค.-ก.ย.'!P141+'ก.ค.-ก.ย.'!Q141+'ก.ค.-ก.ย.'!R141+'ก.ค.-ก.ย.'!S141+'ก.ค.-ก.ย.'!T141+'ก.ค.-ก.ย.'!U141+'ก.ค.-ก.ย.'!V141</f>
        <v>0</v>
      </c>
      <c r="H141" s="498">
        <f t="shared" si="14"/>
        <v>0</v>
      </c>
      <c r="I141" s="230">
        <f t="shared" si="13"/>
        <v>20000</v>
      </c>
    </row>
    <row r="142" spans="1:13" s="172" customFormat="1" ht="21.75" customHeight="1">
      <c r="A142" s="9"/>
      <c r="B142" s="187" t="s">
        <v>357</v>
      </c>
      <c r="C142" s="279">
        <f>10000-10000</f>
        <v>0</v>
      </c>
      <c r="D142" s="230">
        <f>+'ต.ค.-ธ.ค.'!E143+'ต.ค.-ธ.ค.'!F143+'ต.ค.-ธ.ค.'!H143+'ต.ค.-ธ.ค.'!I143+'ต.ค.-ธ.ค.'!M143+'ต.ค.-ธ.ค.'!Q143+'ต.ค.-ธ.ค.'!S143</f>
        <v>0</v>
      </c>
      <c r="E142" s="230">
        <f>+'ม.ค.-มี.ค.'!D142+'ม.ค.-มี.ค.'!E142+'ม.ค.-มี.ค.'!F142+'ม.ค.-มี.ค.'!G142+'ม.ค.-มี.ค.'!H142+'ม.ค.-มี.ค.'!I142+'ม.ค.-มี.ค.'!J142+'ม.ค.-มี.ค.'!K142+'ม.ค.-มี.ค.'!L142+'ม.ค.-มี.ค.'!M142+'ม.ค.-มี.ค.'!N142+'ม.ค.-มี.ค.'!O142+'ม.ค.-มี.ค.'!P142+'ม.ค.-มี.ค.'!Q142+'ม.ค.-มี.ค.'!R142+'ม.ค.-มี.ค.'!S142+'ม.ค.-มี.ค.'!U142+'ม.ค.-มี.ค.'!V142</f>
        <v>0</v>
      </c>
      <c r="F142" s="230">
        <f>+'เม.ย.-มิ.ย.'!E142+'เม.ย.-มิ.ย.'!F142+'เม.ย.-มิ.ย.'!G142+'เม.ย.-มิ.ย.'!H142+'เม.ย.-มิ.ย.'!I142+'เม.ย.-มิ.ย.'!M142+'เม.ย.-มิ.ย.'!N142+'เม.ย.-มิ.ย.'!P142+'เม.ย.-มิ.ย.'!R142+'เม.ย.-มิ.ย.'!S142</f>
        <v>0</v>
      </c>
      <c r="G142" s="498">
        <f>+'ก.ค.-ก.ย.'!D142+'ก.ค.-ก.ย.'!E142+'ก.ค.-ก.ย.'!F142+'ก.ค.-ก.ย.'!G142+'ก.ค.-ก.ย.'!H142+'ก.ค.-ก.ย.'!I142+'ก.ค.-ก.ย.'!J142+'ก.ค.-ก.ย.'!K142+'ก.ค.-ก.ย.'!L142+'ก.ค.-ก.ย.'!M142+'ก.ค.-ก.ย.'!N142+'ก.ค.-ก.ย.'!O142+'ก.ค.-ก.ย.'!P142+'ก.ค.-ก.ย.'!Q142+'ก.ค.-ก.ย.'!R142+'ก.ค.-ก.ย.'!S142+'ก.ค.-ก.ย.'!T142+'ก.ค.-ก.ย.'!U142+'ก.ค.-ก.ย.'!V142</f>
        <v>0</v>
      </c>
      <c r="H142" s="498">
        <f t="shared" si="14"/>
        <v>0</v>
      </c>
      <c r="I142" s="498">
        <f t="shared" si="13"/>
        <v>0</v>
      </c>
      <c r="J142" s="233"/>
      <c r="K142" s="329"/>
      <c r="L142" s="330"/>
      <c r="M142" s="330"/>
    </row>
    <row r="143" spans="1:13" s="172" customFormat="1" ht="21.75" customHeight="1">
      <c r="A143" s="9"/>
      <c r="B143" s="187" t="s">
        <v>358</v>
      </c>
      <c r="C143" s="279">
        <f>10000-10000</f>
        <v>0</v>
      </c>
      <c r="D143" s="230">
        <f>+'ต.ค.-ธ.ค.'!E144+'ต.ค.-ธ.ค.'!F144+'ต.ค.-ธ.ค.'!H144+'ต.ค.-ธ.ค.'!I144+'ต.ค.-ธ.ค.'!M144+'ต.ค.-ธ.ค.'!Q144+'ต.ค.-ธ.ค.'!S144</f>
        <v>0</v>
      </c>
      <c r="E143" s="230">
        <f>+'ม.ค.-มี.ค.'!D143+'ม.ค.-มี.ค.'!E143+'ม.ค.-มี.ค.'!F143+'ม.ค.-มี.ค.'!G143+'ม.ค.-มี.ค.'!H143+'ม.ค.-มี.ค.'!I143+'ม.ค.-มี.ค.'!J143+'ม.ค.-มี.ค.'!K143+'ม.ค.-มี.ค.'!L143+'ม.ค.-มี.ค.'!M143+'ม.ค.-มี.ค.'!N143+'ม.ค.-มี.ค.'!O143+'ม.ค.-มี.ค.'!P143+'ม.ค.-มี.ค.'!Q143+'ม.ค.-มี.ค.'!R143+'ม.ค.-มี.ค.'!S143+'ม.ค.-มี.ค.'!U143+'ม.ค.-มี.ค.'!V143</f>
        <v>0</v>
      </c>
      <c r="F143" s="230">
        <f>+'เม.ย.-มิ.ย.'!E143+'เม.ย.-มิ.ย.'!F143+'เม.ย.-มิ.ย.'!G143+'เม.ย.-มิ.ย.'!H143+'เม.ย.-มิ.ย.'!I143+'เม.ย.-มิ.ย.'!M143+'เม.ย.-มิ.ย.'!N143+'เม.ย.-มิ.ย.'!P143+'เม.ย.-มิ.ย.'!R143+'เม.ย.-มิ.ย.'!S143</f>
        <v>0</v>
      </c>
      <c r="G143" s="498">
        <f>+'ก.ค.-ก.ย.'!D143+'ก.ค.-ก.ย.'!E143+'ก.ค.-ก.ย.'!F143+'ก.ค.-ก.ย.'!G143+'ก.ค.-ก.ย.'!H143+'ก.ค.-ก.ย.'!I143+'ก.ค.-ก.ย.'!J143+'ก.ค.-ก.ย.'!K143+'ก.ค.-ก.ย.'!L143+'ก.ค.-ก.ย.'!M143+'ก.ค.-ก.ย.'!N143+'ก.ค.-ก.ย.'!O143+'ก.ค.-ก.ย.'!P143+'ก.ค.-ก.ย.'!Q143+'ก.ค.-ก.ย.'!R143+'ก.ค.-ก.ย.'!S143+'ก.ค.-ก.ย.'!T143+'ก.ค.-ก.ย.'!U143+'ก.ค.-ก.ย.'!V143</f>
        <v>0</v>
      </c>
      <c r="H143" s="498">
        <f t="shared" si="14"/>
        <v>0</v>
      </c>
      <c r="I143" s="230">
        <f t="shared" si="13"/>
        <v>0</v>
      </c>
      <c r="J143" s="233"/>
      <c r="K143" s="329"/>
      <c r="L143" s="330"/>
      <c r="M143" s="330"/>
    </row>
    <row r="144" spans="1:13" s="172" customFormat="1" ht="21.75" customHeight="1">
      <c r="A144" s="9"/>
      <c r="B144" s="187" t="s">
        <v>359</v>
      </c>
      <c r="C144" s="279">
        <v>5000</v>
      </c>
      <c r="D144" s="230">
        <f>+'ต.ค.-ธ.ค.'!E145+'ต.ค.-ธ.ค.'!F145+'ต.ค.-ธ.ค.'!H145+'ต.ค.-ธ.ค.'!I145+'ต.ค.-ธ.ค.'!M145+'ต.ค.-ธ.ค.'!Q145+'ต.ค.-ธ.ค.'!S145</f>
        <v>0</v>
      </c>
      <c r="E144" s="230">
        <f>+'ม.ค.-มี.ค.'!D144+'ม.ค.-มี.ค.'!E144+'ม.ค.-มี.ค.'!F144+'ม.ค.-มี.ค.'!G144+'ม.ค.-มี.ค.'!H144+'ม.ค.-มี.ค.'!I144+'ม.ค.-มี.ค.'!J144+'ม.ค.-มี.ค.'!K144+'ม.ค.-มี.ค.'!L144+'ม.ค.-มี.ค.'!M144+'ม.ค.-มี.ค.'!N144+'ม.ค.-มี.ค.'!O144+'ม.ค.-มี.ค.'!P144+'ม.ค.-มี.ค.'!Q144+'ม.ค.-มี.ค.'!R144+'ม.ค.-มี.ค.'!S144+'ม.ค.-มี.ค.'!U144+'ม.ค.-มี.ค.'!V144</f>
        <v>0</v>
      </c>
      <c r="F144" s="230">
        <f>+'เม.ย.-มิ.ย.'!E144+'เม.ย.-มิ.ย.'!F144+'เม.ย.-มิ.ย.'!G144+'เม.ย.-มิ.ย.'!H144+'เม.ย.-มิ.ย.'!I144+'เม.ย.-มิ.ย.'!M144+'เม.ย.-มิ.ย.'!N144+'เม.ย.-มิ.ย.'!P144+'เม.ย.-มิ.ย.'!R144+'เม.ย.-มิ.ย.'!S144</f>
        <v>0</v>
      </c>
      <c r="G144" s="498">
        <f>+'ก.ค.-ก.ย.'!D144+'ก.ค.-ก.ย.'!E144+'ก.ค.-ก.ย.'!F144+'ก.ค.-ก.ย.'!G144+'ก.ค.-ก.ย.'!H144+'ก.ค.-ก.ย.'!I144+'ก.ค.-ก.ย.'!J144+'ก.ค.-ก.ย.'!K144+'ก.ค.-ก.ย.'!L144+'ก.ค.-ก.ย.'!M144+'ก.ค.-ก.ย.'!N144+'ก.ค.-ก.ย.'!O144+'ก.ค.-ก.ย.'!P144+'ก.ค.-ก.ย.'!Q144+'ก.ค.-ก.ย.'!R144+'ก.ค.-ก.ย.'!S144+'ก.ค.-ก.ย.'!T144+'ก.ค.-ก.ย.'!U144+'ก.ค.-ก.ย.'!V144</f>
        <v>0</v>
      </c>
      <c r="H144" s="498">
        <f t="shared" si="14"/>
        <v>0</v>
      </c>
      <c r="I144" s="230">
        <f t="shared" si="13"/>
        <v>5000</v>
      </c>
      <c r="J144" s="233"/>
      <c r="K144" s="329"/>
      <c r="L144" s="330"/>
      <c r="M144" s="330"/>
    </row>
    <row r="145" spans="1:13" s="172" customFormat="1" ht="21.75" customHeight="1">
      <c r="A145" s="9"/>
      <c r="B145" s="187" t="s">
        <v>360</v>
      </c>
      <c r="C145" s="279">
        <f>5000-5000</f>
        <v>0</v>
      </c>
      <c r="D145" s="230">
        <f>+'ต.ค.-ธ.ค.'!E146+'ต.ค.-ธ.ค.'!F146+'ต.ค.-ธ.ค.'!H146+'ต.ค.-ธ.ค.'!I146+'ต.ค.-ธ.ค.'!M146+'ต.ค.-ธ.ค.'!Q146+'ต.ค.-ธ.ค.'!S146</f>
        <v>0</v>
      </c>
      <c r="E145" s="230">
        <f>+'ม.ค.-มี.ค.'!D145+'ม.ค.-มี.ค.'!E145+'ม.ค.-มี.ค.'!F145+'ม.ค.-มี.ค.'!G145+'ม.ค.-มี.ค.'!H145+'ม.ค.-มี.ค.'!I145+'ม.ค.-มี.ค.'!J145+'ม.ค.-มี.ค.'!K145+'ม.ค.-มี.ค.'!L145+'ม.ค.-มี.ค.'!M145+'ม.ค.-มี.ค.'!N145+'ม.ค.-มี.ค.'!O145+'ม.ค.-มี.ค.'!P145+'ม.ค.-มี.ค.'!Q145+'ม.ค.-มี.ค.'!R145+'ม.ค.-มี.ค.'!S145+'ม.ค.-มี.ค.'!U145+'ม.ค.-มี.ค.'!V145</f>
        <v>0</v>
      </c>
      <c r="F145" s="230">
        <f>+'เม.ย.-มิ.ย.'!E145+'เม.ย.-มิ.ย.'!F145+'เม.ย.-มิ.ย.'!G145+'เม.ย.-มิ.ย.'!H145+'เม.ย.-มิ.ย.'!I145+'เม.ย.-มิ.ย.'!M145+'เม.ย.-มิ.ย.'!N145+'เม.ย.-มิ.ย.'!P145+'เม.ย.-มิ.ย.'!R145+'เม.ย.-มิ.ย.'!S145</f>
        <v>0</v>
      </c>
      <c r="G145" s="498">
        <f>+'ก.ค.-ก.ย.'!D145+'ก.ค.-ก.ย.'!E145+'ก.ค.-ก.ย.'!F145+'ก.ค.-ก.ย.'!G145+'ก.ค.-ก.ย.'!H145+'ก.ค.-ก.ย.'!I145+'ก.ค.-ก.ย.'!J145+'ก.ค.-ก.ย.'!K145+'ก.ค.-ก.ย.'!L145+'ก.ค.-ก.ย.'!M145+'ก.ค.-ก.ย.'!N145+'ก.ค.-ก.ย.'!O145+'ก.ค.-ก.ย.'!P145+'ก.ค.-ก.ย.'!Q145+'ก.ค.-ก.ย.'!R145+'ก.ค.-ก.ย.'!S145+'ก.ค.-ก.ย.'!T145+'ก.ค.-ก.ย.'!U145+'ก.ค.-ก.ย.'!V145</f>
        <v>0</v>
      </c>
      <c r="H145" s="498">
        <f t="shared" si="14"/>
        <v>0</v>
      </c>
      <c r="I145" s="230">
        <f t="shared" si="13"/>
        <v>0</v>
      </c>
      <c r="J145" s="233"/>
      <c r="K145" s="329"/>
      <c r="L145" s="330"/>
      <c r="M145" s="330"/>
    </row>
    <row r="146" spans="1:13" s="172" customFormat="1" ht="21.75" customHeight="1">
      <c r="A146" s="9"/>
      <c r="B146" s="187" t="s">
        <v>361</v>
      </c>
      <c r="C146" s="279">
        <v>5000</v>
      </c>
      <c r="D146" s="230">
        <f>+'ต.ค.-ธ.ค.'!E147+'ต.ค.-ธ.ค.'!F147+'ต.ค.-ธ.ค.'!H147+'ต.ค.-ธ.ค.'!I147+'ต.ค.-ธ.ค.'!M147+'ต.ค.-ธ.ค.'!Q147+'ต.ค.-ธ.ค.'!S147</f>
        <v>0</v>
      </c>
      <c r="E146" s="230">
        <f>+'ม.ค.-มี.ค.'!D146+'ม.ค.-มี.ค.'!E146+'ม.ค.-มี.ค.'!F146+'ม.ค.-มี.ค.'!G146+'ม.ค.-มี.ค.'!H146+'ม.ค.-มี.ค.'!I146+'ม.ค.-มี.ค.'!J146+'ม.ค.-มี.ค.'!K146+'ม.ค.-มี.ค.'!L146+'ม.ค.-มี.ค.'!M146+'ม.ค.-มี.ค.'!N146+'ม.ค.-มี.ค.'!O146+'ม.ค.-มี.ค.'!P146+'ม.ค.-มี.ค.'!Q146+'ม.ค.-มี.ค.'!R146+'ม.ค.-มี.ค.'!S146+'ม.ค.-มี.ค.'!U146+'ม.ค.-มี.ค.'!V146</f>
        <v>0</v>
      </c>
      <c r="F146" s="230">
        <f>+'เม.ย.-มิ.ย.'!E146+'เม.ย.-มิ.ย.'!F146+'เม.ย.-มิ.ย.'!G146+'เม.ย.-มิ.ย.'!H146+'เม.ย.-มิ.ย.'!I146+'เม.ย.-มิ.ย.'!M146+'เม.ย.-มิ.ย.'!N146+'เม.ย.-มิ.ย.'!P146+'เม.ย.-มิ.ย.'!R146+'เม.ย.-มิ.ย.'!S146</f>
        <v>0</v>
      </c>
      <c r="G146" s="498">
        <f>+'ก.ค.-ก.ย.'!D146+'ก.ค.-ก.ย.'!E146+'ก.ค.-ก.ย.'!F146+'ก.ค.-ก.ย.'!G146+'ก.ค.-ก.ย.'!H146+'ก.ค.-ก.ย.'!I146+'ก.ค.-ก.ย.'!J146+'ก.ค.-ก.ย.'!K146+'ก.ค.-ก.ย.'!L146+'ก.ค.-ก.ย.'!M146+'ก.ค.-ก.ย.'!N146+'ก.ค.-ก.ย.'!O146+'ก.ค.-ก.ย.'!P146+'ก.ค.-ก.ย.'!Q146+'ก.ค.-ก.ย.'!R146+'ก.ค.-ก.ย.'!S146+'ก.ค.-ก.ย.'!T146+'ก.ค.-ก.ย.'!U146+'ก.ค.-ก.ย.'!V146</f>
        <v>0</v>
      </c>
      <c r="H146" s="498">
        <f t="shared" si="14"/>
        <v>0</v>
      </c>
      <c r="I146" s="230">
        <f t="shared" si="13"/>
        <v>5000</v>
      </c>
      <c r="J146" s="233"/>
      <c r="K146" s="329"/>
      <c r="L146" s="330"/>
      <c r="M146" s="330"/>
    </row>
    <row r="147" spans="1:13" s="172" customFormat="1" ht="21.75" customHeight="1">
      <c r="A147" s="9"/>
      <c r="B147" s="187" t="s">
        <v>362</v>
      </c>
      <c r="C147" s="279">
        <f>5000-5000</f>
        <v>0</v>
      </c>
      <c r="D147" s="230">
        <f>+'ต.ค.-ธ.ค.'!E148+'ต.ค.-ธ.ค.'!F148+'ต.ค.-ธ.ค.'!H148+'ต.ค.-ธ.ค.'!I148+'ต.ค.-ธ.ค.'!M148+'ต.ค.-ธ.ค.'!Q148+'ต.ค.-ธ.ค.'!S148</f>
        <v>0</v>
      </c>
      <c r="E147" s="230">
        <f>+'ม.ค.-มี.ค.'!D147+'ม.ค.-มี.ค.'!E147+'ม.ค.-มี.ค.'!F147+'ม.ค.-มี.ค.'!G147+'ม.ค.-มี.ค.'!H147+'ม.ค.-มี.ค.'!I147+'ม.ค.-มี.ค.'!J147+'ม.ค.-มี.ค.'!K147+'ม.ค.-มี.ค.'!L147+'ม.ค.-มี.ค.'!M147+'ม.ค.-มี.ค.'!N147+'ม.ค.-มี.ค.'!O147+'ม.ค.-มี.ค.'!P147+'ม.ค.-มี.ค.'!Q147+'ม.ค.-มี.ค.'!R147+'ม.ค.-มี.ค.'!S147+'ม.ค.-มี.ค.'!U147+'ม.ค.-มี.ค.'!V147</f>
        <v>0</v>
      </c>
      <c r="F147" s="230">
        <f>+'เม.ย.-มิ.ย.'!E147+'เม.ย.-มิ.ย.'!F147+'เม.ย.-มิ.ย.'!G147+'เม.ย.-มิ.ย.'!H147+'เม.ย.-มิ.ย.'!I147+'เม.ย.-มิ.ย.'!M147+'เม.ย.-มิ.ย.'!N147+'เม.ย.-มิ.ย.'!P147+'เม.ย.-มิ.ย.'!R147+'เม.ย.-มิ.ย.'!S147</f>
        <v>0</v>
      </c>
      <c r="G147" s="498">
        <f>+'ก.ค.-ก.ย.'!D147+'ก.ค.-ก.ย.'!E147+'ก.ค.-ก.ย.'!F147+'ก.ค.-ก.ย.'!G147+'ก.ค.-ก.ย.'!H147+'ก.ค.-ก.ย.'!I147+'ก.ค.-ก.ย.'!J147+'ก.ค.-ก.ย.'!K147+'ก.ค.-ก.ย.'!L147+'ก.ค.-ก.ย.'!M147+'ก.ค.-ก.ย.'!N147+'ก.ค.-ก.ย.'!O147+'ก.ค.-ก.ย.'!P147+'ก.ค.-ก.ย.'!Q147+'ก.ค.-ก.ย.'!R147+'ก.ค.-ก.ย.'!S147+'ก.ค.-ก.ย.'!T147+'ก.ค.-ก.ย.'!U147+'ก.ค.-ก.ย.'!V147</f>
        <v>0</v>
      </c>
      <c r="H147" s="498">
        <f t="shared" si="14"/>
        <v>0</v>
      </c>
      <c r="I147" s="230">
        <f t="shared" ref="I147:I173" si="15">+C147-H147</f>
        <v>0</v>
      </c>
      <c r="J147" s="233"/>
      <c r="K147" s="329"/>
      <c r="L147" s="330"/>
      <c r="M147" s="330"/>
    </row>
    <row r="148" spans="1:13" s="172" customFormat="1" ht="21.75" customHeight="1">
      <c r="A148" s="9"/>
      <c r="B148" s="187" t="s">
        <v>363</v>
      </c>
      <c r="C148" s="279">
        <f>5000-5000</f>
        <v>0</v>
      </c>
      <c r="D148" s="230">
        <f>+'ต.ค.-ธ.ค.'!E149+'ต.ค.-ธ.ค.'!F149+'ต.ค.-ธ.ค.'!H149+'ต.ค.-ธ.ค.'!I149+'ต.ค.-ธ.ค.'!M149+'ต.ค.-ธ.ค.'!Q149+'ต.ค.-ธ.ค.'!S149</f>
        <v>0</v>
      </c>
      <c r="E148" s="230">
        <f>+'ม.ค.-มี.ค.'!D148+'ม.ค.-มี.ค.'!E148+'ม.ค.-มี.ค.'!F148+'ม.ค.-มี.ค.'!G148+'ม.ค.-มี.ค.'!H148+'ม.ค.-มี.ค.'!I148+'ม.ค.-มี.ค.'!J148+'ม.ค.-มี.ค.'!K148+'ม.ค.-มี.ค.'!L148+'ม.ค.-มี.ค.'!M148+'ม.ค.-มี.ค.'!N148+'ม.ค.-มี.ค.'!O148+'ม.ค.-มี.ค.'!P148+'ม.ค.-มี.ค.'!Q148+'ม.ค.-มี.ค.'!R148+'ม.ค.-มี.ค.'!S148+'ม.ค.-มี.ค.'!U148+'ม.ค.-มี.ค.'!V148</f>
        <v>0</v>
      </c>
      <c r="F148" s="230">
        <f>+'เม.ย.-มิ.ย.'!E148+'เม.ย.-มิ.ย.'!F148+'เม.ย.-มิ.ย.'!G148+'เม.ย.-มิ.ย.'!H148+'เม.ย.-มิ.ย.'!I148+'เม.ย.-มิ.ย.'!M148+'เม.ย.-มิ.ย.'!N148+'เม.ย.-มิ.ย.'!P148+'เม.ย.-มิ.ย.'!R148+'เม.ย.-มิ.ย.'!S148</f>
        <v>0</v>
      </c>
      <c r="G148" s="498">
        <f>+'ก.ค.-ก.ย.'!D148+'ก.ค.-ก.ย.'!E148+'ก.ค.-ก.ย.'!F148+'ก.ค.-ก.ย.'!G148+'ก.ค.-ก.ย.'!H148+'ก.ค.-ก.ย.'!I148+'ก.ค.-ก.ย.'!J148+'ก.ค.-ก.ย.'!K148+'ก.ค.-ก.ย.'!L148+'ก.ค.-ก.ย.'!M148+'ก.ค.-ก.ย.'!N148+'ก.ค.-ก.ย.'!O148+'ก.ค.-ก.ย.'!P148+'ก.ค.-ก.ย.'!Q148+'ก.ค.-ก.ย.'!R148+'ก.ค.-ก.ย.'!S148+'ก.ค.-ก.ย.'!T148+'ก.ค.-ก.ย.'!U148+'ก.ค.-ก.ย.'!V148</f>
        <v>0</v>
      </c>
      <c r="H148" s="498">
        <f t="shared" si="14"/>
        <v>0</v>
      </c>
      <c r="I148" s="230">
        <f t="shared" si="15"/>
        <v>0</v>
      </c>
      <c r="J148" s="233"/>
      <c r="K148" s="329"/>
      <c r="L148" s="330"/>
      <c r="M148" s="330"/>
    </row>
    <row r="149" spans="1:13" s="172" customFormat="1" ht="21.75" customHeight="1">
      <c r="A149" s="9"/>
      <c r="B149" s="187" t="s">
        <v>364</v>
      </c>
      <c r="C149" s="279">
        <v>5000</v>
      </c>
      <c r="D149" s="230">
        <f>+'ต.ค.-ธ.ค.'!E150+'ต.ค.-ธ.ค.'!F150+'ต.ค.-ธ.ค.'!H150+'ต.ค.-ธ.ค.'!I150+'ต.ค.-ธ.ค.'!M150+'ต.ค.-ธ.ค.'!Q150+'ต.ค.-ธ.ค.'!S150</f>
        <v>0</v>
      </c>
      <c r="E149" s="230">
        <f>+'ม.ค.-มี.ค.'!D149+'ม.ค.-มี.ค.'!E149+'ม.ค.-มี.ค.'!F149+'ม.ค.-มี.ค.'!G149+'ม.ค.-มี.ค.'!H149+'ม.ค.-มี.ค.'!I149+'ม.ค.-มี.ค.'!J149+'ม.ค.-มี.ค.'!K149+'ม.ค.-มี.ค.'!L149+'ม.ค.-มี.ค.'!M149+'ม.ค.-มี.ค.'!N149+'ม.ค.-มี.ค.'!O149+'ม.ค.-มี.ค.'!P149+'ม.ค.-มี.ค.'!Q149+'ม.ค.-มี.ค.'!R149+'ม.ค.-มี.ค.'!S149+'ม.ค.-มี.ค.'!U149+'ม.ค.-มี.ค.'!V149</f>
        <v>0</v>
      </c>
      <c r="F149" s="230">
        <f>+'เม.ย.-มิ.ย.'!E149+'เม.ย.-มิ.ย.'!F149+'เม.ย.-มิ.ย.'!G149+'เม.ย.-มิ.ย.'!H149+'เม.ย.-มิ.ย.'!I149+'เม.ย.-มิ.ย.'!M149+'เม.ย.-มิ.ย.'!N149+'เม.ย.-มิ.ย.'!P149+'เม.ย.-มิ.ย.'!R149+'เม.ย.-มิ.ย.'!S149</f>
        <v>0</v>
      </c>
      <c r="G149" s="498">
        <f>+'ก.ค.-ก.ย.'!D149+'ก.ค.-ก.ย.'!E149+'ก.ค.-ก.ย.'!F149+'ก.ค.-ก.ย.'!G149+'ก.ค.-ก.ย.'!H149+'ก.ค.-ก.ย.'!I149+'ก.ค.-ก.ย.'!J149+'ก.ค.-ก.ย.'!K149+'ก.ค.-ก.ย.'!L149+'ก.ค.-ก.ย.'!M149+'ก.ค.-ก.ย.'!N149+'ก.ค.-ก.ย.'!O149+'ก.ค.-ก.ย.'!P149+'ก.ค.-ก.ย.'!Q149+'ก.ค.-ก.ย.'!R149+'ก.ค.-ก.ย.'!S149+'ก.ค.-ก.ย.'!T149+'ก.ค.-ก.ย.'!U149+'ก.ค.-ก.ย.'!V149</f>
        <v>0</v>
      </c>
      <c r="H149" s="498">
        <f t="shared" si="14"/>
        <v>0</v>
      </c>
      <c r="I149" s="230">
        <f t="shared" si="15"/>
        <v>5000</v>
      </c>
      <c r="J149" s="233"/>
      <c r="K149" s="329"/>
      <c r="L149" s="330"/>
      <c r="M149" s="330"/>
    </row>
    <row r="150" spans="1:13" s="172" customFormat="1" ht="21.75" customHeight="1">
      <c r="A150" s="9"/>
      <c r="B150" s="187" t="s">
        <v>365</v>
      </c>
      <c r="C150" s="279">
        <v>5000</v>
      </c>
      <c r="D150" s="230">
        <f>+'ต.ค.-ธ.ค.'!E151+'ต.ค.-ธ.ค.'!F151+'ต.ค.-ธ.ค.'!H151+'ต.ค.-ธ.ค.'!I151+'ต.ค.-ธ.ค.'!M151+'ต.ค.-ธ.ค.'!Q151+'ต.ค.-ธ.ค.'!S151</f>
        <v>0</v>
      </c>
      <c r="E150" s="230">
        <f>+'ม.ค.-มี.ค.'!D150+'ม.ค.-มี.ค.'!E150+'ม.ค.-มี.ค.'!F150+'ม.ค.-มี.ค.'!G150+'ม.ค.-มี.ค.'!H150+'ม.ค.-มี.ค.'!I150+'ม.ค.-มี.ค.'!J150+'ม.ค.-มี.ค.'!K150+'ม.ค.-มี.ค.'!L150+'ม.ค.-มี.ค.'!M150+'ม.ค.-มี.ค.'!N150+'ม.ค.-มี.ค.'!O150+'ม.ค.-มี.ค.'!P150+'ม.ค.-มี.ค.'!Q150+'ม.ค.-มี.ค.'!R150+'ม.ค.-มี.ค.'!S150+'ม.ค.-มี.ค.'!U150+'ม.ค.-มี.ค.'!V150</f>
        <v>0</v>
      </c>
      <c r="F150" s="230">
        <f>+'เม.ย.-มิ.ย.'!E150+'เม.ย.-มิ.ย.'!F150+'เม.ย.-มิ.ย.'!G150+'เม.ย.-มิ.ย.'!H150+'เม.ย.-มิ.ย.'!I150+'เม.ย.-มิ.ย.'!M150+'เม.ย.-มิ.ย.'!N150+'เม.ย.-มิ.ย.'!P150+'เม.ย.-มิ.ย.'!R150+'เม.ย.-มิ.ย.'!S150</f>
        <v>0</v>
      </c>
      <c r="G150" s="498">
        <f>+'ก.ค.-ก.ย.'!D150+'ก.ค.-ก.ย.'!E150+'ก.ค.-ก.ย.'!F150+'ก.ค.-ก.ย.'!G150+'ก.ค.-ก.ย.'!H150+'ก.ค.-ก.ย.'!I150+'ก.ค.-ก.ย.'!J150+'ก.ค.-ก.ย.'!K150+'ก.ค.-ก.ย.'!L150+'ก.ค.-ก.ย.'!M150+'ก.ค.-ก.ย.'!N150+'ก.ค.-ก.ย.'!O150+'ก.ค.-ก.ย.'!P150+'ก.ค.-ก.ย.'!Q150+'ก.ค.-ก.ย.'!R150+'ก.ค.-ก.ย.'!S150+'ก.ค.-ก.ย.'!T150+'ก.ค.-ก.ย.'!U150+'ก.ค.-ก.ย.'!V150</f>
        <v>0</v>
      </c>
      <c r="H150" s="498">
        <f t="shared" si="14"/>
        <v>0</v>
      </c>
      <c r="I150" s="230">
        <f t="shared" si="15"/>
        <v>5000</v>
      </c>
      <c r="J150" s="233"/>
      <c r="K150" s="329"/>
      <c r="L150" s="330"/>
      <c r="M150" s="330"/>
    </row>
    <row r="151" spans="1:13" s="172" customFormat="1" ht="21.75" customHeight="1">
      <c r="A151" s="9"/>
      <c r="B151" s="187" t="s">
        <v>366</v>
      </c>
      <c r="C151" s="279">
        <v>5000</v>
      </c>
      <c r="D151" s="230">
        <f>+'ต.ค.-ธ.ค.'!E152+'ต.ค.-ธ.ค.'!F152+'ต.ค.-ธ.ค.'!H152+'ต.ค.-ธ.ค.'!I152+'ต.ค.-ธ.ค.'!M152+'ต.ค.-ธ.ค.'!Q152+'ต.ค.-ธ.ค.'!S152</f>
        <v>0</v>
      </c>
      <c r="E151" s="230">
        <f>+'ม.ค.-มี.ค.'!D151+'ม.ค.-มี.ค.'!E151+'ม.ค.-มี.ค.'!F151+'ม.ค.-มี.ค.'!G151+'ม.ค.-มี.ค.'!H151+'ม.ค.-มี.ค.'!I151+'ม.ค.-มี.ค.'!J151+'ม.ค.-มี.ค.'!K151+'ม.ค.-มี.ค.'!L151+'ม.ค.-มี.ค.'!M151+'ม.ค.-มี.ค.'!N151+'ม.ค.-มี.ค.'!O151+'ม.ค.-มี.ค.'!P151+'ม.ค.-มี.ค.'!Q151+'ม.ค.-มี.ค.'!R151+'ม.ค.-มี.ค.'!S151+'ม.ค.-มี.ค.'!U151+'ม.ค.-มี.ค.'!V151</f>
        <v>0</v>
      </c>
      <c r="F151" s="230">
        <f>+'เม.ย.-มิ.ย.'!E151+'เม.ย.-มิ.ย.'!F151+'เม.ย.-มิ.ย.'!G151+'เม.ย.-มิ.ย.'!H151+'เม.ย.-มิ.ย.'!I151+'เม.ย.-มิ.ย.'!M151+'เม.ย.-มิ.ย.'!N151+'เม.ย.-มิ.ย.'!P151+'เม.ย.-มิ.ย.'!R151+'เม.ย.-มิ.ย.'!S151</f>
        <v>0</v>
      </c>
      <c r="G151" s="498">
        <f>+'ก.ค.-ก.ย.'!D151+'ก.ค.-ก.ย.'!E151+'ก.ค.-ก.ย.'!F151+'ก.ค.-ก.ย.'!G151+'ก.ค.-ก.ย.'!H151+'ก.ค.-ก.ย.'!I151+'ก.ค.-ก.ย.'!J151+'ก.ค.-ก.ย.'!K151+'ก.ค.-ก.ย.'!L151+'ก.ค.-ก.ย.'!M151+'ก.ค.-ก.ย.'!N151+'ก.ค.-ก.ย.'!O151+'ก.ค.-ก.ย.'!P151+'ก.ค.-ก.ย.'!Q151+'ก.ค.-ก.ย.'!R151+'ก.ค.-ก.ย.'!S151+'ก.ค.-ก.ย.'!T151+'ก.ค.-ก.ย.'!U151+'ก.ค.-ก.ย.'!V151</f>
        <v>0</v>
      </c>
      <c r="H151" s="498">
        <f t="shared" si="14"/>
        <v>0</v>
      </c>
      <c r="I151" s="230">
        <f t="shared" si="15"/>
        <v>5000</v>
      </c>
      <c r="J151" s="233"/>
      <c r="K151" s="329"/>
      <c r="L151" s="330"/>
      <c r="M151" s="330"/>
    </row>
    <row r="152" spans="1:13" s="172" customFormat="1" ht="21.75" customHeight="1">
      <c r="A152" s="9"/>
      <c r="B152" s="187" t="s">
        <v>367</v>
      </c>
      <c r="C152" s="279">
        <v>5000</v>
      </c>
      <c r="D152" s="230">
        <f>+'ต.ค.-ธ.ค.'!E153+'ต.ค.-ธ.ค.'!F153+'ต.ค.-ธ.ค.'!H153+'ต.ค.-ธ.ค.'!I153+'ต.ค.-ธ.ค.'!M153+'ต.ค.-ธ.ค.'!Q153+'ต.ค.-ธ.ค.'!S153</f>
        <v>0</v>
      </c>
      <c r="E152" s="230">
        <f>+'ม.ค.-มี.ค.'!D152+'ม.ค.-มี.ค.'!E152+'ม.ค.-มี.ค.'!F152+'ม.ค.-มี.ค.'!G152+'ม.ค.-มี.ค.'!H152+'ม.ค.-มี.ค.'!I152+'ม.ค.-มี.ค.'!J152+'ม.ค.-มี.ค.'!K152+'ม.ค.-มี.ค.'!L152+'ม.ค.-มี.ค.'!M152+'ม.ค.-มี.ค.'!N152+'ม.ค.-มี.ค.'!O152+'ม.ค.-มี.ค.'!P152+'ม.ค.-มี.ค.'!Q152+'ม.ค.-มี.ค.'!R152+'ม.ค.-มี.ค.'!S152+'ม.ค.-มี.ค.'!U152+'ม.ค.-มี.ค.'!V152</f>
        <v>0</v>
      </c>
      <c r="F152" s="230">
        <f>+'เม.ย.-มิ.ย.'!E152+'เม.ย.-มิ.ย.'!F152+'เม.ย.-มิ.ย.'!G152+'เม.ย.-มิ.ย.'!H152+'เม.ย.-มิ.ย.'!I152+'เม.ย.-มิ.ย.'!M152+'เม.ย.-มิ.ย.'!N152+'เม.ย.-มิ.ย.'!P152+'เม.ย.-มิ.ย.'!R152+'เม.ย.-มิ.ย.'!S152</f>
        <v>0</v>
      </c>
      <c r="G152" s="498">
        <f>+'ก.ค.-ก.ย.'!D152+'ก.ค.-ก.ย.'!E152+'ก.ค.-ก.ย.'!F152+'ก.ค.-ก.ย.'!G152+'ก.ค.-ก.ย.'!H152+'ก.ค.-ก.ย.'!I152+'ก.ค.-ก.ย.'!J152+'ก.ค.-ก.ย.'!K152+'ก.ค.-ก.ย.'!L152+'ก.ค.-ก.ย.'!M152+'ก.ค.-ก.ย.'!N152+'ก.ค.-ก.ย.'!O152+'ก.ค.-ก.ย.'!P152+'ก.ค.-ก.ย.'!Q152+'ก.ค.-ก.ย.'!R152+'ก.ค.-ก.ย.'!S152+'ก.ค.-ก.ย.'!T152+'ก.ค.-ก.ย.'!U152+'ก.ค.-ก.ย.'!V152</f>
        <v>0</v>
      </c>
      <c r="H152" s="498">
        <f t="shared" si="14"/>
        <v>0</v>
      </c>
      <c r="I152" s="230">
        <f t="shared" si="15"/>
        <v>5000</v>
      </c>
      <c r="J152" s="233"/>
      <c r="K152" s="329"/>
      <c r="L152" s="330"/>
      <c r="M152" s="330"/>
    </row>
    <row r="153" spans="1:13" s="172" customFormat="1" ht="21.75" customHeight="1">
      <c r="A153" s="9"/>
      <c r="B153" s="187" t="s">
        <v>368</v>
      </c>
      <c r="C153" s="279">
        <f>5000-5000</f>
        <v>0</v>
      </c>
      <c r="D153" s="230">
        <f>+'ต.ค.-ธ.ค.'!E154+'ต.ค.-ธ.ค.'!F154+'ต.ค.-ธ.ค.'!H154+'ต.ค.-ธ.ค.'!I154+'ต.ค.-ธ.ค.'!M154+'ต.ค.-ธ.ค.'!Q154+'ต.ค.-ธ.ค.'!S154</f>
        <v>0</v>
      </c>
      <c r="E153" s="230">
        <f>+'ม.ค.-มี.ค.'!D153+'ม.ค.-มี.ค.'!E153+'ม.ค.-มี.ค.'!F153+'ม.ค.-มี.ค.'!G153+'ม.ค.-มี.ค.'!H153+'ม.ค.-มี.ค.'!I153+'ม.ค.-มี.ค.'!J153+'ม.ค.-มี.ค.'!K153+'ม.ค.-มี.ค.'!L153+'ม.ค.-มี.ค.'!M153+'ม.ค.-มี.ค.'!N153+'ม.ค.-มี.ค.'!O153+'ม.ค.-มี.ค.'!P153+'ม.ค.-มี.ค.'!Q153+'ม.ค.-มี.ค.'!R153+'ม.ค.-มี.ค.'!S153+'ม.ค.-มี.ค.'!U153+'ม.ค.-มี.ค.'!V153</f>
        <v>0</v>
      </c>
      <c r="F153" s="230">
        <f>+'เม.ย.-มิ.ย.'!E153+'เม.ย.-มิ.ย.'!F153+'เม.ย.-มิ.ย.'!G153+'เม.ย.-มิ.ย.'!H153+'เม.ย.-มิ.ย.'!I153+'เม.ย.-มิ.ย.'!M153+'เม.ย.-มิ.ย.'!N153+'เม.ย.-มิ.ย.'!P153+'เม.ย.-มิ.ย.'!R153+'เม.ย.-มิ.ย.'!S153</f>
        <v>0</v>
      </c>
      <c r="G153" s="498">
        <f>+'ก.ค.-ก.ย.'!D153+'ก.ค.-ก.ย.'!E153+'ก.ค.-ก.ย.'!F153+'ก.ค.-ก.ย.'!G153+'ก.ค.-ก.ย.'!H153+'ก.ค.-ก.ย.'!I153+'ก.ค.-ก.ย.'!J153+'ก.ค.-ก.ย.'!K153+'ก.ค.-ก.ย.'!L153+'ก.ค.-ก.ย.'!M153+'ก.ค.-ก.ย.'!N153+'ก.ค.-ก.ย.'!O153+'ก.ค.-ก.ย.'!P153+'ก.ค.-ก.ย.'!Q153+'ก.ค.-ก.ย.'!R153+'ก.ค.-ก.ย.'!S153+'ก.ค.-ก.ย.'!T153+'ก.ค.-ก.ย.'!U153+'ก.ค.-ก.ย.'!V153</f>
        <v>0</v>
      </c>
      <c r="H153" s="498">
        <f t="shared" si="14"/>
        <v>0</v>
      </c>
      <c r="I153" s="230">
        <f t="shared" si="15"/>
        <v>0</v>
      </c>
      <c r="J153" s="233"/>
      <c r="K153" s="329"/>
      <c r="L153" s="330"/>
      <c r="M153" s="330"/>
    </row>
    <row r="154" spans="1:13" s="172" customFormat="1" ht="21.75" customHeight="1">
      <c r="A154" s="9"/>
      <c r="B154" s="187" t="s">
        <v>369</v>
      </c>
      <c r="C154" s="279">
        <f>10000-10000</f>
        <v>0</v>
      </c>
      <c r="D154" s="230">
        <f>+'ต.ค.-ธ.ค.'!E155+'ต.ค.-ธ.ค.'!F155+'ต.ค.-ธ.ค.'!H155+'ต.ค.-ธ.ค.'!I155+'ต.ค.-ธ.ค.'!M155+'ต.ค.-ธ.ค.'!Q155+'ต.ค.-ธ.ค.'!S155</f>
        <v>0</v>
      </c>
      <c r="E154" s="230">
        <f>+'ม.ค.-มี.ค.'!D154+'ม.ค.-มี.ค.'!E154+'ม.ค.-มี.ค.'!F154+'ม.ค.-มี.ค.'!G154+'ม.ค.-มี.ค.'!H154+'ม.ค.-มี.ค.'!I154+'ม.ค.-มี.ค.'!J154+'ม.ค.-มี.ค.'!K154+'ม.ค.-มี.ค.'!L154+'ม.ค.-มี.ค.'!M154+'ม.ค.-มี.ค.'!N154+'ม.ค.-มี.ค.'!O154+'ม.ค.-มี.ค.'!P154+'ม.ค.-มี.ค.'!Q154+'ม.ค.-มี.ค.'!R154+'ม.ค.-มี.ค.'!S154+'ม.ค.-มี.ค.'!U154+'ม.ค.-มี.ค.'!V154</f>
        <v>0</v>
      </c>
      <c r="F154" s="230">
        <f>+'เม.ย.-มิ.ย.'!E154+'เม.ย.-มิ.ย.'!F154+'เม.ย.-มิ.ย.'!G154+'เม.ย.-มิ.ย.'!H154+'เม.ย.-มิ.ย.'!I154+'เม.ย.-มิ.ย.'!M154+'เม.ย.-มิ.ย.'!N154+'เม.ย.-มิ.ย.'!P154+'เม.ย.-มิ.ย.'!R154+'เม.ย.-มิ.ย.'!S154</f>
        <v>0</v>
      </c>
      <c r="G154" s="498">
        <f>+'ก.ค.-ก.ย.'!D154+'ก.ค.-ก.ย.'!E154+'ก.ค.-ก.ย.'!F154+'ก.ค.-ก.ย.'!G154+'ก.ค.-ก.ย.'!H154+'ก.ค.-ก.ย.'!I154+'ก.ค.-ก.ย.'!J154+'ก.ค.-ก.ย.'!K154+'ก.ค.-ก.ย.'!L154+'ก.ค.-ก.ย.'!M154+'ก.ค.-ก.ย.'!N154+'ก.ค.-ก.ย.'!O154+'ก.ค.-ก.ย.'!P154+'ก.ค.-ก.ย.'!Q154+'ก.ค.-ก.ย.'!R154+'ก.ค.-ก.ย.'!S154+'ก.ค.-ก.ย.'!T154+'ก.ค.-ก.ย.'!U154+'ก.ค.-ก.ย.'!V154</f>
        <v>0</v>
      </c>
      <c r="H154" s="498">
        <f t="shared" si="14"/>
        <v>0</v>
      </c>
      <c r="I154" s="230">
        <f t="shared" si="15"/>
        <v>0</v>
      </c>
      <c r="J154" s="233"/>
      <c r="K154" s="329"/>
      <c r="L154" s="330"/>
      <c r="M154" s="330"/>
    </row>
    <row r="155" spans="1:13" s="172" customFormat="1" ht="21.75" customHeight="1">
      <c r="A155" s="9"/>
      <c r="B155" s="187" t="s">
        <v>370</v>
      </c>
      <c r="C155" s="279">
        <v>10000</v>
      </c>
      <c r="D155" s="230">
        <f>+'ต.ค.-ธ.ค.'!E156+'ต.ค.-ธ.ค.'!F156+'ต.ค.-ธ.ค.'!H156+'ต.ค.-ธ.ค.'!I156+'ต.ค.-ธ.ค.'!M156+'ต.ค.-ธ.ค.'!Q156+'ต.ค.-ธ.ค.'!S156</f>
        <v>0</v>
      </c>
      <c r="E155" s="230">
        <f>+'ม.ค.-มี.ค.'!D155+'ม.ค.-มี.ค.'!E155+'ม.ค.-มี.ค.'!F155+'ม.ค.-มี.ค.'!G155+'ม.ค.-มี.ค.'!H155+'ม.ค.-มี.ค.'!I155+'ม.ค.-มี.ค.'!J155+'ม.ค.-มี.ค.'!K155+'ม.ค.-มี.ค.'!L155+'ม.ค.-มี.ค.'!M155+'ม.ค.-มี.ค.'!N155+'ม.ค.-มี.ค.'!O155+'ม.ค.-มี.ค.'!P155+'ม.ค.-มี.ค.'!Q155+'ม.ค.-มี.ค.'!R155+'ม.ค.-มี.ค.'!S155+'ม.ค.-มี.ค.'!U155+'ม.ค.-มี.ค.'!V155</f>
        <v>0</v>
      </c>
      <c r="F155" s="230">
        <f>+'เม.ย.-มิ.ย.'!E155+'เม.ย.-มิ.ย.'!F155+'เม.ย.-มิ.ย.'!G155+'เม.ย.-มิ.ย.'!H155+'เม.ย.-มิ.ย.'!I155+'เม.ย.-มิ.ย.'!M155+'เม.ย.-มิ.ย.'!N155+'เม.ย.-มิ.ย.'!P155+'เม.ย.-มิ.ย.'!R155+'เม.ย.-มิ.ย.'!S155</f>
        <v>0</v>
      </c>
      <c r="G155" s="498">
        <f>+'ก.ค.-ก.ย.'!D155+'ก.ค.-ก.ย.'!E155+'ก.ค.-ก.ย.'!F155+'ก.ค.-ก.ย.'!G155+'ก.ค.-ก.ย.'!H155+'ก.ค.-ก.ย.'!I155+'ก.ค.-ก.ย.'!J155+'ก.ค.-ก.ย.'!K155+'ก.ค.-ก.ย.'!L155+'ก.ค.-ก.ย.'!M155+'ก.ค.-ก.ย.'!N155+'ก.ค.-ก.ย.'!O155+'ก.ค.-ก.ย.'!P155+'ก.ค.-ก.ย.'!Q155+'ก.ค.-ก.ย.'!R155+'ก.ค.-ก.ย.'!S155+'ก.ค.-ก.ย.'!T155+'ก.ค.-ก.ย.'!U155+'ก.ค.-ก.ย.'!V155</f>
        <v>0</v>
      </c>
      <c r="H155" s="498">
        <f t="shared" si="14"/>
        <v>0</v>
      </c>
      <c r="I155" s="230">
        <f t="shared" si="15"/>
        <v>10000</v>
      </c>
      <c r="J155" s="233"/>
      <c r="K155" s="329"/>
      <c r="L155" s="330"/>
      <c r="M155" s="330"/>
    </row>
    <row r="156" spans="1:13" s="172" customFormat="1" ht="21.75" customHeight="1">
      <c r="A156" s="9"/>
      <c r="B156" s="187" t="s">
        <v>163</v>
      </c>
      <c r="C156" s="279">
        <f>350000-156000-153000-11000-10000-20000</f>
        <v>0</v>
      </c>
      <c r="D156" s="230">
        <f>+'ต.ค.-ธ.ค.'!E157+'ต.ค.-ธ.ค.'!F157+'ต.ค.-ธ.ค.'!H157+'ต.ค.-ธ.ค.'!I157+'ต.ค.-ธ.ค.'!M157+'ต.ค.-ธ.ค.'!Q157+'ต.ค.-ธ.ค.'!S157</f>
        <v>0</v>
      </c>
      <c r="E156" s="230">
        <f>+'ม.ค.-มี.ค.'!D156+'ม.ค.-มี.ค.'!E156+'ม.ค.-มี.ค.'!F156+'ม.ค.-มี.ค.'!G156+'ม.ค.-มี.ค.'!H156+'ม.ค.-มี.ค.'!I156+'ม.ค.-มี.ค.'!J156+'ม.ค.-มี.ค.'!K156+'ม.ค.-มี.ค.'!L156+'ม.ค.-มี.ค.'!M156+'ม.ค.-มี.ค.'!N156+'ม.ค.-มี.ค.'!O156+'ม.ค.-มี.ค.'!P156+'ม.ค.-มี.ค.'!Q156+'ม.ค.-มี.ค.'!R156+'ม.ค.-มี.ค.'!S156+'ม.ค.-มี.ค.'!U156+'ม.ค.-มี.ค.'!V156</f>
        <v>0</v>
      </c>
      <c r="F156" s="230">
        <f>+'เม.ย.-มิ.ย.'!E156+'เม.ย.-มิ.ย.'!F156+'เม.ย.-มิ.ย.'!G156+'เม.ย.-มิ.ย.'!H156+'เม.ย.-มิ.ย.'!I156+'เม.ย.-มิ.ย.'!M156+'เม.ย.-มิ.ย.'!N156+'เม.ย.-มิ.ย.'!P156+'เม.ย.-มิ.ย.'!R156+'เม.ย.-มิ.ย.'!S156</f>
        <v>0</v>
      </c>
      <c r="G156" s="498">
        <f>+'ก.ค.-ก.ย.'!D156+'ก.ค.-ก.ย.'!E156+'ก.ค.-ก.ย.'!F156+'ก.ค.-ก.ย.'!G156+'ก.ค.-ก.ย.'!H156+'ก.ค.-ก.ย.'!I156+'ก.ค.-ก.ย.'!J156+'ก.ค.-ก.ย.'!K156+'ก.ค.-ก.ย.'!L156+'ก.ค.-ก.ย.'!M156+'ก.ค.-ก.ย.'!N156+'ก.ค.-ก.ย.'!O156+'ก.ค.-ก.ย.'!P156+'ก.ค.-ก.ย.'!Q156+'ก.ค.-ก.ย.'!R156+'ก.ค.-ก.ย.'!S156+'ก.ค.-ก.ย.'!T156+'ก.ค.-ก.ย.'!U156+'ก.ค.-ก.ย.'!V156</f>
        <v>0</v>
      </c>
      <c r="H156" s="498">
        <f t="shared" si="14"/>
        <v>0</v>
      </c>
      <c r="I156" s="230">
        <f t="shared" si="15"/>
        <v>0</v>
      </c>
      <c r="J156" s="233"/>
      <c r="K156" s="329"/>
      <c r="L156" s="330"/>
      <c r="M156" s="330"/>
    </row>
    <row r="157" spans="1:13" s="172" customFormat="1" ht="21.75" customHeight="1">
      <c r="A157" s="9"/>
      <c r="B157" s="187" t="s">
        <v>214</v>
      </c>
      <c r="C157" s="279">
        <v>25000</v>
      </c>
      <c r="D157" s="230">
        <f>+'ต.ค.-ธ.ค.'!E158+'ต.ค.-ธ.ค.'!F158+'ต.ค.-ธ.ค.'!H158+'ต.ค.-ธ.ค.'!I158+'ต.ค.-ธ.ค.'!M158+'ต.ค.-ธ.ค.'!Q158+'ต.ค.-ธ.ค.'!S158</f>
        <v>0</v>
      </c>
      <c r="E157" s="230">
        <f>+'ม.ค.-มี.ค.'!D157+'ม.ค.-มี.ค.'!E157+'ม.ค.-มี.ค.'!F157+'ม.ค.-มี.ค.'!G157+'ม.ค.-มี.ค.'!H157+'ม.ค.-มี.ค.'!I157+'ม.ค.-มี.ค.'!J157+'ม.ค.-มี.ค.'!K157+'ม.ค.-มี.ค.'!L157+'ม.ค.-มี.ค.'!M157+'ม.ค.-มี.ค.'!N157+'ม.ค.-มี.ค.'!O157+'ม.ค.-มี.ค.'!P157+'ม.ค.-มี.ค.'!Q157+'ม.ค.-มี.ค.'!R157+'ม.ค.-มี.ค.'!S157+'ม.ค.-มี.ค.'!U157+'ม.ค.-มี.ค.'!V157</f>
        <v>24450</v>
      </c>
      <c r="F157" s="230">
        <f>+'เม.ย.-มิ.ย.'!E157+'เม.ย.-มิ.ย.'!F157+'เม.ย.-มิ.ย.'!G157+'เม.ย.-มิ.ย.'!H157+'เม.ย.-มิ.ย.'!I157+'เม.ย.-มิ.ย.'!M157+'เม.ย.-มิ.ย.'!N157+'เม.ย.-มิ.ย.'!P157+'เม.ย.-มิ.ย.'!R157+'เม.ย.-มิ.ย.'!S157</f>
        <v>0</v>
      </c>
      <c r="G157" s="498">
        <f>+'ก.ค.-ก.ย.'!D157+'ก.ค.-ก.ย.'!E157+'ก.ค.-ก.ย.'!F157+'ก.ค.-ก.ย.'!G157+'ก.ค.-ก.ย.'!H157+'ก.ค.-ก.ย.'!I157+'ก.ค.-ก.ย.'!J157+'ก.ค.-ก.ย.'!K157+'ก.ค.-ก.ย.'!L157+'ก.ค.-ก.ย.'!M157+'ก.ค.-ก.ย.'!N157+'ก.ค.-ก.ย.'!O157+'ก.ค.-ก.ย.'!P157+'ก.ค.-ก.ย.'!Q157+'ก.ค.-ก.ย.'!R157+'ก.ค.-ก.ย.'!S157+'ก.ค.-ก.ย.'!T157+'ก.ค.-ก.ย.'!U157+'ก.ค.-ก.ย.'!V157</f>
        <v>0</v>
      </c>
      <c r="H157" s="498">
        <f t="shared" si="14"/>
        <v>24450</v>
      </c>
      <c r="I157" s="230">
        <f t="shared" si="15"/>
        <v>550</v>
      </c>
      <c r="J157" s="233"/>
      <c r="K157" s="329"/>
      <c r="L157" s="330"/>
      <c r="M157" s="330"/>
    </row>
    <row r="158" spans="1:13" s="172" customFormat="1" ht="21.75" customHeight="1">
      <c r="A158" s="9"/>
      <c r="B158" s="187" t="s">
        <v>167</v>
      </c>
      <c r="C158" s="279">
        <f>30000-30000</f>
        <v>0</v>
      </c>
      <c r="D158" s="230">
        <f>+'ต.ค.-ธ.ค.'!E159+'ต.ค.-ธ.ค.'!F159+'ต.ค.-ธ.ค.'!H159+'ต.ค.-ธ.ค.'!I159+'ต.ค.-ธ.ค.'!M159+'ต.ค.-ธ.ค.'!Q159+'ต.ค.-ธ.ค.'!S159</f>
        <v>0</v>
      </c>
      <c r="E158" s="230">
        <f>+'ม.ค.-มี.ค.'!D158+'ม.ค.-มี.ค.'!E158+'ม.ค.-มี.ค.'!F158+'ม.ค.-มี.ค.'!G158+'ม.ค.-มี.ค.'!H158+'ม.ค.-มี.ค.'!I158+'ม.ค.-มี.ค.'!J158+'ม.ค.-มี.ค.'!K158+'ม.ค.-มี.ค.'!L158+'ม.ค.-มี.ค.'!M158+'ม.ค.-มี.ค.'!N158+'ม.ค.-มี.ค.'!O158+'ม.ค.-มี.ค.'!P158+'ม.ค.-มี.ค.'!Q158+'ม.ค.-มี.ค.'!R158+'ม.ค.-มี.ค.'!S158+'ม.ค.-มี.ค.'!U158+'ม.ค.-มี.ค.'!V158</f>
        <v>0</v>
      </c>
      <c r="F158" s="230">
        <f>+'เม.ย.-มิ.ย.'!E158+'เม.ย.-มิ.ย.'!F158+'เม.ย.-มิ.ย.'!G158+'เม.ย.-มิ.ย.'!H158+'เม.ย.-มิ.ย.'!I158+'เม.ย.-มิ.ย.'!M158+'เม.ย.-มิ.ย.'!N158+'เม.ย.-มิ.ย.'!P158+'เม.ย.-มิ.ย.'!R158+'เม.ย.-มิ.ย.'!S158</f>
        <v>0</v>
      </c>
      <c r="G158" s="498">
        <f>+'ก.ค.-ก.ย.'!D158+'ก.ค.-ก.ย.'!E158+'ก.ค.-ก.ย.'!F158+'ก.ค.-ก.ย.'!G158+'ก.ค.-ก.ย.'!H158+'ก.ค.-ก.ย.'!I158+'ก.ค.-ก.ย.'!J158+'ก.ค.-ก.ย.'!K158+'ก.ค.-ก.ย.'!L158+'ก.ค.-ก.ย.'!M158+'ก.ค.-ก.ย.'!N158+'ก.ค.-ก.ย.'!O158+'ก.ค.-ก.ย.'!P158+'ก.ค.-ก.ย.'!Q158+'ก.ค.-ก.ย.'!R158+'ก.ค.-ก.ย.'!S158+'ก.ค.-ก.ย.'!T158+'ก.ค.-ก.ย.'!U158+'ก.ค.-ก.ย.'!V158</f>
        <v>0</v>
      </c>
      <c r="H158" s="498">
        <f t="shared" ref="H158:H170" si="16">SUM(D158:G158)</f>
        <v>0</v>
      </c>
      <c r="I158" s="230">
        <f t="shared" si="15"/>
        <v>0</v>
      </c>
      <c r="J158" s="233"/>
      <c r="K158" s="329"/>
      <c r="L158" s="330"/>
      <c r="M158" s="330"/>
    </row>
    <row r="159" spans="1:13" s="172" customFormat="1" ht="21.75" customHeight="1">
      <c r="A159" s="9"/>
      <c r="B159" s="187" t="s">
        <v>371</v>
      </c>
      <c r="C159" s="279">
        <v>30000</v>
      </c>
      <c r="D159" s="230">
        <f>+'ต.ค.-ธ.ค.'!E160+'ต.ค.-ธ.ค.'!F160+'ต.ค.-ธ.ค.'!H160+'ต.ค.-ธ.ค.'!I160+'ต.ค.-ธ.ค.'!M160+'ต.ค.-ธ.ค.'!Q160+'ต.ค.-ธ.ค.'!S160</f>
        <v>0</v>
      </c>
      <c r="E159" s="230">
        <f>+'ม.ค.-มี.ค.'!D159+'ม.ค.-มี.ค.'!E159+'ม.ค.-มี.ค.'!F159+'ม.ค.-มี.ค.'!G159+'ม.ค.-มี.ค.'!H159+'ม.ค.-มี.ค.'!I159+'ม.ค.-มี.ค.'!J159+'ม.ค.-มี.ค.'!K159+'ม.ค.-มี.ค.'!L159+'ม.ค.-มี.ค.'!M159+'ม.ค.-มี.ค.'!N159+'ม.ค.-มี.ค.'!O159+'ม.ค.-มี.ค.'!P159+'ม.ค.-มี.ค.'!Q159+'ม.ค.-มี.ค.'!R159+'ม.ค.-มี.ค.'!S159+'ม.ค.-มี.ค.'!U159+'ม.ค.-มี.ค.'!V159</f>
        <v>0</v>
      </c>
      <c r="F159" s="230">
        <f>+'เม.ย.-มิ.ย.'!E159+'เม.ย.-มิ.ย.'!F159+'เม.ย.-มิ.ย.'!G159+'เม.ย.-มิ.ย.'!H159+'เม.ย.-มิ.ย.'!I159+'เม.ย.-มิ.ย.'!M159+'เม.ย.-มิ.ย.'!N159+'เม.ย.-มิ.ย.'!P159+'เม.ย.-มิ.ย.'!R159+'เม.ย.-มิ.ย.'!S159</f>
        <v>30000</v>
      </c>
      <c r="G159" s="498">
        <f>+'ก.ค.-ก.ย.'!D159+'ก.ค.-ก.ย.'!E159+'ก.ค.-ก.ย.'!F159+'ก.ค.-ก.ย.'!G159+'ก.ค.-ก.ย.'!H159+'ก.ค.-ก.ย.'!I159+'ก.ค.-ก.ย.'!J159+'ก.ค.-ก.ย.'!K159+'ก.ค.-ก.ย.'!L159+'ก.ค.-ก.ย.'!M159+'ก.ค.-ก.ย.'!N159+'ก.ค.-ก.ย.'!O159+'ก.ค.-ก.ย.'!P159+'ก.ค.-ก.ย.'!Q159+'ก.ค.-ก.ย.'!R159+'ก.ค.-ก.ย.'!S159+'ก.ค.-ก.ย.'!T159+'ก.ค.-ก.ย.'!U159+'ก.ค.-ก.ย.'!V159</f>
        <v>0</v>
      </c>
      <c r="H159" s="498">
        <f t="shared" si="16"/>
        <v>30000</v>
      </c>
      <c r="I159" s="230">
        <f t="shared" si="15"/>
        <v>0</v>
      </c>
      <c r="J159" s="233"/>
      <c r="K159" s="329"/>
      <c r="L159" s="330"/>
      <c r="M159" s="330"/>
    </row>
    <row r="160" spans="1:13" s="172" customFormat="1" ht="21.75" customHeight="1">
      <c r="A160" s="9"/>
      <c r="B160" s="187" t="s">
        <v>170</v>
      </c>
      <c r="C160" s="279">
        <v>40000</v>
      </c>
      <c r="D160" s="230">
        <f>+'ต.ค.-ธ.ค.'!E161+'ต.ค.-ธ.ค.'!F161+'ต.ค.-ธ.ค.'!H161+'ต.ค.-ธ.ค.'!I161+'ต.ค.-ธ.ค.'!M161+'ต.ค.-ธ.ค.'!Q161+'ต.ค.-ธ.ค.'!S161</f>
        <v>0</v>
      </c>
      <c r="E160" s="230">
        <f>+'ม.ค.-มี.ค.'!D160+'ม.ค.-มี.ค.'!E160+'ม.ค.-มี.ค.'!F160+'ม.ค.-มี.ค.'!G160+'ม.ค.-มี.ค.'!H160+'ม.ค.-มี.ค.'!I160+'ม.ค.-มี.ค.'!J160+'ม.ค.-มี.ค.'!K160+'ม.ค.-มี.ค.'!L160+'ม.ค.-มี.ค.'!M160+'ม.ค.-มี.ค.'!N160+'ม.ค.-มี.ค.'!O160+'ม.ค.-มี.ค.'!P160+'ม.ค.-มี.ค.'!Q160+'ม.ค.-มี.ค.'!R160+'ม.ค.-มี.ค.'!S160+'ม.ค.-มี.ค.'!U160+'ม.ค.-มี.ค.'!V160</f>
        <v>0</v>
      </c>
      <c r="F160" s="230">
        <f>+'เม.ย.-มิ.ย.'!E160+'เม.ย.-มิ.ย.'!F160+'เม.ย.-มิ.ย.'!G160+'เม.ย.-มิ.ย.'!H160+'เม.ย.-มิ.ย.'!I160+'เม.ย.-มิ.ย.'!M160+'เม.ย.-มิ.ย.'!N160+'เม.ย.-มิ.ย.'!P160+'เม.ย.-มิ.ย.'!R160+'เม.ย.-มิ.ย.'!S160</f>
        <v>40000</v>
      </c>
      <c r="G160" s="498">
        <f>+'ก.ค.-ก.ย.'!D160+'ก.ค.-ก.ย.'!E160+'ก.ค.-ก.ย.'!F160+'ก.ค.-ก.ย.'!G160+'ก.ค.-ก.ย.'!H160+'ก.ค.-ก.ย.'!I160+'ก.ค.-ก.ย.'!J160+'ก.ค.-ก.ย.'!K160+'ก.ค.-ก.ย.'!L160+'ก.ค.-ก.ย.'!M160+'ก.ค.-ก.ย.'!N160+'ก.ค.-ก.ย.'!O160+'ก.ค.-ก.ย.'!P160+'ก.ค.-ก.ย.'!Q160+'ก.ค.-ก.ย.'!R160+'ก.ค.-ก.ย.'!S160+'ก.ค.-ก.ย.'!T160+'ก.ค.-ก.ย.'!U160+'ก.ค.-ก.ย.'!V160</f>
        <v>0</v>
      </c>
      <c r="H160" s="498">
        <f t="shared" si="16"/>
        <v>40000</v>
      </c>
      <c r="I160" s="230">
        <f t="shared" si="15"/>
        <v>0</v>
      </c>
      <c r="J160" s="233"/>
      <c r="K160" s="329"/>
      <c r="L160" s="330"/>
      <c r="M160" s="330"/>
    </row>
    <row r="161" spans="1:13" s="172" customFormat="1" ht="21.75" customHeight="1">
      <c r="A161" s="9"/>
      <c r="B161" s="187" t="s">
        <v>266</v>
      </c>
      <c r="C161" s="279">
        <v>15000</v>
      </c>
      <c r="D161" s="230">
        <f>+'ต.ค.-ธ.ค.'!E162+'ต.ค.-ธ.ค.'!F162+'ต.ค.-ธ.ค.'!H162+'ต.ค.-ธ.ค.'!I162+'ต.ค.-ธ.ค.'!M162+'ต.ค.-ธ.ค.'!Q162+'ต.ค.-ธ.ค.'!S162</f>
        <v>0</v>
      </c>
      <c r="E161" s="230">
        <f>+'ม.ค.-มี.ค.'!D161+'ม.ค.-มี.ค.'!E161+'ม.ค.-มี.ค.'!F161+'ม.ค.-มี.ค.'!G161+'ม.ค.-มี.ค.'!H161+'ม.ค.-มี.ค.'!I161+'ม.ค.-มี.ค.'!J161+'ม.ค.-มี.ค.'!K161+'ม.ค.-มี.ค.'!L161+'ม.ค.-มี.ค.'!M161+'ม.ค.-มี.ค.'!N161+'ม.ค.-มี.ค.'!O161+'ม.ค.-มี.ค.'!P161+'ม.ค.-มี.ค.'!Q161+'ม.ค.-มี.ค.'!R161+'ม.ค.-มี.ค.'!S161+'ม.ค.-มี.ค.'!U161+'ม.ค.-มี.ค.'!V161</f>
        <v>0</v>
      </c>
      <c r="F161" s="230">
        <f>+'เม.ย.-มิ.ย.'!E161+'เม.ย.-มิ.ย.'!F161+'เม.ย.-มิ.ย.'!G161+'เม.ย.-มิ.ย.'!H161+'เม.ย.-มิ.ย.'!I161+'เม.ย.-มิ.ย.'!M161+'เม.ย.-มิ.ย.'!N161+'เม.ย.-มิ.ย.'!P161+'เม.ย.-มิ.ย.'!R161+'เม.ย.-มิ.ย.'!S161</f>
        <v>0</v>
      </c>
      <c r="G161" s="498">
        <f>+'ก.ค.-ก.ย.'!D161+'ก.ค.-ก.ย.'!E161+'ก.ค.-ก.ย.'!F161+'ก.ค.-ก.ย.'!G161+'ก.ค.-ก.ย.'!H161+'ก.ค.-ก.ย.'!I161+'ก.ค.-ก.ย.'!J161+'ก.ค.-ก.ย.'!K161+'ก.ค.-ก.ย.'!L161+'ก.ค.-ก.ย.'!M161+'ก.ค.-ก.ย.'!N161+'ก.ค.-ก.ย.'!O161+'ก.ค.-ก.ย.'!P161+'ก.ค.-ก.ย.'!Q161+'ก.ค.-ก.ย.'!R161+'ก.ค.-ก.ย.'!S161+'ก.ค.-ก.ย.'!T161+'ก.ค.-ก.ย.'!U161+'ก.ค.-ก.ย.'!V161</f>
        <v>14984</v>
      </c>
      <c r="H161" s="498">
        <f t="shared" si="16"/>
        <v>14984</v>
      </c>
      <c r="I161" s="230">
        <f t="shared" si="15"/>
        <v>16</v>
      </c>
      <c r="J161" s="233"/>
      <c r="K161" s="329"/>
      <c r="L161" s="330"/>
      <c r="M161" s="330"/>
    </row>
    <row r="162" spans="1:13" s="172" customFormat="1" ht="21.75" customHeight="1">
      <c r="A162" s="9"/>
      <c r="B162" s="187" t="s">
        <v>372</v>
      </c>
      <c r="C162" s="279">
        <v>65000</v>
      </c>
      <c r="D162" s="230">
        <f>+'ต.ค.-ธ.ค.'!E163+'ต.ค.-ธ.ค.'!F163+'ต.ค.-ธ.ค.'!H163+'ต.ค.-ธ.ค.'!I163+'ต.ค.-ธ.ค.'!M163+'ต.ค.-ธ.ค.'!Q163+'ต.ค.-ธ.ค.'!S163</f>
        <v>60000</v>
      </c>
      <c r="E162" s="230">
        <f>+'ม.ค.-มี.ค.'!D162+'ม.ค.-มี.ค.'!E162+'ม.ค.-มี.ค.'!F162+'ม.ค.-มี.ค.'!G162+'ม.ค.-มี.ค.'!H162+'ม.ค.-มี.ค.'!I162+'ม.ค.-มี.ค.'!J162+'ม.ค.-มี.ค.'!K162+'ม.ค.-มี.ค.'!L162+'ม.ค.-มี.ค.'!M162+'ม.ค.-มี.ค.'!N162+'ม.ค.-มี.ค.'!O162+'ม.ค.-มี.ค.'!P162+'ม.ค.-มี.ค.'!Q162+'ม.ค.-มี.ค.'!R162+'ม.ค.-มี.ค.'!S162+'ม.ค.-มี.ค.'!U162+'ม.ค.-มี.ค.'!V162</f>
        <v>4980</v>
      </c>
      <c r="F162" s="230">
        <f>+'เม.ย.-มิ.ย.'!E162+'เม.ย.-มิ.ย.'!F162+'เม.ย.-มิ.ย.'!G162+'เม.ย.-มิ.ย.'!H162+'เม.ย.-มิ.ย.'!I162+'เม.ย.-มิ.ย.'!M162+'เม.ย.-มิ.ย.'!N162+'เม.ย.-มิ.ย.'!P162+'เม.ย.-มิ.ย.'!R162+'เม.ย.-มิ.ย.'!S162</f>
        <v>0</v>
      </c>
      <c r="G162" s="498">
        <f>+'ก.ค.-ก.ย.'!D162+'ก.ค.-ก.ย.'!E162+'ก.ค.-ก.ย.'!F162+'ก.ค.-ก.ย.'!G162+'ก.ค.-ก.ย.'!H162+'ก.ค.-ก.ย.'!I162+'ก.ค.-ก.ย.'!J162+'ก.ค.-ก.ย.'!K162+'ก.ค.-ก.ย.'!L162+'ก.ค.-ก.ย.'!M162+'ก.ค.-ก.ย.'!N162+'ก.ค.-ก.ย.'!O162+'ก.ค.-ก.ย.'!P162+'ก.ค.-ก.ย.'!Q162+'ก.ค.-ก.ย.'!R162+'ก.ค.-ก.ย.'!S162+'ก.ค.-ก.ย.'!T162+'ก.ค.-ก.ย.'!U162+'ก.ค.-ก.ย.'!V162</f>
        <v>0</v>
      </c>
      <c r="H162" s="498">
        <f t="shared" si="16"/>
        <v>64980</v>
      </c>
      <c r="I162" s="230">
        <f t="shared" si="15"/>
        <v>20</v>
      </c>
      <c r="J162" s="233"/>
      <c r="K162" s="329"/>
      <c r="L162" s="330"/>
      <c r="M162" s="330"/>
    </row>
    <row r="163" spans="1:13" s="172" customFormat="1" ht="21.75" customHeight="1">
      <c r="A163" s="9"/>
      <c r="B163" s="187" t="s">
        <v>373</v>
      </c>
      <c r="C163" s="279">
        <f>65000-65000</f>
        <v>0</v>
      </c>
      <c r="D163" s="230">
        <f>+'ต.ค.-ธ.ค.'!E164+'ต.ค.-ธ.ค.'!F164+'ต.ค.-ธ.ค.'!H164+'ต.ค.-ธ.ค.'!I164+'ต.ค.-ธ.ค.'!M164+'ต.ค.-ธ.ค.'!Q164+'ต.ค.-ธ.ค.'!S164</f>
        <v>0</v>
      </c>
      <c r="E163" s="230">
        <f>+'ม.ค.-มี.ค.'!D163+'ม.ค.-มี.ค.'!E163+'ม.ค.-มี.ค.'!F163+'ม.ค.-มี.ค.'!G163+'ม.ค.-มี.ค.'!H163+'ม.ค.-มี.ค.'!I163+'ม.ค.-มี.ค.'!J163+'ม.ค.-มี.ค.'!K163+'ม.ค.-มี.ค.'!L163+'ม.ค.-มี.ค.'!M163+'ม.ค.-มี.ค.'!N163+'ม.ค.-มี.ค.'!O163+'ม.ค.-มี.ค.'!P163+'ม.ค.-มี.ค.'!Q163+'ม.ค.-มี.ค.'!R163+'ม.ค.-มี.ค.'!S163+'ม.ค.-มี.ค.'!U163+'ม.ค.-มี.ค.'!V163</f>
        <v>0</v>
      </c>
      <c r="F163" s="230">
        <f>+'เม.ย.-มิ.ย.'!E163+'เม.ย.-มิ.ย.'!F163+'เม.ย.-มิ.ย.'!G163+'เม.ย.-มิ.ย.'!H163+'เม.ย.-มิ.ย.'!I163+'เม.ย.-มิ.ย.'!M163+'เม.ย.-มิ.ย.'!N163+'เม.ย.-มิ.ย.'!P163+'เม.ย.-มิ.ย.'!R163+'เม.ย.-มิ.ย.'!S163</f>
        <v>0</v>
      </c>
      <c r="G163" s="498">
        <f>+'ก.ค.-ก.ย.'!D163+'ก.ค.-ก.ย.'!E163+'ก.ค.-ก.ย.'!F163+'ก.ค.-ก.ย.'!G163+'ก.ค.-ก.ย.'!H163+'ก.ค.-ก.ย.'!I163+'ก.ค.-ก.ย.'!J163+'ก.ค.-ก.ย.'!K163+'ก.ค.-ก.ย.'!L163+'ก.ค.-ก.ย.'!M163+'ก.ค.-ก.ย.'!N163+'ก.ค.-ก.ย.'!O163+'ก.ค.-ก.ย.'!P163+'ก.ค.-ก.ย.'!Q163+'ก.ค.-ก.ย.'!R163+'ก.ค.-ก.ย.'!S163+'ก.ค.-ก.ย.'!T163+'ก.ค.-ก.ย.'!U163+'ก.ค.-ก.ย.'!V163</f>
        <v>0</v>
      </c>
      <c r="H163" s="498">
        <f t="shared" si="16"/>
        <v>0</v>
      </c>
      <c r="I163" s="230">
        <f t="shared" si="15"/>
        <v>0</v>
      </c>
      <c r="J163" s="233"/>
      <c r="K163" s="329"/>
      <c r="L163" s="330"/>
      <c r="M163" s="330"/>
    </row>
    <row r="164" spans="1:13" s="172" customFormat="1" ht="21.75" customHeight="1">
      <c r="A164" s="9"/>
      <c r="B164" s="187" t="s">
        <v>374</v>
      </c>
      <c r="C164" s="279">
        <v>20000</v>
      </c>
      <c r="D164" s="230">
        <f>+'ต.ค.-ธ.ค.'!E165+'ต.ค.-ธ.ค.'!F165+'ต.ค.-ธ.ค.'!H165+'ต.ค.-ธ.ค.'!I165+'ต.ค.-ธ.ค.'!M165+'ต.ค.-ธ.ค.'!Q165+'ต.ค.-ธ.ค.'!S165</f>
        <v>0</v>
      </c>
      <c r="E164" s="230">
        <f>+'ม.ค.-มี.ค.'!D164+'ม.ค.-มี.ค.'!E164+'ม.ค.-มี.ค.'!F164+'ม.ค.-มี.ค.'!G164+'ม.ค.-มี.ค.'!H164+'ม.ค.-มี.ค.'!I164+'ม.ค.-มี.ค.'!J164+'ม.ค.-มี.ค.'!K164+'ม.ค.-มี.ค.'!L164+'ม.ค.-มี.ค.'!M164+'ม.ค.-มี.ค.'!N164+'ม.ค.-มี.ค.'!O164+'ม.ค.-มี.ค.'!P164+'ม.ค.-มี.ค.'!Q164+'ม.ค.-มี.ค.'!R164+'ม.ค.-มี.ค.'!S164+'ม.ค.-มี.ค.'!U164+'ม.ค.-มี.ค.'!V164</f>
        <v>0</v>
      </c>
      <c r="F164" s="230">
        <f>+'เม.ย.-มิ.ย.'!E164+'เม.ย.-มิ.ย.'!F164+'เม.ย.-มิ.ย.'!G164+'เม.ย.-มิ.ย.'!H164+'เม.ย.-มิ.ย.'!I164+'เม.ย.-มิ.ย.'!M164+'เม.ย.-มิ.ย.'!N164+'เม.ย.-มิ.ย.'!P164+'เม.ย.-มิ.ย.'!R164+'เม.ย.-มิ.ย.'!S164</f>
        <v>20000</v>
      </c>
      <c r="G164" s="498">
        <f>+'ก.ค.-ก.ย.'!D164+'ก.ค.-ก.ย.'!E164+'ก.ค.-ก.ย.'!F164+'ก.ค.-ก.ย.'!G164+'ก.ค.-ก.ย.'!H164+'ก.ค.-ก.ย.'!I164+'ก.ค.-ก.ย.'!J164+'ก.ค.-ก.ย.'!K164+'ก.ค.-ก.ย.'!L164+'ก.ค.-ก.ย.'!M164+'ก.ค.-ก.ย.'!N164+'ก.ค.-ก.ย.'!O164+'ก.ค.-ก.ย.'!P164+'ก.ค.-ก.ย.'!Q164+'ก.ค.-ก.ย.'!R164+'ก.ค.-ก.ย.'!S164+'ก.ค.-ก.ย.'!T164+'ก.ค.-ก.ย.'!U164+'ก.ค.-ก.ย.'!V164</f>
        <v>0</v>
      </c>
      <c r="H164" s="498">
        <f t="shared" si="16"/>
        <v>20000</v>
      </c>
      <c r="I164" s="230">
        <f t="shared" si="15"/>
        <v>0</v>
      </c>
      <c r="J164" s="233"/>
      <c r="K164" s="329"/>
      <c r="L164" s="330"/>
      <c r="M164" s="330"/>
    </row>
    <row r="165" spans="1:13" s="172" customFormat="1" ht="21.75" customHeight="1">
      <c r="A165" s="9"/>
      <c r="B165" s="187" t="s">
        <v>375</v>
      </c>
      <c r="C165" s="279">
        <v>20000</v>
      </c>
      <c r="D165" s="230">
        <f>+'ต.ค.-ธ.ค.'!E166+'ต.ค.-ธ.ค.'!F166+'ต.ค.-ธ.ค.'!H166+'ต.ค.-ธ.ค.'!I166+'ต.ค.-ธ.ค.'!M166+'ต.ค.-ธ.ค.'!Q166+'ต.ค.-ธ.ค.'!S166</f>
        <v>0</v>
      </c>
      <c r="E165" s="230">
        <f>+'ม.ค.-มี.ค.'!D165+'ม.ค.-มี.ค.'!E165+'ม.ค.-มี.ค.'!F165+'ม.ค.-มี.ค.'!G165+'ม.ค.-มี.ค.'!H165+'ม.ค.-มี.ค.'!I165+'ม.ค.-มี.ค.'!J165+'ม.ค.-มี.ค.'!K165+'ม.ค.-มี.ค.'!L165+'ม.ค.-มี.ค.'!M165+'ม.ค.-มี.ค.'!N165+'ม.ค.-มี.ค.'!O165+'ม.ค.-มี.ค.'!P165+'ม.ค.-มี.ค.'!Q165+'ม.ค.-มี.ค.'!R165+'ม.ค.-มี.ค.'!S165+'ม.ค.-มี.ค.'!U165+'ม.ค.-มี.ค.'!V165</f>
        <v>0</v>
      </c>
      <c r="F165" s="230">
        <f>+'เม.ย.-มิ.ย.'!E165+'เม.ย.-มิ.ย.'!F165+'เม.ย.-มิ.ย.'!G165+'เม.ย.-มิ.ย.'!H165+'เม.ย.-มิ.ย.'!I165+'เม.ย.-มิ.ย.'!M165+'เม.ย.-มิ.ย.'!N165+'เม.ย.-มิ.ย.'!P165+'เม.ย.-มิ.ย.'!R165+'เม.ย.-มิ.ย.'!S165</f>
        <v>4000</v>
      </c>
      <c r="G165" s="498">
        <f>+'ก.ค.-ก.ย.'!D165+'ก.ค.-ก.ย.'!E165+'ก.ค.-ก.ย.'!F165+'ก.ค.-ก.ย.'!G165+'ก.ค.-ก.ย.'!H165+'ก.ค.-ก.ย.'!I165+'ก.ค.-ก.ย.'!J165+'ก.ค.-ก.ย.'!K165+'ก.ค.-ก.ย.'!L165+'ก.ค.-ก.ย.'!M165+'ก.ค.-ก.ย.'!N165+'ก.ค.-ก.ย.'!O165+'ก.ค.-ก.ย.'!P165+'ก.ค.-ก.ย.'!Q165+'ก.ค.-ก.ย.'!R165+'ก.ค.-ก.ย.'!S165+'ก.ค.-ก.ย.'!T165+'ก.ค.-ก.ย.'!U165+'ก.ค.-ก.ย.'!V165</f>
        <v>16000</v>
      </c>
      <c r="H165" s="498">
        <f t="shared" si="16"/>
        <v>20000</v>
      </c>
      <c r="I165" s="498">
        <f t="shared" si="15"/>
        <v>0</v>
      </c>
      <c r="J165" s="233"/>
      <c r="K165" s="329"/>
      <c r="L165" s="330"/>
      <c r="M165" s="330"/>
    </row>
    <row r="166" spans="1:13" s="172" customFormat="1" ht="21.75" customHeight="1">
      <c r="A166" s="9"/>
      <c r="B166" s="187" t="s">
        <v>376</v>
      </c>
      <c r="C166" s="279">
        <f>25000-6000</f>
        <v>19000</v>
      </c>
      <c r="D166" s="230">
        <f>+'ต.ค.-ธ.ค.'!E167+'ต.ค.-ธ.ค.'!F167+'ต.ค.-ธ.ค.'!H167+'ต.ค.-ธ.ค.'!I167+'ต.ค.-ธ.ค.'!M167+'ต.ค.-ธ.ค.'!Q167+'ต.ค.-ธ.ค.'!S167</f>
        <v>0</v>
      </c>
      <c r="E166" s="230">
        <f>+'ม.ค.-มี.ค.'!D166+'ม.ค.-มี.ค.'!E166+'ม.ค.-มี.ค.'!F166+'ม.ค.-มี.ค.'!G166+'ม.ค.-มี.ค.'!H166+'ม.ค.-มี.ค.'!I166+'ม.ค.-มี.ค.'!J166+'ม.ค.-มี.ค.'!K166+'ม.ค.-มี.ค.'!L166+'ม.ค.-มี.ค.'!M166+'ม.ค.-มี.ค.'!N166+'ม.ค.-มี.ค.'!O166+'ม.ค.-มี.ค.'!P166+'ม.ค.-มี.ค.'!Q166+'ม.ค.-มี.ค.'!R166+'ม.ค.-มี.ค.'!S166+'ม.ค.-มี.ค.'!U166+'ม.ค.-มี.ค.'!V166</f>
        <v>0</v>
      </c>
      <c r="F166" s="230">
        <f>+'เม.ย.-มิ.ย.'!E166+'เม.ย.-มิ.ย.'!F166+'เม.ย.-มิ.ย.'!G166+'เม.ย.-มิ.ย.'!H166+'เม.ย.-มิ.ย.'!I166+'เม.ย.-มิ.ย.'!M166+'เม.ย.-มิ.ย.'!N166+'เม.ย.-มิ.ย.'!P166+'เม.ย.-มิ.ย.'!R166+'เม.ย.-มิ.ย.'!S166</f>
        <v>0</v>
      </c>
      <c r="G166" s="498">
        <f>+'ก.ค.-ก.ย.'!D166+'ก.ค.-ก.ย.'!E166+'ก.ค.-ก.ย.'!F166+'ก.ค.-ก.ย.'!G166+'ก.ค.-ก.ย.'!H166+'ก.ค.-ก.ย.'!I166+'ก.ค.-ก.ย.'!J166+'ก.ค.-ก.ย.'!K166+'ก.ค.-ก.ย.'!L166+'ก.ค.-ก.ย.'!M166+'ก.ค.-ก.ย.'!N166+'ก.ค.-ก.ย.'!O166+'ก.ค.-ก.ย.'!P166+'ก.ค.-ก.ย.'!Q166+'ก.ค.-ก.ย.'!R166+'ก.ค.-ก.ย.'!S166+'ก.ค.-ก.ย.'!T166+'ก.ค.-ก.ย.'!U166+'ก.ค.-ก.ย.'!V166</f>
        <v>0</v>
      </c>
      <c r="H166" s="498">
        <f t="shared" si="16"/>
        <v>0</v>
      </c>
      <c r="I166" s="498">
        <f t="shared" si="15"/>
        <v>19000</v>
      </c>
      <c r="J166" s="233"/>
      <c r="K166" s="329"/>
      <c r="L166" s="330"/>
      <c r="M166" s="330"/>
    </row>
    <row r="167" spans="1:13" s="172" customFormat="1" ht="21.75" customHeight="1">
      <c r="A167" s="9"/>
      <c r="B167" s="187" t="s">
        <v>377</v>
      </c>
      <c r="C167" s="279">
        <f>20000-2000</f>
        <v>18000</v>
      </c>
      <c r="D167" s="230">
        <f>+'ต.ค.-ธ.ค.'!E168+'ต.ค.-ธ.ค.'!F168+'ต.ค.-ธ.ค.'!H168+'ต.ค.-ธ.ค.'!I168+'ต.ค.-ธ.ค.'!M168+'ต.ค.-ธ.ค.'!Q168+'ต.ค.-ธ.ค.'!S168</f>
        <v>0</v>
      </c>
      <c r="E167" s="230">
        <f>+'ม.ค.-มี.ค.'!D167+'ม.ค.-มี.ค.'!E167+'ม.ค.-มี.ค.'!F167+'ม.ค.-มี.ค.'!G167+'ม.ค.-มี.ค.'!H167+'ม.ค.-มี.ค.'!I167+'ม.ค.-มี.ค.'!J167+'ม.ค.-มี.ค.'!K167+'ม.ค.-มี.ค.'!L167+'ม.ค.-มี.ค.'!M167+'ม.ค.-มี.ค.'!N167+'ม.ค.-มี.ค.'!O167+'ม.ค.-มี.ค.'!P167+'ม.ค.-มี.ค.'!Q167+'ม.ค.-มี.ค.'!R167+'ม.ค.-มี.ค.'!S167+'ม.ค.-มี.ค.'!U167+'ม.ค.-มี.ค.'!V167</f>
        <v>0</v>
      </c>
      <c r="F167" s="230">
        <f>+'เม.ย.-มิ.ย.'!E167+'เม.ย.-มิ.ย.'!F167+'เม.ย.-มิ.ย.'!G167+'เม.ย.-มิ.ย.'!H167+'เม.ย.-มิ.ย.'!I167+'เม.ย.-มิ.ย.'!M167+'เม.ย.-มิ.ย.'!N167+'เม.ย.-มิ.ย.'!P167+'เม.ย.-มิ.ย.'!R167+'เม.ย.-มิ.ย.'!S167</f>
        <v>0</v>
      </c>
      <c r="G167" s="498">
        <f>+'ก.ค.-ก.ย.'!D167+'ก.ค.-ก.ย.'!E167+'ก.ค.-ก.ย.'!F167+'ก.ค.-ก.ย.'!G167+'ก.ค.-ก.ย.'!H167+'ก.ค.-ก.ย.'!I167+'ก.ค.-ก.ย.'!J167+'ก.ค.-ก.ย.'!K167+'ก.ค.-ก.ย.'!L167+'ก.ค.-ก.ย.'!M167+'ก.ค.-ก.ย.'!N167+'ก.ค.-ก.ย.'!O167+'ก.ค.-ก.ย.'!P167+'ก.ค.-ก.ย.'!Q167+'ก.ค.-ก.ย.'!R167+'ก.ค.-ก.ย.'!S167+'ก.ค.-ก.ย.'!T167+'ก.ค.-ก.ย.'!U167+'ก.ค.-ก.ย.'!V167</f>
        <v>18000</v>
      </c>
      <c r="H167" s="498">
        <f t="shared" si="16"/>
        <v>18000</v>
      </c>
      <c r="I167" s="498">
        <f t="shared" si="15"/>
        <v>0</v>
      </c>
      <c r="J167" s="233"/>
      <c r="K167" s="329"/>
      <c r="L167" s="330"/>
      <c r="M167" s="330"/>
    </row>
    <row r="168" spans="1:13" s="172" customFormat="1" ht="21.75" customHeight="1">
      <c r="A168" s="9"/>
      <c r="B168" s="187" t="s">
        <v>267</v>
      </c>
      <c r="C168" s="279">
        <f>15000-15000</f>
        <v>0</v>
      </c>
      <c r="D168" s="230">
        <f>+'ต.ค.-ธ.ค.'!E169+'ต.ค.-ธ.ค.'!F169+'ต.ค.-ธ.ค.'!H169+'ต.ค.-ธ.ค.'!I169+'ต.ค.-ธ.ค.'!M169+'ต.ค.-ธ.ค.'!Q169+'ต.ค.-ธ.ค.'!S169</f>
        <v>0</v>
      </c>
      <c r="E168" s="230">
        <f>+'ม.ค.-มี.ค.'!D168+'ม.ค.-มี.ค.'!E168+'ม.ค.-มี.ค.'!F168+'ม.ค.-มี.ค.'!G168+'ม.ค.-มี.ค.'!H168+'ม.ค.-มี.ค.'!I168+'ม.ค.-มี.ค.'!J168+'ม.ค.-มี.ค.'!K168+'ม.ค.-มี.ค.'!L168+'ม.ค.-มี.ค.'!M168+'ม.ค.-มี.ค.'!N168+'ม.ค.-มี.ค.'!O168+'ม.ค.-มี.ค.'!P168+'ม.ค.-มี.ค.'!Q168+'ม.ค.-มี.ค.'!R168+'ม.ค.-มี.ค.'!S168+'ม.ค.-มี.ค.'!U168+'ม.ค.-มี.ค.'!V168</f>
        <v>0</v>
      </c>
      <c r="F168" s="230">
        <f>+'เม.ย.-มิ.ย.'!E168+'เม.ย.-มิ.ย.'!F168+'เม.ย.-มิ.ย.'!G168+'เม.ย.-มิ.ย.'!H168+'เม.ย.-มิ.ย.'!I168+'เม.ย.-มิ.ย.'!M168+'เม.ย.-มิ.ย.'!N168+'เม.ย.-มิ.ย.'!P168+'เม.ย.-มิ.ย.'!R168+'เม.ย.-มิ.ย.'!S168</f>
        <v>0</v>
      </c>
      <c r="G168" s="498">
        <f>+'ก.ค.-ก.ย.'!D168+'ก.ค.-ก.ย.'!E168+'ก.ค.-ก.ย.'!F168+'ก.ค.-ก.ย.'!G168+'ก.ค.-ก.ย.'!H168+'ก.ค.-ก.ย.'!I168+'ก.ค.-ก.ย.'!J168+'ก.ค.-ก.ย.'!K168+'ก.ค.-ก.ย.'!L168+'ก.ค.-ก.ย.'!M168+'ก.ค.-ก.ย.'!N168+'ก.ค.-ก.ย.'!O168+'ก.ค.-ก.ย.'!P168+'ก.ค.-ก.ย.'!Q168+'ก.ค.-ก.ย.'!R168+'ก.ค.-ก.ย.'!S168+'ก.ค.-ก.ย.'!T168+'ก.ค.-ก.ย.'!U168+'ก.ค.-ก.ย.'!V168</f>
        <v>0</v>
      </c>
      <c r="H168" s="498">
        <f t="shared" si="16"/>
        <v>0</v>
      </c>
      <c r="I168" s="230">
        <f t="shared" si="15"/>
        <v>0</v>
      </c>
      <c r="J168" s="233"/>
      <c r="K168" s="329"/>
      <c r="L168" s="330"/>
      <c r="M168" s="330"/>
    </row>
    <row r="169" spans="1:13" s="172" customFormat="1" ht="21.75" customHeight="1">
      <c r="A169" s="9"/>
      <c r="B169" s="187" t="s">
        <v>215</v>
      </c>
      <c r="C169" s="279">
        <v>10000</v>
      </c>
      <c r="D169" s="230">
        <f>+'ต.ค.-ธ.ค.'!E170+'ต.ค.-ธ.ค.'!F170+'ต.ค.-ธ.ค.'!H170+'ต.ค.-ธ.ค.'!I170+'ต.ค.-ธ.ค.'!M170+'ต.ค.-ธ.ค.'!Q170+'ต.ค.-ธ.ค.'!S170</f>
        <v>0</v>
      </c>
      <c r="E169" s="230">
        <f>+'ม.ค.-มี.ค.'!D169+'ม.ค.-มี.ค.'!E169+'ม.ค.-มี.ค.'!F169+'ม.ค.-มี.ค.'!G169+'ม.ค.-มี.ค.'!H169+'ม.ค.-มี.ค.'!I169+'ม.ค.-มี.ค.'!J169+'ม.ค.-มี.ค.'!K169+'ม.ค.-มี.ค.'!L169+'ม.ค.-มี.ค.'!M169+'ม.ค.-มี.ค.'!N169+'ม.ค.-มี.ค.'!O169+'ม.ค.-มี.ค.'!P169+'ม.ค.-มี.ค.'!Q169+'ม.ค.-มี.ค.'!R169+'ม.ค.-มี.ค.'!S169+'ม.ค.-มี.ค.'!U169+'ม.ค.-มี.ค.'!V169</f>
        <v>0</v>
      </c>
      <c r="F169" s="230">
        <f>+'เม.ย.-มิ.ย.'!E169+'เม.ย.-มิ.ย.'!F169+'เม.ย.-มิ.ย.'!G169+'เม.ย.-มิ.ย.'!H169+'เม.ย.-มิ.ย.'!I169+'เม.ย.-มิ.ย.'!M169+'เม.ย.-มิ.ย.'!N169+'เม.ย.-มิ.ย.'!P169+'เม.ย.-มิ.ย.'!R169+'เม.ย.-มิ.ย.'!S169</f>
        <v>0</v>
      </c>
      <c r="G169" s="498">
        <f>+'ก.ค.-ก.ย.'!D169+'ก.ค.-ก.ย.'!E169+'ก.ค.-ก.ย.'!F169+'ก.ค.-ก.ย.'!G169+'ก.ค.-ก.ย.'!H169+'ก.ค.-ก.ย.'!I169+'ก.ค.-ก.ย.'!J169+'ก.ค.-ก.ย.'!K169+'ก.ค.-ก.ย.'!L169+'ก.ค.-ก.ย.'!M169+'ก.ค.-ก.ย.'!N169+'ก.ค.-ก.ย.'!O169+'ก.ค.-ก.ย.'!P169+'ก.ค.-ก.ย.'!Q169+'ก.ค.-ก.ย.'!R169+'ก.ค.-ก.ย.'!S169+'ก.ค.-ก.ย.'!T169+'ก.ค.-ก.ย.'!U169+'ก.ค.-ก.ย.'!V169</f>
        <v>10000</v>
      </c>
      <c r="H169" s="498">
        <f t="shared" si="16"/>
        <v>10000</v>
      </c>
      <c r="I169" s="230">
        <f t="shared" si="15"/>
        <v>0</v>
      </c>
      <c r="J169" s="233"/>
      <c r="K169" s="329"/>
      <c r="L169" s="330"/>
      <c r="M169" s="330"/>
    </row>
    <row r="170" spans="1:13" s="172" customFormat="1" ht="21.75" customHeight="1">
      <c r="A170" s="9"/>
      <c r="B170" s="187" t="s">
        <v>268</v>
      </c>
      <c r="C170" s="279">
        <v>5000</v>
      </c>
      <c r="D170" s="230">
        <f>+'ต.ค.-ธ.ค.'!E171+'ต.ค.-ธ.ค.'!F171+'ต.ค.-ธ.ค.'!H171+'ต.ค.-ธ.ค.'!I171+'ต.ค.-ธ.ค.'!M171+'ต.ค.-ธ.ค.'!Q171+'ต.ค.-ธ.ค.'!S171</f>
        <v>0</v>
      </c>
      <c r="E170" s="230">
        <f>+'ม.ค.-มี.ค.'!D170+'ม.ค.-มี.ค.'!E170+'ม.ค.-มี.ค.'!F170+'ม.ค.-มี.ค.'!G170+'ม.ค.-มี.ค.'!H170+'ม.ค.-มี.ค.'!I170+'ม.ค.-มี.ค.'!J170+'ม.ค.-มี.ค.'!K170+'ม.ค.-มี.ค.'!L170+'ม.ค.-มี.ค.'!M170+'ม.ค.-มี.ค.'!N170+'ม.ค.-มี.ค.'!O170+'ม.ค.-มี.ค.'!P170+'ม.ค.-มี.ค.'!Q170+'ม.ค.-มี.ค.'!R170+'ม.ค.-มี.ค.'!S170+'ม.ค.-มี.ค.'!U170+'ม.ค.-มี.ค.'!V170</f>
        <v>4715</v>
      </c>
      <c r="F170" s="230">
        <f>+'เม.ย.-มิ.ย.'!E170+'เม.ย.-มิ.ย.'!F170+'เม.ย.-มิ.ย.'!G170+'เม.ย.-มิ.ย.'!H170+'เม.ย.-มิ.ย.'!I170+'เม.ย.-มิ.ย.'!M170+'เม.ย.-มิ.ย.'!N170+'เม.ย.-มิ.ย.'!P170+'เม.ย.-มิ.ย.'!R170+'เม.ย.-มิ.ย.'!S170</f>
        <v>0</v>
      </c>
      <c r="G170" s="498">
        <f>+'ก.ค.-ก.ย.'!D170+'ก.ค.-ก.ย.'!E170+'ก.ค.-ก.ย.'!F170+'ก.ค.-ก.ย.'!G170+'ก.ค.-ก.ย.'!H170+'ก.ค.-ก.ย.'!I170+'ก.ค.-ก.ย.'!J170+'ก.ค.-ก.ย.'!K170+'ก.ค.-ก.ย.'!L170+'ก.ค.-ก.ย.'!M170+'ก.ค.-ก.ย.'!N170+'ก.ค.-ก.ย.'!O170+'ก.ค.-ก.ย.'!P170+'ก.ค.-ก.ย.'!Q170+'ก.ค.-ก.ย.'!R170+'ก.ค.-ก.ย.'!S170+'ก.ค.-ก.ย.'!T170+'ก.ค.-ก.ย.'!U170+'ก.ค.-ก.ย.'!V170</f>
        <v>0</v>
      </c>
      <c r="H170" s="498">
        <f t="shared" si="16"/>
        <v>4715</v>
      </c>
      <c r="I170" s="230">
        <f t="shared" si="15"/>
        <v>285</v>
      </c>
      <c r="J170" s="233"/>
      <c r="K170" s="329"/>
      <c r="L170" s="330"/>
      <c r="M170" s="330"/>
    </row>
    <row r="171" spans="1:13" s="172" customFormat="1" ht="21.75" customHeight="1">
      <c r="A171" s="9"/>
      <c r="B171" s="187" t="s">
        <v>413</v>
      </c>
      <c r="C171" s="279">
        <v>140000</v>
      </c>
      <c r="D171" s="230"/>
      <c r="E171" s="230">
        <f>+'ม.ค.-มี.ค.'!D171+'ม.ค.-มี.ค.'!E171+'ม.ค.-มี.ค.'!F171+'ม.ค.-มี.ค.'!G171+'ม.ค.-มี.ค.'!H171+'ม.ค.-มี.ค.'!I171+'ม.ค.-มี.ค.'!J171+'ม.ค.-มี.ค.'!K171+'ม.ค.-มี.ค.'!L171+'ม.ค.-มี.ค.'!M171+'ม.ค.-มี.ค.'!N171+'ม.ค.-มี.ค.'!O171+'ม.ค.-มี.ค.'!P171+'ม.ค.-มี.ค.'!Q171+'ม.ค.-มี.ค.'!R171+'ม.ค.-มี.ค.'!S171+'ม.ค.-มี.ค.'!U171+'ม.ค.-มี.ค.'!V171</f>
        <v>27080</v>
      </c>
      <c r="F171" s="230">
        <f>+'เม.ย.-มิ.ย.'!E171+'เม.ย.-มิ.ย.'!F171+'เม.ย.-มิ.ย.'!G171+'เม.ย.-มิ.ย.'!H171+'เม.ย.-มิ.ย.'!I171+'เม.ย.-มิ.ย.'!M171+'เม.ย.-มิ.ย.'!N171+'เม.ย.-มิ.ย.'!P171+'เม.ย.-มิ.ย.'!R171+'เม.ย.-มิ.ย.'!S171</f>
        <v>112880</v>
      </c>
      <c r="G171" s="498">
        <f>+'ก.ค.-ก.ย.'!D171+'ก.ค.-ก.ย.'!E171+'ก.ค.-ก.ย.'!F171+'ก.ค.-ก.ย.'!G171+'ก.ค.-ก.ย.'!H171+'ก.ค.-ก.ย.'!I171+'ก.ค.-ก.ย.'!J171+'ก.ค.-ก.ย.'!K171+'ก.ค.-ก.ย.'!L171+'ก.ค.-ก.ย.'!M171+'ก.ค.-ก.ย.'!N171+'ก.ค.-ก.ย.'!O171+'ก.ค.-ก.ย.'!P171+'ก.ค.-ก.ย.'!Q171+'ก.ค.-ก.ย.'!R171+'ก.ค.-ก.ย.'!S171+'ก.ค.-ก.ย.'!T171+'ก.ค.-ก.ย.'!U171+'ก.ค.-ก.ย.'!V171</f>
        <v>0</v>
      </c>
      <c r="H171" s="498">
        <f>SUM(D171:G171)</f>
        <v>139960</v>
      </c>
      <c r="I171" s="230">
        <f t="shared" si="15"/>
        <v>40</v>
      </c>
      <c r="J171" s="233"/>
      <c r="K171" s="329"/>
      <c r="L171" s="330"/>
      <c r="M171" s="330"/>
    </row>
    <row r="172" spans="1:13" s="172" customFormat="1" ht="21.75" customHeight="1">
      <c r="A172" s="9"/>
      <c r="B172" s="187" t="s">
        <v>414</v>
      </c>
      <c r="C172" s="279">
        <v>40000</v>
      </c>
      <c r="D172" s="230"/>
      <c r="E172" s="230">
        <f>+'ม.ค.-มี.ค.'!D172+'ม.ค.-มี.ค.'!E172+'ม.ค.-มี.ค.'!F172+'ม.ค.-มี.ค.'!G172+'ม.ค.-มี.ค.'!H172+'ม.ค.-มี.ค.'!I172+'ม.ค.-มี.ค.'!J172+'ม.ค.-มี.ค.'!K172+'ม.ค.-มี.ค.'!L172+'ม.ค.-มี.ค.'!M172+'ม.ค.-มี.ค.'!N172+'ม.ค.-มี.ค.'!O172+'ม.ค.-มี.ค.'!P172+'ม.ค.-มี.ค.'!Q172+'ม.ค.-มี.ค.'!R172+'ม.ค.-มี.ค.'!S172+'ม.ค.-มี.ค.'!U172+'ม.ค.-มี.ค.'!V172</f>
        <v>37080</v>
      </c>
      <c r="F172" s="230">
        <f>+'เม.ย.-มิ.ย.'!E172+'เม.ย.-มิ.ย.'!F172+'เม.ย.-มิ.ย.'!G172+'เม.ย.-มิ.ย.'!H172+'เม.ย.-มิ.ย.'!I172+'เม.ย.-มิ.ย.'!M172+'เม.ย.-มิ.ย.'!N172+'เม.ย.-มิ.ย.'!P172+'เม.ย.-มิ.ย.'!R172+'เม.ย.-มิ.ย.'!S172</f>
        <v>0</v>
      </c>
      <c r="G172" s="498">
        <f>+'ก.ค.-ก.ย.'!D172+'ก.ค.-ก.ย.'!E172+'ก.ค.-ก.ย.'!F172+'ก.ค.-ก.ย.'!G172+'ก.ค.-ก.ย.'!H172+'ก.ค.-ก.ย.'!I172+'ก.ค.-ก.ย.'!J172+'ก.ค.-ก.ย.'!K172+'ก.ค.-ก.ย.'!L172+'ก.ค.-ก.ย.'!M172+'ก.ค.-ก.ย.'!N172+'ก.ค.-ก.ย.'!O172+'ก.ค.-ก.ย.'!P172+'ก.ค.-ก.ย.'!Q172+'ก.ค.-ก.ย.'!R172+'ก.ค.-ก.ย.'!S172+'ก.ค.-ก.ย.'!T172+'ก.ค.-ก.ย.'!U172+'ก.ค.-ก.ย.'!V172</f>
        <v>0</v>
      </c>
      <c r="H172" s="498">
        <f>SUM(D172:G172)</f>
        <v>37080</v>
      </c>
      <c r="I172" s="230">
        <f t="shared" si="15"/>
        <v>2920</v>
      </c>
      <c r="J172" s="233"/>
      <c r="K172" s="329"/>
      <c r="L172" s="330"/>
      <c r="M172" s="330"/>
    </row>
    <row r="173" spans="1:13" s="172" customFormat="1" ht="21.75" customHeight="1">
      <c r="A173" s="9"/>
      <c r="B173" s="187" t="s">
        <v>415</v>
      </c>
      <c r="C173" s="279">
        <v>20000</v>
      </c>
      <c r="D173" s="230"/>
      <c r="E173" s="230">
        <f>+'ม.ค.-มี.ค.'!D173+'ม.ค.-มี.ค.'!E173+'ม.ค.-มี.ค.'!F173+'ม.ค.-มี.ค.'!G173+'ม.ค.-มี.ค.'!H173+'ม.ค.-มี.ค.'!I173+'ม.ค.-มี.ค.'!J173+'ม.ค.-มี.ค.'!K173+'ม.ค.-มี.ค.'!L173+'ม.ค.-มี.ค.'!M173+'ม.ค.-มี.ค.'!N173+'ม.ค.-มี.ค.'!O173+'ม.ค.-มี.ค.'!P173+'ม.ค.-มี.ค.'!Q173+'ม.ค.-มี.ค.'!R173+'ม.ค.-มี.ค.'!S173+'ม.ค.-มี.ค.'!U173+'ม.ค.-มี.ค.'!V173</f>
        <v>1200</v>
      </c>
      <c r="F173" s="230">
        <f>+'เม.ย.-มิ.ย.'!E173+'เม.ย.-มิ.ย.'!F173+'เม.ย.-มิ.ย.'!G173+'เม.ย.-มิ.ย.'!H173+'เม.ย.-มิ.ย.'!I173+'เม.ย.-มิ.ย.'!M173+'เม.ย.-มิ.ย.'!N173+'เม.ย.-มิ.ย.'!P173+'เม.ย.-มิ.ย.'!R173+'เม.ย.-มิ.ย.'!S173</f>
        <v>18800</v>
      </c>
      <c r="G173" s="498">
        <f>+'ก.ค.-ก.ย.'!D173+'ก.ค.-ก.ย.'!E173+'ก.ค.-ก.ย.'!F173+'ก.ค.-ก.ย.'!G173+'ก.ค.-ก.ย.'!H173+'ก.ค.-ก.ย.'!I173+'ก.ค.-ก.ย.'!J173+'ก.ค.-ก.ย.'!K173+'ก.ค.-ก.ย.'!L173+'ก.ค.-ก.ย.'!M173+'ก.ค.-ก.ย.'!N173+'ก.ค.-ก.ย.'!O173+'ก.ค.-ก.ย.'!P173+'ก.ค.-ก.ย.'!Q173+'ก.ค.-ก.ย.'!R173+'ก.ค.-ก.ย.'!S173+'ก.ค.-ก.ย.'!T173+'ก.ค.-ก.ย.'!U173+'ก.ค.-ก.ย.'!V173</f>
        <v>0</v>
      </c>
      <c r="H173" s="498">
        <f>SUM(D173:G173)</f>
        <v>20000</v>
      </c>
      <c r="I173" s="230">
        <f t="shared" si="15"/>
        <v>0</v>
      </c>
      <c r="J173" s="233"/>
      <c r="K173" s="329"/>
      <c r="L173" s="330"/>
      <c r="M173" s="330"/>
    </row>
    <row r="174" spans="1:13" s="172" customFormat="1" ht="21.75" customHeight="1">
      <c r="A174" s="9"/>
      <c r="B174" s="187" t="s">
        <v>452</v>
      </c>
      <c r="C174" s="279">
        <v>60000</v>
      </c>
      <c r="D174" s="230"/>
      <c r="E174" s="230"/>
      <c r="F174" s="230"/>
      <c r="G174" s="498">
        <f>+'ก.ค.-ก.ย.'!D174+'ก.ค.-ก.ย.'!E174+'ก.ค.-ก.ย.'!F174+'ก.ค.-ก.ย.'!G174+'ก.ค.-ก.ย.'!H174+'ก.ค.-ก.ย.'!I174+'ก.ค.-ก.ย.'!J174+'ก.ค.-ก.ย.'!K174+'ก.ค.-ก.ย.'!L174+'ก.ค.-ก.ย.'!M174+'ก.ค.-ก.ย.'!N174+'ก.ค.-ก.ย.'!O174+'ก.ค.-ก.ย.'!P174+'ก.ค.-ก.ย.'!Q174+'ก.ค.-ก.ย.'!R174+'ก.ค.-ก.ย.'!S174+'ก.ค.-ก.ย.'!T174+'ก.ค.-ก.ย.'!U174+'ก.ค.-ก.ย.'!V174</f>
        <v>0</v>
      </c>
      <c r="H174" s="498">
        <f>SUM(D174:G174)</f>
        <v>0</v>
      </c>
      <c r="I174" s="230">
        <f>+C174-H174</f>
        <v>60000</v>
      </c>
      <c r="J174" s="233"/>
      <c r="K174" s="329"/>
      <c r="L174" s="330"/>
      <c r="M174" s="330"/>
    </row>
    <row r="175" spans="1:13" s="172" customFormat="1" ht="21.75" customHeight="1">
      <c r="A175" s="9"/>
      <c r="B175" s="187" t="s">
        <v>451</v>
      </c>
      <c r="C175" s="279">
        <v>20000</v>
      </c>
      <c r="D175" s="230"/>
      <c r="E175" s="230"/>
      <c r="F175" s="230"/>
      <c r="G175" s="498"/>
      <c r="H175" s="628"/>
      <c r="I175" s="502">
        <f>+C175-H175</f>
        <v>20000</v>
      </c>
      <c r="J175" s="233"/>
      <c r="K175" s="329"/>
      <c r="L175" s="330"/>
      <c r="M175" s="330"/>
    </row>
    <row r="176" spans="1:13" s="221" customFormat="1" ht="21.75" customHeight="1" thickBot="1">
      <c r="A176" s="15"/>
      <c r="B176" s="14" t="s">
        <v>5</v>
      </c>
      <c r="C176" s="170">
        <f>SUM(C51:C175)</f>
        <v>6748200</v>
      </c>
      <c r="D176" s="26">
        <f>SUM(D51:D175)</f>
        <v>1392690</v>
      </c>
      <c r="E176" s="26">
        <f>SUM(E51:E175)</f>
        <v>1541883</v>
      </c>
      <c r="F176" s="235">
        <f>SUM(F51:F175)</f>
        <v>1621792.04</v>
      </c>
      <c r="G176" s="26">
        <f>SUM(G51:G175)</f>
        <v>1919107.6300000001</v>
      </c>
      <c r="H176" s="236">
        <f>SUM(D176:G176)</f>
        <v>6475472.6699999999</v>
      </c>
      <c r="I176" s="503">
        <f>+C176-H176</f>
        <v>272727.33000000007</v>
      </c>
      <c r="J176" s="244"/>
      <c r="K176" s="329"/>
      <c r="L176" s="330"/>
      <c r="M176" s="330"/>
    </row>
    <row r="177" spans="1:13" ht="21.75" customHeight="1" thickTop="1">
      <c r="A177" s="3" t="s">
        <v>113</v>
      </c>
      <c r="B177" s="4"/>
      <c r="C177" s="287"/>
      <c r="D177" s="501"/>
      <c r="E177" s="501"/>
      <c r="F177" s="504"/>
      <c r="G177" s="501"/>
      <c r="H177" s="501"/>
      <c r="I177" s="505"/>
    </row>
    <row r="178" spans="1:13" ht="21.75" customHeight="1">
      <c r="A178" s="9"/>
      <c r="B178" s="130" t="s">
        <v>111</v>
      </c>
      <c r="C178" s="216">
        <f>50000+25000+15000+20000+5000+25000+9000-12000+200+10000+5000+10000-5000+15000+20000</f>
        <v>192200</v>
      </c>
      <c r="D178" s="506">
        <f>+'ต.ค.-ธ.ค.'!D179+'ต.ค.-ธ.ค.'!E179+'ต.ค.-ธ.ค.'!F179+'ต.ค.-ธ.ค.'!H179+'ต.ค.-ธ.ค.'!I179+'ต.ค.-ธ.ค.'!M179+'ต.ค.-ธ.ค.'!S179</f>
        <v>15519</v>
      </c>
      <c r="E178" s="506">
        <f>+'ม.ค.-มี.ค.'!E178+'ม.ค.-มี.ค.'!F178+'ม.ค.-มี.ค.'!H178+'ม.ค.-มี.ค.'!I178+'ม.ค.-มี.ค.'!K178+'ม.ค.-มี.ค.'!M178+'ม.ค.-มี.ค.'!N178+'ม.ค.-มี.ค.'!V178</f>
        <v>50661.8</v>
      </c>
      <c r="F178" s="230">
        <f>+'เม.ย.-มิ.ย.'!E178+'เม.ย.-มิ.ย.'!F178+'เม.ย.-มิ.ย.'!G178+'เม.ย.-มิ.ย.'!H178+'เม.ย.-มิ.ย.'!I178+'เม.ย.-มิ.ย.'!M178+'เม.ย.-มิ.ย.'!N178+'เม.ย.-มิ.ย.'!P178+'เม.ย.-มิ.ย.'!R178+'เม.ย.-มิ.ย.'!S178</f>
        <v>29458</v>
      </c>
      <c r="G178" s="507">
        <f>+'ก.ค.-ก.ย.'!E178+'ก.ค.-ก.ย.'!F178+'ก.ค.-ก.ย.'!G178+'ก.ค.-ก.ย.'!H178+'ก.ค.-ก.ย.'!I178+'ก.ค.-ก.ย.'!J178+'ก.ค.-ก.ย.'!K178+'ก.ค.-ก.ย.'!M178+'ก.ค.-ก.ย.'!N178+'ก.ค.-ก.ย.'!Q178+'ก.ค.-ก.ย.'!V178</f>
        <v>70814</v>
      </c>
      <c r="H178" s="507">
        <f>SUM(D178:G178)</f>
        <v>166452.79999999999</v>
      </c>
      <c r="I178" s="616">
        <f>+C178-H178</f>
        <v>25747.200000000012</v>
      </c>
      <c r="J178" s="265"/>
    </row>
    <row r="179" spans="1:13" ht="21.75" customHeight="1">
      <c r="A179" s="9"/>
      <c r="B179" s="130" t="s">
        <v>302</v>
      </c>
      <c r="C179" s="216">
        <f>10000-8000</f>
        <v>2000</v>
      </c>
      <c r="D179" s="506">
        <f>+'ต.ค.-ธ.ค.'!D180+'ต.ค.-ธ.ค.'!E180+'ต.ค.-ธ.ค.'!F180+'ต.ค.-ธ.ค.'!H180+'ต.ค.-ธ.ค.'!I180+'ต.ค.-ธ.ค.'!M180+'ต.ค.-ธ.ค.'!S180</f>
        <v>500</v>
      </c>
      <c r="E179" s="506">
        <f>+'ม.ค.-มี.ค.'!E179+'ม.ค.-มี.ค.'!F179+'ม.ค.-มี.ค.'!H179+'ม.ค.-มี.ค.'!I179+'ม.ค.-มี.ค.'!K179+'ม.ค.-มี.ค.'!M179+'ม.ค.-มี.ค.'!N179+'ม.ค.-มี.ค.'!V179</f>
        <v>0</v>
      </c>
      <c r="F179" s="230">
        <f>+'เม.ย.-มิ.ย.'!E179+'เม.ย.-มิ.ย.'!F179+'เม.ย.-มิ.ย.'!G179+'เม.ย.-มิ.ย.'!H179+'เม.ย.-มิ.ย.'!I179+'เม.ย.-มิ.ย.'!M179+'เม.ย.-มิ.ย.'!N179+'เม.ย.-มิ.ย.'!P179+'เม.ย.-มิ.ย.'!R179+'เม.ย.-มิ.ย.'!S179</f>
        <v>0</v>
      </c>
      <c r="G179" s="507">
        <f>+'ก.ค.-ก.ย.'!E179+'ก.ค.-ก.ย.'!F179+'ก.ค.-ก.ย.'!G179+'ก.ค.-ก.ย.'!H179+'ก.ค.-ก.ย.'!I179+'ก.ค.-ก.ย.'!J179+'ก.ค.-ก.ย.'!K179+'ก.ค.-ก.ย.'!M179+'ก.ค.-ก.ย.'!N179+'ก.ค.-ก.ย.'!Q179+'ก.ค.-ก.ย.'!V179</f>
        <v>0</v>
      </c>
      <c r="H179" s="507">
        <f>SUM(D179:G179)</f>
        <v>500</v>
      </c>
      <c r="I179" s="508">
        <f>+C179-H179</f>
        <v>1500</v>
      </c>
      <c r="J179" s="244"/>
    </row>
    <row r="180" spans="1:13" s="168" customFormat="1" ht="21.75" customHeight="1">
      <c r="A180" s="9"/>
      <c r="B180" s="130" t="s">
        <v>16</v>
      </c>
      <c r="C180" s="216">
        <f>8000+200000+5000+1000+1000+1000</f>
        <v>216000</v>
      </c>
      <c r="D180" s="506">
        <f>+'ต.ค.-ธ.ค.'!D181+'ต.ค.-ธ.ค.'!E181+'ต.ค.-ธ.ค.'!F181+'ต.ค.-ธ.ค.'!H181+'ต.ค.-ธ.ค.'!I181+'ต.ค.-ธ.ค.'!M181+'ต.ค.-ธ.ค.'!S181</f>
        <v>1039</v>
      </c>
      <c r="E180" s="506">
        <f>+'ม.ค.-มี.ค.'!E180+'ม.ค.-มี.ค.'!F180+'ม.ค.-มี.ค.'!H180+'ม.ค.-มี.ค.'!I180+'ม.ค.-มี.ค.'!K180+'ม.ค.-มี.ค.'!M180+'ม.ค.-มี.ค.'!N180+'ม.ค.-มี.ค.'!V180</f>
        <v>79750</v>
      </c>
      <c r="F180" s="230">
        <f>+'เม.ย.-มิ.ย.'!E180+'เม.ย.-มิ.ย.'!F180+'เม.ย.-มิ.ย.'!G180+'เม.ย.-มิ.ย.'!H180+'เม.ย.-มิ.ย.'!I180+'เม.ย.-มิ.ย.'!M180+'เม.ย.-มิ.ย.'!N180+'เม.ย.-มิ.ย.'!P180+'เม.ย.-มิ.ย.'!R180+'เม.ย.-มิ.ย.'!S180</f>
        <v>1370</v>
      </c>
      <c r="G180" s="507">
        <f>+'ก.ค.-ก.ย.'!E180+'ก.ค.-ก.ย.'!F180+'ก.ค.-ก.ย.'!G180+'ก.ค.-ก.ย.'!H180+'ก.ค.-ก.ย.'!I180+'ก.ค.-ก.ย.'!J180+'ก.ค.-ก.ย.'!K180+'ก.ค.-ก.ย.'!M180+'ก.ค.-ก.ย.'!N180+'ก.ค.-ก.ย.'!Q180+'ก.ค.-ก.ย.'!V180</f>
        <v>95986</v>
      </c>
      <c r="H180" s="507">
        <f>SUM(D180:G180)</f>
        <v>178145</v>
      </c>
      <c r="I180" s="508">
        <f>+C180-H180</f>
        <v>37855</v>
      </c>
      <c r="J180" s="244"/>
      <c r="K180" s="331"/>
      <c r="L180" s="247"/>
      <c r="M180" s="247"/>
    </row>
    <row r="181" spans="1:13" s="172" customFormat="1" ht="21.75" customHeight="1">
      <c r="A181" s="9"/>
      <c r="B181" s="130" t="s">
        <v>12</v>
      </c>
      <c r="C181" s="216">
        <f>15000+10000+2200+6800+1300</f>
        <v>35300</v>
      </c>
      <c r="D181" s="506">
        <f>+'ต.ค.-ธ.ค.'!D182+'ต.ค.-ธ.ค.'!E182+'ต.ค.-ธ.ค.'!F182+'ต.ค.-ธ.ค.'!H182+'ต.ค.-ธ.ค.'!I182+'ต.ค.-ธ.ค.'!M182+'ต.ค.-ธ.ค.'!S182</f>
        <v>9570</v>
      </c>
      <c r="E181" s="506">
        <f>+'ม.ค.-มี.ค.'!E181+'ม.ค.-มี.ค.'!F181+'ม.ค.-มี.ค.'!H181+'ม.ค.-มี.ค.'!I181+'ม.ค.-มี.ค.'!K181+'ม.ค.-มี.ค.'!M181+'ม.ค.-มี.ค.'!N181+'ม.ค.-มี.ค.'!V181</f>
        <v>8703</v>
      </c>
      <c r="F181" s="230">
        <f>+'เม.ย.-มิ.ย.'!E181+'เม.ย.-มิ.ย.'!F181+'เม.ย.-มิ.ย.'!G181+'เม.ย.-มิ.ย.'!H181+'เม.ย.-มิ.ย.'!I181+'เม.ย.-มิ.ย.'!M181+'เม.ย.-มิ.ย.'!N181+'เม.ย.-มิ.ย.'!P181+'เม.ย.-มิ.ย.'!R181+'เม.ย.-มิ.ย.'!S181</f>
        <v>1920</v>
      </c>
      <c r="G181" s="507">
        <f>+'ก.ค.-ก.ย.'!E181+'ก.ค.-ก.ย.'!F181+'ก.ค.-ก.ย.'!G181+'ก.ค.-ก.ย.'!H181+'ก.ค.-ก.ย.'!I181+'ก.ค.-ก.ย.'!J181+'ก.ค.-ก.ย.'!K181+'ก.ค.-ก.ย.'!M181+'ก.ค.-ก.ย.'!N181+'ก.ค.-ก.ย.'!Q181+'ก.ค.-ก.ย.'!V181</f>
        <v>10089</v>
      </c>
      <c r="H181" s="507">
        <f>SUM(D181:G181)</f>
        <v>30282</v>
      </c>
      <c r="I181" s="616">
        <f>+C181-H181</f>
        <v>5018</v>
      </c>
      <c r="J181" s="244"/>
      <c r="K181" s="329"/>
      <c r="L181" s="330"/>
      <c r="M181" s="330"/>
    </row>
    <row r="182" spans="1:13" ht="21.75" customHeight="1">
      <c r="A182" s="9"/>
      <c r="B182" s="130" t="s">
        <v>17</v>
      </c>
      <c r="C182" s="216">
        <f>15000+25000+20000-10000+8000-3000+5000-7000</f>
        <v>53000</v>
      </c>
      <c r="D182" s="506">
        <f>+'ต.ค.-ธ.ค.'!D183+'ต.ค.-ธ.ค.'!E183+'ต.ค.-ธ.ค.'!F183+'ต.ค.-ธ.ค.'!H183+'ต.ค.-ธ.ค.'!I183+'ต.ค.-ธ.ค.'!M183+'ต.ค.-ธ.ค.'!S183</f>
        <v>4320</v>
      </c>
      <c r="E182" s="506">
        <f>+'ม.ค.-มี.ค.'!E182+'ม.ค.-มี.ค.'!F182+'ม.ค.-มี.ค.'!H182+'ม.ค.-มี.ค.'!I182+'ม.ค.-มี.ค.'!K182+'ม.ค.-มี.ค.'!M182+'ม.ค.-มี.ค.'!N182+'ม.ค.-มี.ค.'!V182</f>
        <v>11271</v>
      </c>
      <c r="F182" s="230">
        <f>+'เม.ย.-มิ.ย.'!E182+'เม.ย.-มิ.ย.'!F182+'เม.ย.-มิ.ย.'!G182+'เม.ย.-มิ.ย.'!H182+'เม.ย.-มิ.ย.'!I182+'เม.ย.-มิ.ย.'!M182+'เม.ย.-มิ.ย.'!N182+'เม.ย.-มิ.ย.'!P182+'เม.ย.-มิ.ย.'!R182+'เม.ย.-มิ.ย.'!S182</f>
        <v>0</v>
      </c>
      <c r="G182" s="507">
        <f>+'ก.ค.-ก.ย.'!E182+'ก.ค.-ก.ย.'!F182+'ก.ค.-ก.ย.'!G182+'ก.ค.-ก.ย.'!H182+'ก.ค.-ก.ย.'!I182+'ก.ค.-ก.ย.'!J182+'ก.ค.-ก.ย.'!K182+'ก.ค.-ก.ย.'!M182+'ก.ค.-ก.ย.'!N182+'ก.ค.-ก.ย.'!Q182+'ก.ค.-ก.ย.'!V182</f>
        <v>24079</v>
      </c>
      <c r="H182" s="507">
        <f t="shared" ref="H182:H203" si="17">SUM(D182:G182)</f>
        <v>39670</v>
      </c>
      <c r="I182" s="508">
        <f t="shared" ref="I182:I203" si="18">+C182-H182</f>
        <v>13330</v>
      </c>
      <c r="J182" s="244"/>
    </row>
    <row r="183" spans="1:13" s="168" customFormat="1" ht="21.75" customHeight="1">
      <c r="A183" s="9"/>
      <c r="B183" s="130" t="s">
        <v>13</v>
      </c>
      <c r="C183" s="216">
        <f>15000-15000</f>
        <v>0</v>
      </c>
      <c r="D183" s="506">
        <f>+'ต.ค.-ธ.ค.'!D184+'ต.ค.-ธ.ค.'!E184+'ต.ค.-ธ.ค.'!F184+'ต.ค.-ธ.ค.'!H184+'ต.ค.-ธ.ค.'!I184+'ต.ค.-ธ.ค.'!M184+'ต.ค.-ธ.ค.'!S184</f>
        <v>0</v>
      </c>
      <c r="E183" s="506">
        <f>+'ม.ค.-มี.ค.'!E183+'ม.ค.-มี.ค.'!F183+'ม.ค.-มี.ค.'!H183+'ม.ค.-มี.ค.'!I183+'ม.ค.-มี.ค.'!K183+'ม.ค.-มี.ค.'!M183+'ม.ค.-มี.ค.'!N183+'ม.ค.-มี.ค.'!V183</f>
        <v>0</v>
      </c>
      <c r="F183" s="230">
        <f>+'เม.ย.-มิ.ย.'!E183+'เม.ย.-มิ.ย.'!F183+'เม.ย.-มิ.ย.'!G183+'เม.ย.-มิ.ย.'!H183+'เม.ย.-มิ.ย.'!I183+'เม.ย.-มิ.ย.'!M183+'เม.ย.-มิ.ย.'!N183+'เม.ย.-มิ.ย.'!P183+'เม.ย.-มิ.ย.'!R183+'เม.ย.-มิ.ย.'!S183</f>
        <v>0</v>
      </c>
      <c r="G183" s="507">
        <f>+'ก.ค.-ก.ย.'!E183+'ก.ค.-ก.ย.'!F183+'ก.ค.-ก.ย.'!G183+'ก.ค.-ก.ย.'!H183+'ก.ค.-ก.ย.'!I183+'ก.ค.-ก.ย.'!J183+'ก.ค.-ก.ย.'!K183+'ก.ค.-ก.ย.'!M183+'ก.ค.-ก.ย.'!N183+'ก.ค.-ก.ย.'!Q183+'ก.ค.-ก.ย.'!V183</f>
        <v>0</v>
      </c>
      <c r="H183" s="507">
        <f t="shared" si="17"/>
        <v>0</v>
      </c>
      <c r="I183" s="508">
        <f t="shared" si="18"/>
        <v>0</v>
      </c>
      <c r="J183" s="244"/>
      <c r="K183" s="331"/>
      <c r="L183" s="247"/>
      <c r="M183" s="247"/>
    </row>
    <row r="184" spans="1:13" s="168" customFormat="1" ht="21.75" customHeight="1">
      <c r="A184" s="9"/>
      <c r="B184" s="130" t="s">
        <v>14</v>
      </c>
      <c r="C184" s="216">
        <f>240000+5000+20000+5000+5000+10000+2000</f>
        <v>287000</v>
      </c>
      <c r="D184" s="506">
        <f>+'ต.ค.-ธ.ค.'!D185+'ต.ค.-ธ.ค.'!E185+'ต.ค.-ธ.ค.'!F185+'ต.ค.-ธ.ค.'!H185+'ต.ค.-ธ.ค.'!I185+'ต.ค.-ธ.ค.'!M185+'ต.ค.-ธ.ค.'!S185</f>
        <v>40588.5</v>
      </c>
      <c r="E184" s="506">
        <f>+'ม.ค.-มี.ค.'!E184+'ม.ค.-มี.ค.'!F184+'ม.ค.-มี.ค.'!H184+'ม.ค.-มี.ค.'!I184+'ม.ค.-มี.ค.'!K184+'ม.ค.-มี.ค.'!M184+'ม.ค.-มี.ค.'!N184+'ม.ค.-มี.ค.'!V184</f>
        <v>67289.3</v>
      </c>
      <c r="F184" s="498">
        <f>+'เม.ย.-มิ.ย.'!E184+'เม.ย.-มิ.ย.'!F184+'เม.ย.-มิ.ย.'!G184+'เม.ย.-มิ.ย.'!H184+'เม.ย.-มิ.ย.'!I184+'เม.ย.-มิ.ย.'!M184+'เม.ย.-มิ.ย.'!N184+'เม.ย.-มิ.ย.'!P184+'เม.ย.-มิ.ย.'!R184+'เม.ย.-มิ.ย.'!S184</f>
        <v>62405.61</v>
      </c>
      <c r="G184" s="506">
        <f>+'ก.ค.-ก.ย.'!E184+'ก.ค.-ก.ย.'!F184+'ก.ค.-ก.ย.'!G184+'ก.ค.-ก.ย.'!H184+'ก.ค.-ก.ย.'!I184+'ก.ค.-ก.ย.'!J184+'ก.ค.-ก.ย.'!K184+'ก.ค.-ก.ย.'!M184+'ก.ค.-ก.ย.'!N184+'ก.ค.-ก.ย.'!Q184+'ก.ค.-ก.ย.'!V184</f>
        <v>100120.2</v>
      </c>
      <c r="H184" s="506">
        <f t="shared" si="17"/>
        <v>270403.61</v>
      </c>
      <c r="I184" s="616">
        <f t="shared" si="18"/>
        <v>16596.390000000014</v>
      </c>
      <c r="J184" s="244"/>
      <c r="K184" s="331"/>
      <c r="L184" s="247"/>
      <c r="M184" s="247"/>
    </row>
    <row r="185" spans="1:13" ht="21.75" customHeight="1">
      <c r="A185" s="9"/>
      <c r="B185" s="130" t="s">
        <v>112</v>
      </c>
      <c r="C185" s="216">
        <f>5000+5000+5000-5000-5000-2000</f>
        <v>3000</v>
      </c>
      <c r="D185" s="506">
        <f>+'ต.ค.-ธ.ค.'!D186+'ต.ค.-ธ.ค.'!E186+'ต.ค.-ธ.ค.'!F186+'ต.ค.-ธ.ค.'!H186+'ต.ค.-ธ.ค.'!I186+'ต.ค.-ธ.ค.'!M186+'ต.ค.-ธ.ค.'!S186</f>
        <v>0</v>
      </c>
      <c r="E185" s="506">
        <f>+'ม.ค.-มี.ค.'!E185+'ม.ค.-มี.ค.'!F185+'ม.ค.-มี.ค.'!H185+'ม.ค.-มี.ค.'!I185+'ม.ค.-มี.ค.'!K185+'ม.ค.-มี.ค.'!M185+'ม.ค.-มี.ค.'!N185+'ม.ค.-มี.ค.'!V185</f>
        <v>0</v>
      </c>
      <c r="F185" s="230">
        <f>+'เม.ย.-มิ.ย.'!E185+'เม.ย.-มิ.ย.'!F185+'เม.ย.-มิ.ย.'!G185+'เม.ย.-มิ.ย.'!H185+'เม.ย.-มิ.ย.'!I185+'เม.ย.-มิ.ย.'!M185+'เม.ย.-มิ.ย.'!N185+'เม.ย.-มิ.ย.'!P185+'เม.ย.-มิ.ย.'!R185+'เม.ย.-มิ.ย.'!S185</f>
        <v>0</v>
      </c>
      <c r="G185" s="507">
        <f>+'ก.ค.-ก.ย.'!E185+'ก.ค.-ก.ย.'!F185+'ก.ค.-ก.ย.'!G185+'ก.ค.-ก.ย.'!H185+'ก.ค.-ก.ย.'!I185+'ก.ค.-ก.ย.'!J185+'ก.ค.-ก.ย.'!K185+'ก.ค.-ก.ย.'!M185+'ก.ค.-ก.ย.'!N185+'ก.ค.-ก.ย.'!Q185+'ก.ค.-ก.ย.'!V185</f>
        <v>0</v>
      </c>
      <c r="H185" s="507">
        <f t="shared" si="17"/>
        <v>0</v>
      </c>
      <c r="I185" s="508">
        <f t="shared" si="18"/>
        <v>3000</v>
      </c>
      <c r="J185" s="244"/>
    </row>
    <row r="186" spans="1:13" ht="21.75" customHeight="1">
      <c r="A186" s="9"/>
      <c r="B186" s="130" t="s">
        <v>208</v>
      </c>
      <c r="C186" s="216">
        <f>5000-2000</f>
        <v>3000</v>
      </c>
      <c r="D186" s="506">
        <f>+'ต.ค.-ธ.ค.'!D187+'ต.ค.-ธ.ค.'!E187+'ต.ค.-ธ.ค.'!F187+'ต.ค.-ธ.ค.'!H187+'ต.ค.-ธ.ค.'!I187+'ต.ค.-ธ.ค.'!M187+'ต.ค.-ธ.ค.'!S187</f>
        <v>0</v>
      </c>
      <c r="E186" s="506">
        <f>+'ม.ค.-มี.ค.'!E186+'ม.ค.-มี.ค.'!F186+'ม.ค.-มี.ค.'!H186+'ม.ค.-มี.ค.'!I186+'ม.ค.-มี.ค.'!K186+'ม.ค.-มี.ค.'!M186+'ม.ค.-มี.ค.'!N186+'ม.ค.-มี.ค.'!V186</f>
        <v>540</v>
      </c>
      <c r="F186" s="230">
        <f>+'เม.ย.-มิ.ย.'!E186+'เม.ย.-มิ.ย.'!F186+'เม.ย.-มิ.ย.'!G186+'เม.ย.-มิ.ย.'!H186+'เม.ย.-มิ.ย.'!I186+'เม.ย.-มิ.ย.'!M186+'เม.ย.-มิ.ย.'!N186+'เม.ย.-มิ.ย.'!P186+'เม.ย.-มิ.ย.'!R186+'เม.ย.-มิ.ย.'!S186</f>
        <v>0</v>
      </c>
      <c r="G186" s="507">
        <f>+'ก.ค.-ก.ย.'!E186+'ก.ค.-ก.ย.'!F186+'ก.ค.-ก.ย.'!G186+'ก.ค.-ก.ย.'!H186+'ก.ค.-ก.ย.'!I186+'ก.ค.-ก.ย.'!J186+'ก.ค.-ก.ย.'!K186+'ก.ค.-ก.ย.'!M186+'ก.ค.-ก.ย.'!N186+'ก.ค.-ก.ย.'!Q186+'ก.ค.-ก.ย.'!V186</f>
        <v>1920</v>
      </c>
      <c r="H186" s="507">
        <f t="shared" si="17"/>
        <v>2460</v>
      </c>
      <c r="I186" s="508">
        <f t="shared" si="18"/>
        <v>540</v>
      </c>
      <c r="J186" s="244"/>
    </row>
    <row r="187" spans="1:13" s="168" customFormat="1" ht="21.75" customHeight="1">
      <c r="A187" s="9"/>
      <c r="B187" s="130" t="s">
        <v>15</v>
      </c>
      <c r="C187" s="216">
        <f>40000+15000+15000+40000+40000+15000+12000+5000+5000+5000+5000+5000+5000</f>
        <v>207000</v>
      </c>
      <c r="D187" s="506">
        <f>+'ต.ค.-ธ.ค.'!D188+'ต.ค.-ธ.ค.'!E188+'ต.ค.-ธ.ค.'!F188+'ต.ค.-ธ.ค.'!H188+'ต.ค.-ธ.ค.'!I188+'ต.ค.-ธ.ค.'!M188+'ต.ค.-ธ.ค.'!S188</f>
        <v>33367</v>
      </c>
      <c r="E187" s="506">
        <f>+'ม.ค.-มี.ค.'!E187+'ม.ค.-มี.ค.'!F187+'ม.ค.-มี.ค.'!H187+'ม.ค.-มี.ค.'!I187+'ม.ค.-มี.ค.'!K187+'ม.ค.-มี.ค.'!M187+'ม.ค.-มี.ค.'!N187+'ม.ค.-มี.ค.'!V187</f>
        <v>10111</v>
      </c>
      <c r="F187" s="498">
        <f>+'เม.ย.-มิ.ย.'!E187+'เม.ย.-มิ.ย.'!F187+'เม.ย.-มิ.ย.'!G187+'เม.ย.-มิ.ย.'!H187+'เม.ย.-มิ.ย.'!I187+'เม.ย.-มิ.ย.'!M187+'เม.ย.-มิ.ย.'!N187+'เม.ย.-มิ.ย.'!P187+'เม.ย.-มิ.ย.'!R187+'เม.ย.-มิ.ย.'!S187</f>
        <v>67140</v>
      </c>
      <c r="G187" s="506">
        <f>+'ก.ค.-ก.ย.'!E187+'ก.ค.-ก.ย.'!F187+'ก.ค.-ก.ย.'!G187+'ก.ค.-ก.ย.'!H187+'ก.ค.-ก.ย.'!I187+'ก.ค.-ก.ย.'!J187+'ก.ค.-ก.ย.'!K187+'ก.ค.-ก.ย.'!M187+'ก.ค.-ก.ย.'!N187+'ก.ค.-ก.ย.'!Q187+'ก.ค.-ก.ย.'!V187</f>
        <v>82887</v>
      </c>
      <c r="H187" s="506">
        <f t="shared" si="17"/>
        <v>193505</v>
      </c>
      <c r="I187" s="616">
        <f t="shared" si="18"/>
        <v>13495</v>
      </c>
      <c r="J187" s="244"/>
      <c r="K187" s="331"/>
      <c r="L187" s="247"/>
      <c r="M187" s="247"/>
    </row>
    <row r="188" spans="1:13" s="172" customFormat="1" ht="21.75" customHeight="1">
      <c r="A188" s="9"/>
      <c r="B188" s="130" t="s">
        <v>303</v>
      </c>
      <c r="C188" s="216">
        <v>10000</v>
      </c>
      <c r="D188" s="506">
        <f>+'ต.ค.-ธ.ค.'!D189+'ต.ค.-ธ.ค.'!E189+'ต.ค.-ธ.ค.'!F189+'ต.ค.-ธ.ค.'!H189+'ต.ค.-ธ.ค.'!I189+'ต.ค.-ธ.ค.'!M189+'ต.ค.-ธ.ค.'!S189</f>
        <v>0</v>
      </c>
      <c r="E188" s="506">
        <f>+'ม.ค.-มี.ค.'!E188+'ม.ค.-มี.ค.'!F188+'ม.ค.-มี.ค.'!H188+'ม.ค.-มี.ค.'!I188+'ม.ค.-มี.ค.'!K188+'ม.ค.-มี.ค.'!M188+'ม.ค.-มี.ค.'!N188+'ม.ค.-มี.ค.'!V188</f>
        <v>0</v>
      </c>
      <c r="F188" s="230">
        <f>+'เม.ย.-มิ.ย.'!E188+'เม.ย.-มิ.ย.'!F188+'เม.ย.-มิ.ย.'!G188+'เม.ย.-มิ.ย.'!H188+'เม.ย.-มิ.ย.'!I188+'เม.ย.-มิ.ย.'!M188+'เม.ย.-มิ.ย.'!N188+'เม.ย.-มิ.ย.'!P188+'เม.ย.-มิ.ย.'!R188+'เม.ย.-มิ.ย.'!S188</f>
        <v>0</v>
      </c>
      <c r="G188" s="507">
        <f>+'ก.ค.-ก.ย.'!E188+'ก.ค.-ก.ย.'!F188+'ก.ค.-ก.ย.'!G188+'ก.ค.-ก.ย.'!H188+'ก.ค.-ก.ย.'!I188+'ก.ค.-ก.ย.'!J188+'ก.ค.-ก.ย.'!K188+'ก.ค.-ก.ย.'!M188+'ก.ค.-ก.ย.'!N188+'ก.ค.-ก.ย.'!Q188+'ก.ค.-ก.ย.'!V188</f>
        <v>5810</v>
      </c>
      <c r="H188" s="507">
        <f t="shared" si="17"/>
        <v>5810</v>
      </c>
      <c r="I188" s="508">
        <f t="shared" si="18"/>
        <v>4190</v>
      </c>
      <c r="J188" s="244"/>
      <c r="K188" s="329"/>
      <c r="L188" s="330"/>
      <c r="M188" s="330"/>
    </row>
    <row r="189" spans="1:13" s="67" customFormat="1" ht="21" customHeight="1">
      <c r="A189" s="9"/>
      <c r="B189" s="130" t="s">
        <v>304</v>
      </c>
      <c r="C189" s="216">
        <f>5000+20000</f>
        <v>25000</v>
      </c>
      <c r="D189" s="506">
        <f>+'ต.ค.-ธ.ค.'!D190+'ต.ค.-ธ.ค.'!E190+'ต.ค.-ธ.ค.'!F190+'ต.ค.-ธ.ค.'!H190+'ต.ค.-ธ.ค.'!I190+'ต.ค.-ธ.ค.'!M190+'ต.ค.-ธ.ค.'!S190</f>
        <v>1758</v>
      </c>
      <c r="E189" s="506">
        <f>+'ม.ค.-มี.ค.'!E189+'ม.ค.-มี.ค.'!F189+'ม.ค.-มี.ค.'!H189+'ม.ค.-มี.ค.'!I189+'ม.ค.-มี.ค.'!K189+'ม.ค.-มี.ค.'!M189+'ม.ค.-มี.ค.'!N189+'ม.ค.-มี.ค.'!V189</f>
        <v>4640</v>
      </c>
      <c r="F189" s="230">
        <f>+'เม.ย.-มิ.ย.'!E189+'เม.ย.-มิ.ย.'!F189+'เม.ย.-มิ.ย.'!G189+'เม.ย.-มิ.ย.'!H189+'เม.ย.-มิ.ย.'!I189+'เม.ย.-มิ.ย.'!M189+'เม.ย.-มิ.ย.'!N189+'เม.ย.-มิ.ย.'!P189+'เม.ย.-มิ.ย.'!R189+'เม.ย.-มิ.ย.'!S189</f>
        <v>0</v>
      </c>
      <c r="G189" s="507">
        <f>+'ก.ค.-ก.ย.'!E189+'ก.ค.-ก.ย.'!F189+'ก.ค.-ก.ย.'!G189+'ก.ค.-ก.ย.'!H189+'ก.ค.-ก.ย.'!I189+'ก.ค.-ก.ย.'!J189+'ก.ค.-ก.ย.'!K189+'ก.ค.-ก.ย.'!M189+'ก.ค.-ก.ย.'!N189+'ก.ค.-ก.ย.'!Q189+'ก.ค.-ก.ย.'!V189</f>
        <v>11360</v>
      </c>
      <c r="H189" s="507">
        <f t="shared" si="17"/>
        <v>17758</v>
      </c>
      <c r="I189" s="508">
        <f t="shared" si="18"/>
        <v>7242</v>
      </c>
      <c r="J189" s="245"/>
      <c r="K189" s="329"/>
      <c r="L189" s="330"/>
      <c r="M189" s="330"/>
    </row>
    <row r="190" spans="1:13" s="67" customFormat="1" ht="21" customHeight="1">
      <c r="A190" s="9"/>
      <c r="B190" s="130" t="s">
        <v>332</v>
      </c>
      <c r="C190" s="216">
        <f>10000-10000+20000</f>
        <v>20000</v>
      </c>
      <c r="D190" s="506">
        <f>+'ต.ค.-ธ.ค.'!D191+'ต.ค.-ธ.ค.'!E191+'ต.ค.-ธ.ค.'!F191+'ต.ค.-ธ.ค.'!H191+'ต.ค.-ธ.ค.'!I191+'ต.ค.-ธ.ค.'!M191+'ต.ค.-ธ.ค.'!S191</f>
        <v>0</v>
      </c>
      <c r="E190" s="506">
        <f>+'ม.ค.-มี.ค.'!E190+'ม.ค.-มี.ค.'!F190+'ม.ค.-มี.ค.'!H190+'ม.ค.-มี.ค.'!I190+'ม.ค.-มี.ค.'!K190+'ม.ค.-มี.ค.'!M190+'ม.ค.-มี.ค.'!N190+'ม.ค.-มี.ค.'!V190</f>
        <v>0</v>
      </c>
      <c r="F190" s="230">
        <f>+'เม.ย.-มิ.ย.'!E190+'เม.ย.-มิ.ย.'!F190+'เม.ย.-มิ.ย.'!G190+'เม.ย.-มิ.ย.'!H190+'เม.ย.-มิ.ย.'!I190+'เม.ย.-มิ.ย.'!M190+'เม.ย.-มิ.ย.'!N190+'เม.ย.-มิ.ย.'!P190+'เม.ย.-มิ.ย.'!R190+'เม.ย.-มิ.ย.'!S190</f>
        <v>0</v>
      </c>
      <c r="G190" s="507">
        <f>+'ก.ค.-ก.ย.'!E190+'ก.ค.-ก.ย.'!F190+'ก.ค.-ก.ย.'!G190+'ก.ค.-ก.ย.'!H190+'ก.ค.-ก.ย.'!I190+'ก.ค.-ก.ย.'!J190+'ก.ค.-ก.ย.'!K190+'ก.ค.-ก.ย.'!M190+'ก.ค.-ก.ย.'!N190+'ก.ค.-ก.ย.'!Q190+'ก.ค.-ก.ย.'!V190</f>
        <v>0</v>
      </c>
      <c r="H190" s="507">
        <f>SUM(D190:G190)</f>
        <v>0</v>
      </c>
      <c r="I190" s="616">
        <f t="shared" si="18"/>
        <v>20000</v>
      </c>
      <c r="J190" s="245"/>
      <c r="K190" s="329"/>
      <c r="L190" s="330"/>
      <c r="M190" s="330"/>
    </row>
    <row r="191" spans="1:13" s="67" customFormat="1" ht="21" customHeight="1">
      <c r="A191" s="9"/>
      <c r="B191" s="130" t="s">
        <v>46</v>
      </c>
      <c r="C191" s="216">
        <f>80000-14000</f>
        <v>66000</v>
      </c>
      <c r="D191" s="506">
        <f>+'ต.ค.-ธ.ค.'!D192+'ต.ค.-ธ.ค.'!E192+'ต.ค.-ธ.ค.'!F192+'ต.ค.-ธ.ค.'!H192+'ต.ค.-ธ.ค.'!I192+'ต.ค.-ธ.ค.'!M192+'ต.ค.-ธ.ค.'!S192</f>
        <v>0</v>
      </c>
      <c r="E191" s="506">
        <f>+'ม.ค.-มี.ค.'!E191+'ม.ค.-มี.ค.'!F191+'ม.ค.-มี.ค.'!H191+'ม.ค.-มี.ค.'!I191+'ม.ค.-มี.ค.'!K191+'ม.ค.-มี.ค.'!M191+'ม.ค.-มี.ค.'!N191+'ม.ค.-มี.ค.'!V191</f>
        <v>0</v>
      </c>
      <c r="F191" s="230">
        <f>+'เม.ย.-มิ.ย.'!E191+'เม.ย.-มิ.ย.'!F191+'เม.ย.-มิ.ย.'!G191+'เม.ย.-มิ.ย.'!H191+'เม.ย.-มิ.ย.'!I191+'เม.ย.-มิ.ย.'!M191+'เม.ย.-มิ.ย.'!N191+'เม.ย.-มิ.ย.'!P191+'เม.ย.-มิ.ย.'!R191+'เม.ย.-มิ.ย.'!S191</f>
        <v>65658</v>
      </c>
      <c r="G191" s="507">
        <f>+'ก.ค.-ก.ย.'!E191+'ก.ค.-ก.ย.'!F191+'ก.ค.-ก.ย.'!G191+'ก.ค.-ก.ย.'!H191+'ก.ค.-ก.ย.'!I191+'ก.ค.-ก.ย.'!J191+'ก.ค.-ก.ย.'!K191+'ก.ค.-ก.ย.'!M191+'ก.ค.-ก.ย.'!N191+'ก.ค.-ก.ย.'!Q191+'ก.ค.-ก.ย.'!V191</f>
        <v>0</v>
      </c>
      <c r="H191" s="507">
        <f>SUM(D191:G191)</f>
        <v>65658</v>
      </c>
      <c r="I191" s="508">
        <f t="shared" si="18"/>
        <v>342</v>
      </c>
      <c r="J191" s="245"/>
      <c r="K191" s="329"/>
      <c r="L191" s="330"/>
      <c r="M191" s="330"/>
    </row>
    <row r="192" spans="1:13" s="67" customFormat="1" ht="21" customHeight="1">
      <c r="A192" s="9"/>
      <c r="B192" s="130" t="s">
        <v>316</v>
      </c>
      <c r="C192" s="216">
        <f>1216788-35000-2500-20000-12000</f>
        <v>1147288</v>
      </c>
      <c r="D192" s="509">
        <v>-8000</v>
      </c>
      <c r="E192" s="506">
        <f>+'ม.ค.-มี.ค.'!E192+'ม.ค.-มี.ค.'!F192+'ม.ค.-มี.ค.'!H192+'ม.ค.-มี.ค.'!I192+'ม.ค.-มี.ค.'!K192+'ม.ค.-มี.ค.'!M192+'ม.ค.-มี.ค.'!N192+'ม.ค.-มี.ค.'!V192</f>
        <v>171612.98</v>
      </c>
      <c r="F192" s="230">
        <f>+'เม.ย.-มิ.ย.'!E192+'เม.ย.-มิ.ย.'!F192+'เม.ย.-มิ.ย.'!G192+'เม.ย.-มิ.ย.'!H192+'เม.ย.-มิ.ย.'!I192+'เม.ย.-มิ.ย.'!M192+'เม.ย.-มิ.ย.'!N192+'เม.ย.-มิ.ย.'!P192+'เม.ย.-มิ.ย.'!R192+'เม.ย.-มิ.ย.'!S192</f>
        <v>248460.79999999999</v>
      </c>
      <c r="G192" s="507">
        <f>+'ก.ค.-ก.ย.'!E192+'ก.ค.-ก.ย.'!F192+'ก.ค.-ก.ย.'!G192+'ก.ค.-ก.ย.'!H192+'ก.ค.-ก.ย.'!I192+'ก.ค.-ก.ย.'!J192+'ก.ค.-ก.ย.'!K192+'ก.ค.-ก.ย.'!M192+'ก.ค.-ก.ย.'!N192+'ก.ค.-ก.ย.'!Q192+'ก.ค.-ก.ย.'!V192</f>
        <v>734938.87999999989</v>
      </c>
      <c r="H192" s="507">
        <f>SUM(D192:G192)-8000</f>
        <v>1139012.6599999999</v>
      </c>
      <c r="I192" s="508">
        <f>+C192-H192</f>
        <v>8275.3400000000838</v>
      </c>
      <c r="J192" s="245"/>
      <c r="K192" s="329"/>
      <c r="L192" s="330"/>
      <c r="M192" s="330"/>
    </row>
    <row r="193" spans="1:13" s="67" customFormat="1" ht="21" customHeight="1">
      <c r="A193" s="9"/>
      <c r="B193" s="130" t="s">
        <v>317</v>
      </c>
      <c r="C193" s="290">
        <v>0</v>
      </c>
      <c r="D193" s="506">
        <f>+'ต.ค.-ธ.ค.'!D194+'ต.ค.-ธ.ค.'!E194+'ต.ค.-ธ.ค.'!F194+'ต.ค.-ธ.ค.'!H194+'ต.ค.-ธ.ค.'!I194+'ต.ค.-ธ.ค.'!M194+'ต.ค.-ธ.ค.'!S194</f>
        <v>0</v>
      </c>
      <c r="E193" s="506">
        <f>+'ม.ค.-มี.ค.'!E193+'ม.ค.-มี.ค.'!F193+'ม.ค.-มี.ค.'!H193+'ม.ค.-มี.ค.'!I193+'ม.ค.-มี.ค.'!K193+'ม.ค.-มี.ค.'!M193+'ม.ค.-มี.ค.'!N193+'ม.ค.-มี.ค.'!V193</f>
        <v>0</v>
      </c>
      <c r="F193" s="230">
        <f>+'เม.ย.-มิ.ย.'!E193+'เม.ย.-มิ.ย.'!F193+'เม.ย.-มิ.ย.'!G193+'เม.ย.-มิ.ย.'!H193+'เม.ย.-มิ.ย.'!I193+'เม.ย.-มิ.ย.'!M193+'เม.ย.-มิ.ย.'!N193+'เม.ย.-มิ.ย.'!P193+'เม.ย.-มิ.ย.'!R193+'เม.ย.-มิ.ย.'!S193</f>
        <v>0</v>
      </c>
      <c r="G193" s="507">
        <f>+'ก.ค.-ก.ย.'!E193+'ก.ค.-ก.ย.'!F193+'ก.ค.-ก.ย.'!G193+'ก.ค.-ก.ย.'!H193+'ก.ค.-ก.ย.'!I193+'ก.ค.-ก.ย.'!J193+'ก.ค.-ก.ย.'!K193+'ก.ค.-ก.ย.'!M193+'ก.ค.-ก.ย.'!N193+'ก.ค.-ก.ย.'!Q193+'ก.ค.-ก.ย.'!V193</f>
        <v>0</v>
      </c>
      <c r="H193" s="507">
        <f t="shared" si="17"/>
        <v>0</v>
      </c>
      <c r="I193" s="508">
        <f t="shared" si="18"/>
        <v>0</v>
      </c>
      <c r="J193" s="244"/>
      <c r="K193" s="329"/>
      <c r="L193" s="330"/>
      <c r="M193" s="330"/>
    </row>
    <row r="194" spans="1:13" ht="21.75" customHeight="1">
      <c r="A194" s="9"/>
      <c r="B194" s="130" t="s">
        <v>318</v>
      </c>
      <c r="C194" s="216">
        <v>0</v>
      </c>
      <c r="D194" s="510">
        <v>0</v>
      </c>
      <c r="E194" s="510">
        <f>+'ม.ค.-มี.ค.'!E194+'ม.ค.-มี.ค.'!F194+'ม.ค.-มี.ค.'!H194+'ม.ค.-มี.ค.'!I194+'ม.ค.-มี.ค.'!K194+'ม.ค.-มี.ค.'!M194+'ม.ค.-มี.ค.'!N194+'ม.ค.-มี.ค.'!V194</f>
        <v>0</v>
      </c>
      <c r="F194" s="230">
        <f>+'เม.ย.-มิ.ย.'!E194+'เม.ย.-มิ.ย.'!F194+'เม.ย.-มิ.ย.'!G194+'เม.ย.-มิ.ย.'!H194+'เม.ย.-มิ.ย.'!I194+'เม.ย.-มิ.ย.'!M194+'เม.ย.-มิ.ย.'!N194+'เม.ย.-มิ.ย.'!P194+'เม.ย.-มิ.ย.'!R194+'เม.ย.-มิ.ย.'!S194</f>
        <v>0</v>
      </c>
      <c r="G194" s="507">
        <f>+'ก.ค.-ก.ย.'!E194+'ก.ค.-ก.ย.'!F194+'ก.ค.-ก.ย.'!G194+'ก.ค.-ก.ย.'!H194+'ก.ค.-ก.ย.'!I194+'ก.ค.-ก.ย.'!J194+'ก.ค.-ก.ย.'!K194+'ก.ค.-ก.ย.'!M194+'ก.ค.-ก.ย.'!N194+'ก.ค.-ก.ย.'!Q194+'ก.ค.-ก.ย.'!V194</f>
        <v>0</v>
      </c>
      <c r="H194" s="511">
        <f t="shared" si="17"/>
        <v>0</v>
      </c>
      <c r="I194" s="508">
        <f t="shared" si="18"/>
        <v>0</v>
      </c>
    </row>
    <row r="195" spans="1:13" ht="21.75" customHeight="1">
      <c r="A195" s="9"/>
      <c r="B195" s="185" t="s">
        <v>319</v>
      </c>
      <c r="C195" s="216">
        <f>388990+13160-25000</f>
        <v>377150</v>
      </c>
      <c r="D195" s="506">
        <f>+'ต.ค.-ธ.ค.'!D196+'ต.ค.-ธ.ค.'!E196+'ต.ค.-ธ.ค.'!F196+'ต.ค.-ธ.ค.'!H196+'ต.ค.-ธ.ค.'!I196+'ต.ค.-ธ.ค.'!M196+'ต.ค.-ธ.ค.'!S196</f>
        <v>0</v>
      </c>
      <c r="E195" s="506">
        <f>+'ม.ค.-มี.ค.'!E195+'ม.ค.-มี.ค.'!F195+'ม.ค.-มี.ค.'!H195+'ม.ค.-มี.ค.'!I195+'ม.ค.-มี.ค.'!K195+'ม.ค.-มี.ค.'!M195+'ม.ค.-มี.ค.'!N195+'ม.ค.-มี.ค.'!V195</f>
        <v>54614</v>
      </c>
      <c r="F195" s="230">
        <f>+'เม.ย.-มิ.ย.'!E195+'เม.ย.-มิ.ย.'!F195+'เม.ย.-มิ.ย.'!G195+'เม.ย.-มิ.ย.'!H195+'เม.ย.-มิ.ย.'!I195+'เม.ย.-มิ.ย.'!M195+'เม.ย.-มิ.ย.'!N195+'เม.ย.-มิ.ย.'!P195+'เม.ย.-มิ.ย.'!R195+'เม.ย.-มิ.ย.'!S195</f>
        <v>78420.44</v>
      </c>
      <c r="G195" s="507">
        <f>+'ก.ค.-ก.ย.'!E195+'ก.ค.-ก.ย.'!F195+'ก.ค.-ก.ย.'!G195+'ก.ค.-ก.ย.'!H195+'ก.ค.-ก.ย.'!I195+'ก.ค.-ก.ย.'!J195+'ก.ค.-ก.ย.'!K195+'ก.ค.-ก.ย.'!M195+'ก.ค.-ก.ย.'!N195+'ก.ค.-ก.ย.'!Q195+'ก.ค.-ก.ย.'!V195</f>
        <v>214451.75999999998</v>
      </c>
      <c r="H195" s="507">
        <f>SUM(D195:G195)</f>
        <v>347486.19999999995</v>
      </c>
      <c r="I195" s="616">
        <f t="shared" si="18"/>
        <v>29663.800000000047</v>
      </c>
      <c r="J195" s="244"/>
    </row>
    <row r="196" spans="1:13" ht="21.75" customHeight="1">
      <c r="A196" s="9"/>
      <c r="B196" s="185" t="s">
        <v>320</v>
      </c>
      <c r="C196" s="216">
        <v>0</v>
      </c>
      <c r="D196" s="506">
        <f>+'ต.ค.-ธ.ค.'!D197+'ต.ค.-ธ.ค.'!E197+'ต.ค.-ธ.ค.'!F197+'ต.ค.-ธ.ค.'!H197+'ต.ค.-ธ.ค.'!I197+'ต.ค.-ธ.ค.'!M197+'ต.ค.-ธ.ค.'!S197</f>
        <v>0</v>
      </c>
      <c r="E196" s="506">
        <f>+'ม.ค.-มี.ค.'!E196+'ม.ค.-มี.ค.'!F196+'ม.ค.-มี.ค.'!H196+'ม.ค.-มี.ค.'!I196+'ม.ค.-มี.ค.'!K196+'ม.ค.-มี.ค.'!M196+'ม.ค.-มี.ค.'!N196+'ม.ค.-มี.ค.'!V196</f>
        <v>0</v>
      </c>
      <c r="F196" s="230">
        <f>+'เม.ย.-มิ.ย.'!E196+'เม.ย.-มิ.ย.'!F196+'เม.ย.-มิ.ย.'!G196+'เม.ย.-มิ.ย.'!H196+'เม.ย.-มิ.ย.'!I196+'เม.ย.-มิ.ย.'!M196+'เม.ย.-มิ.ย.'!N196+'เม.ย.-มิ.ย.'!P196+'เม.ย.-มิ.ย.'!R196+'เม.ย.-มิ.ย.'!S196</f>
        <v>0</v>
      </c>
      <c r="G196" s="507">
        <f>+'ก.ค.-ก.ย.'!E196+'ก.ค.-ก.ย.'!F196+'ก.ค.-ก.ย.'!G196+'ก.ค.-ก.ย.'!H196+'ก.ค.-ก.ย.'!I196+'ก.ค.-ก.ย.'!J196+'ก.ค.-ก.ย.'!K196+'ก.ค.-ก.ย.'!M196+'ก.ค.-ก.ย.'!N196+'ก.ค.-ก.ย.'!Q196+'ก.ค.-ก.ย.'!V196</f>
        <v>0</v>
      </c>
      <c r="H196" s="507">
        <f t="shared" si="17"/>
        <v>0</v>
      </c>
      <c r="I196" s="508">
        <f t="shared" si="18"/>
        <v>0</v>
      </c>
    </row>
    <row r="197" spans="1:13" ht="21.75" customHeight="1">
      <c r="A197" s="9"/>
      <c r="B197" s="185" t="s">
        <v>321</v>
      </c>
      <c r="C197" s="216">
        <v>0</v>
      </c>
      <c r="D197" s="506">
        <f>+'ต.ค.-ธ.ค.'!D198+'ต.ค.-ธ.ค.'!E198+'ต.ค.-ธ.ค.'!F198+'ต.ค.-ธ.ค.'!H198+'ต.ค.-ธ.ค.'!I198+'ต.ค.-ธ.ค.'!M198+'ต.ค.-ธ.ค.'!S198</f>
        <v>0</v>
      </c>
      <c r="E197" s="506">
        <f>+'ม.ค.-มี.ค.'!E197+'ม.ค.-มี.ค.'!F197+'ม.ค.-มี.ค.'!H197+'ม.ค.-มี.ค.'!I197+'ม.ค.-มี.ค.'!K197+'ม.ค.-มี.ค.'!M197+'ม.ค.-มี.ค.'!N197+'ม.ค.-มี.ค.'!V197</f>
        <v>0</v>
      </c>
      <c r="F197" s="230">
        <f>+'เม.ย.-มิ.ย.'!E197+'เม.ย.-มิ.ย.'!F197+'เม.ย.-มิ.ย.'!G197+'เม.ย.-มิ.ย.'!H197+'เม.ย.-มิ.ย.'!I197+'เม.ย.-มิ.ย.'!M197+'เม.ย.-มิ.ย.'!N197+'เม.ย.-มิ.ย.'!P197+'เม.ย.-มิ.ย.'!R197+'เม.ย.-มิ.ย.'!S197</f>
        <v>0</v>
      </c>
      <c r="G197" s="507">
        <f>+'ก.ค.-ก.ย.'!E197+'ก.ค.-ก.ย.'!F197+'ก.ค.-ก.ย.'!G197+'ก.ค.-ก.ย.'!H197+'ก.ค.-ก.ย.'!I197+'ก.ค.-ก.ย.'!J197+'ก.ค.-ก.ย.'!K197+'ก.ค.-ก.ย.'!M197+'ก.ค.-ก.ย.'!N197+'ก.ค.-ก.ย.'!Q197+'ก.ค.-ก.ย.'!V197</f>
        <v>0</v>
      </c>
      <c r="H197" s="507">
        <f t="shared" si="17"/>
        <v>0</v>
      </c>
      <c r="I197" s="508">
        <f t="shared" si="18"/>
        <v>0</v>
      </c>
    </row>
    <row r="198" spans="1:13" s="168" customFormat="1" ht="21.75" customHeight="1">
      <c r="A198" s="165"/>
      <c r="B198" s="185" t="s">
        <v>322</v>
      </c>
      <c r="C198" s="216">
        <v>0</v>
      </c>
      <c r="D198" s="506">
        <f>+'ต.ค.-ธ.ค.'!D199+'ต.ค.-ธ.ค.'!E199+'ต.ค.-ธ.ค.'!F199+'ต.ค.-ธ.ค.'!H199+'ต.ค.-ธ.ค.'!I199+'ต.ค.-ธ.ค.'!M199+'ต.ค.-ธ.ค.'!S199</f>
        <v>0</v>
      </c>
      <c r="E198" s="506">
        <f>+'ม.ค.-มี.ค.'!E198+'ม.ค.-มี.ค.'!F198+'ม.ค.-มี.ค.'!H198+'ม.ค.-มี.ค.'!I198+'ม.ค.-มี.ค.'!K198+'ม.ค.-มี.ค.'!M198+'ม.ค.-มี.ค.'!N198+'ม.ค.-มี.ค.'!V198</f>
        <v>0</v>
      </c>
      <c r="F198" s="230">
        <f>+'เม.ย.-มิ.ย.'!E198+'เม.ย.-มิ.ย.'!F198+'เม.ย.-มิ.ย.'!G198+'เม.ย.-มิ.ย.'!H198+'เม.ย.-มิ.ย.'!I198+'เม.ย.-มิ.ย.'!M198+'เม.ย.-มิ.ย.'!N198+'เม.ย.-มิ.ย.'!P198+'เม.ย.-มิ.ย.'!R198+'เม.ย.-มิ.ย.'!S198</f>
        <v>0</v>
      </c>
      <c r="G198" s="507">
        <f>+'ก.ค.-ก.ย.'!E198+'ก.ค.-ก.ย.'!F198+'ก.ค.-ก.ย.'!G198+'ก.ค.-ก.ย.'!H198+'ก.ค.-ก.ย.'!I198+'ก.ค.-ก.ย.'!J198+'ก.ค.-ก.ย.'!K198+'ก.ค.-ก.ย.'!M198+'ก.ค.-ก.ย.'!N198+'ก.ค.-ก.ย.'!Q198+'ก.ค.-ก.ย.'!V198</f>
        <v>0</v>
      </c>
      <c r="H198" s="507">
        <f t="shared" si="17"/>
        <v>0</v>
      </c>
      <c r="I198" s="508">
        <f t="shared" si="18"/>
        <v>0</v>
      </c>
      <c r="J198" s="233"/>
      <c r="K198" s="331"/>
      <c r="L198" s="247"/>
      <c r="M198" s="247"/>
    </row>
    <row r="199" spans="1:13" ht="21.75" customHeight="1">
      <c r="A199" s="9"/>
      <c r="B199" s="185"/>
      <c r="C199" s="216"/>
      <c r="D199" s="506"/>
      <c r="E199" s="507"/>
      <c r="F199" s="230"/>
      <c r="G199" s="230"/>
      <c r="H199" s="507">
        <f t="shared" si="17"/>
        <v>0</v>
      </c>
      <c r="I199" s="508">
        <f t="shared" si="18"/>
        <v>0</v>
      </c>
      <c r="J199" s="244"/>
    </row>
    <row r="200" spans="1:13" s="183" customFormat="1" ht="20.25" customHeight="1">
      <c r="A200" s="9"/>
      <c r="B200" s="185"/>
      <c r="C200" s="216"/>
      <c r="D200" s="506"/>
      <c r="E200" s="507"/>
      <c r="F200" s="230"/>
      <c r="G200" s="230"/>
      <c r="H200" s="507">
        <f t="shared" si="17"/>
        <v>0</v>
      </c>
      <c r="I200" s="508">
        <f t="shared" si="18"/>
        <v>0</v>
      </c>
      <c r="J200" s="241"/>
      <c r="K200" s="339"/>
      <c r="L200" s="340"/>
      <c r="M200" s="340"/>
    </row>
    <row r="201" spans="1:13" ht="21.75" customHeight="1">
      <c r="A201" s="9"/>
      <c r="B201" s="185"/>
      <c r="C201" s="216"/>
      <c r="D201" s="506"/>
      <c r="E201" s="507"/>
      <c r="F201" s="230"/>
      <c r="G201" s="230"/>
      <c r="H201" s="507">
        <f t="shared" si="17"/>
        <v>0</v>
      </c>
      <c r="I201" s="508">
        <f t="shared" si="18"/>
        <v>0</v>
      </c>
    </row>
    <row r="202" spans="1:13" ht="21.75" customHeight="1">
      <c r="A202" s="9"/>
      <c r="B202" s="130"/>
      <c r="C202" s="216"/>
      <c r="D202" s="506"/>
      <c r="E202" s="507"/>
      <c r="F202" s="230"/>
      <c r="G202" s="230"/>
      <c r="H202" s="507">
        <f t="shared" si="17"/>
        <v>0</v>
      </c>
      <c r="I202" s="508">
        <f t="shared" si="18"/>
        <v>0</v>
      </c>
      <c r="J202" s="244"/>
    </row>
    <row r="203" spans="1:13" s="168" customFormat="1" ht="21.75" customHeight="1">
      <c r="A203" s="197"/>
      <c r="B203" s="198"/>
      <c r="C203" s="216"/>
      <c r="D203" s="506"/>
      <c r="E203" s="507"/>
      <c r="F203" s="230"/>
      <c r="G203" s="230"/>
      <c r="H203" s="507">
        <f t="shared" si="17"/>
        <v>0</v>
      </c>
      <c r="I203" s="508">
        <f t="shared" si="18"/>
        <v>0</v>
      </c>
      <c r="J203" s="244"/>
      <c r="K203" s="331"/>
      <c r="L203" s="247"/>
      <c r="M203" s="247"/>
    </row>
    <row r="204" spans="1:13" s="234" customFormat="1" ht="21.75" customHeight="1" thickBot="1">
      <c r="A204" s="46"/>
      <c r="B204" s="47" t="s">
        <v>5</v>
      </c>
      <c r="C204" s="170">
        <f>SUM(C178:C203)</f>
        <v>2643938</v>
      </c>
      <c r="D204" s="26">
        <f>SUM(D178:D203)</f>
        <v>98661.5</v>
      </c>
      <c r="E204" s="26">
        <f>SUM(E178:E203)</f>
        <v>459193.07999999996</v>
      </c>
      <c r="F204" s="26">
        <f>SUM(F178:F203)</f>
        <v>554832.85</v>
      </c>
      <c r="G204" s="26">
        <f>SUM(G178:G203)</f>
        <v>1352455.8399999999</v>
      </c>
      <c r="H204" s="26">
        <f>SUM(D204:G204)</f>
        <v>2465143.2699999996</v>
      </c>
      <c r="I204" s="139">
        <f>+C204-H204</f>
        <v>178794.73000000045</v>
      </c>
      <c r="J204" s="233"/>
      <c r="K204" s="331"/>
      <c r="L204" s="247"/>
      <c r="M204" s="247"/>
    </row>
    <row r="205" spans="1:13" s="168" customFormat="1" ht="21.75" customHeight="1" thickTop="1">
      <c r="A205" s="5" t="s">
        <v>114</v>
      </c>
      <c r="B205" s="6"/>
      <c r="C205" s="190"/>
      <c r="D205" s="512"/>
      <c r="E205" s="512"/>
      <c r="F205" s="512"/>
      <c r="G205" s="501"/>
      <c r="H205" s="501"/>
      <c r="I205" s="512"/>
      <c r="J205" s="233"/>
      <c r="K205" s="331"/>
      <c r="L205" s="247"/>
      <c r="M205" s="247"/>
    </row>
    <row r="206" spans="1:13" s="168" customFormat="1" ht="21.75" customHeight="1">
      <c r="A206" s="9"/>
      <c r="B206" s="130" t="s">
        <v>20</v>
      </c>
      <c r="C206" s="216">
        <f>240000+35000+1500+7700+10000+2000</f>
        <v>296200</v>
      </c>
      <c r="D206" s="508">
        <f>+'ต.ค.-ธ.ค.'!E207+'ต.ค.-ธ.ค.'!H207</f>
        <v>46787.21</v>
      </c>
      <c r="E206" s="508">
        <f>+'ม.ค.-มี.ค.'!E206+'ม.ค.-มี.ค.'!H206</f>
        <v>65192.31</v>
      </c>
      <c r="F206" s="508">
        <f>+'เม.ย.-มิ.ย.'!E206+'เม.ย.-มิ.ย.'!H206</f>
        <v>82314.01999999999</v>
      </c>
      <c r="G206" s="508">
        <f>+'ก.ค.-ก.ย.'!E206+'ก.ค.-ก.ย.'!H206</f>
        <v>97317.669999999984</v>
      </c>
      <c r="H206" s="508">
        <f>SUM(D206:G206)</f>
        <v>291611.20999999996</v>
      </c>
      <c r="I206" s="616">
        <f>+C206-H206</f>
        <v>4588.7900000000373</v>
      </c>
      <c r="J206" s="244"/>
      <c r="K206" s="331"/>
      <c r="L206" s="247"/>
      <c r="M206" s="247"/>
    </row>
    <row r="207" spans="1:13" s="172" customFormat="1" ht="21.75" customHeight="1">
      <c r="A207" s="9"/>
      <c r="B207" s="130" t="s">
        <v>283</v>
      </c>
      <c r="C207" s="216">
        <f>100000+12000</f>
        <v>112000</v>
      </c>
      <c r="D207" s="508">
        <f>+'ต.ค.-ธ.ค.'!E208+'ต.ค.-ธ.ค.'!H208</f>
        <v>15013.61</v>
      </c>
      <c r="E207" s="508">
        <f>+'ม.ค.-มี.ค.'!E207+'ม.ค.-มี.ค.'!H207</f>
        <v>24370.48</v>
      </c>
      <c r="F207" s="508">
        <f>+'เม.ย.-มิ.ย.'!E207+'เม.ย.-มิ.ย.'!H207</f>
        <v>22515.89</v>
      </c>
      <c r="G207" s="508">
        <f>+'ก.ค.-ก.ย.'!E207+'ก.ค.-ก.ย.'!H207</f>
        <v>30727.89</v>
      </c>
      <c r="H207" s="508">
        <f>SUM(D207:G207)</f>
        <v>92627.87</v>
      </c>
      <c r="I207" s="508">
        <f>+C207-H207</f>
        <v>19372.130000000005</v>
      </c>
      <c r="J207" s="244"/>
      <c r="K207" s="329"/>
      <c r="L207" s="330"/>
      <c r="M207" s="330"/>
    </row>
    <row r="208" spans="1:13" ht="21.75" customHeight="1">
      <c r="A208" s="9"/>
      <c r="B208" s="130" t="s">
        <v>284</v>
      </c>
      <c r="C208" s="216">
        <f>15000+3000</f>
        <v>18000</v>
      </c>
      <c r="D208" s="508">
        <f>+'ต.ค.-ธ.ค.'!E209+'ต.ค.-ธ.ค.'!H209</f>
        <v>3685</v>
      </c>
      <c r="E208" s="508">
        <f>+'ม.ค.-มี.ค.'!E208+'ม.ค.-มี.ค.'!H208</f>
        <v>10790</v>
      </c>
      <c r="F208" s="508">
        <f>+'เม.ย.-มิ.ย.'!E208+'เม.ย.-มิ.ย.'!H208</f>
        <v>487</v>
      </c>
      <c r="G208" s="508">
        <f>+'ก.ค.-ก.ย.'!E208+'ก.ค.-ก.ย.'!H208</f>
        <v>1546</v>
      </c>
      <c r="H208" s="508">
        <f>SUM(D208:G208)</f>
        <v>16508</v>
      </c>
      <c r="I208" s="508">
        <f>+C208-H208</f>
        <v>1492</v>
      </c>
      <c r="J208" s="244"/>
    </row>
    <row r="209" spans="1:13" ht="21.75" customHeight="1">
      <c r="A209" s="9"/>
      <c r="B209" s="130" t="s">
        <v>285</v>
      </c>
      <c r="C209" s="216">
        <f>72000+32000+16100</f>
        <v>120100</v>
      </c>
      <c r="D209" s="508">
        <f>+'ต.ค.-ธ.ค.'!E210+'ต.ค.-ธ.ค.'!H210</f>
        <v>41681.85</v>
      </c>
      <c r="E209" s="508">
        <f>+'ม.ค.-มี.ค.'!E209+'ม.ค.-มี.ค.'!H209</f>
        <v>18981.8</v>
      </c>
      <c r="F209" s="508">
        <f>+'เม.ย.-มิ.ย.'!E209+'เม.ย.-มิ.ย.'!H209</f>
        <v>32281.9</v>
      </c>
      <c r="G209" s="508">
        <f>+'ก.ค.-ก.ย.'!E209+'ก.ค.-ก.ย.'!H209</f>
        <v>22999.65</v>
      </c>
      <c r="H209" s="508">
        <f>SUM(D209:G209)</f>
        <v>115945.19999999998</v>
      </c>
      <c r="I209" s="508">
        <f>+C209-H209</f>
        <v>4154.8000000000175</v>
      </c>
      <c r="J209" s="244"/>
    </row>
    <row r="210" spans="1:13" s="221" customFormat="1" ht="21.75" customHeight="1" thickBot="1">
      <c r="A210" s="15"/>
      <c r="B210" s="14" t="s">
        <v>5</v>
      </c>
      <c r="C210" s="170">
        <f t="shared" ref="C210:I210" si="19">SUM(C206:C209)</f>
        <v>546300</v>
      </c>
      <c r="D210" s="26">
        <f t="shared" si="19"/>
        <v>107167.67</v>
      </c>
      <c r="E210" s="26">
        <f t="shared" si="19"/>
        <v>119334.59</v>
      </c>
      <c r="F210" s="26">
        <f t="shared" si="19"/>
        <v>137598.81</v>
      </c>
      <c r="G210" s="26">
        <f t="shared" si="19"/>
        <v>152591.21</v>
      </c>
      <c r="H210" s="26">
        <f t="shared" si="19"/>
        <v>516692.27999999991</v>
      </c>
      <c r="I210" s="139">
        <f t="shared" si="19"/>
        <v>29607.720000000059</v>
      </c>
      <c r="J210" s="233"/>
      <c r="K210" s="329"/>
      <c r="L210" s="330"/>
      <c r="M210" s="330"/>
    </row>
    <row r="211" spans="1:13" ht="21.75" customHeight="1" thickTop="1">
      <c r="A211" s="3" t="s">
        <v>122</v>
      </c>
      <c r="B211" s="4"/>
      <c r="C211" s="287"/>
      <c r="D211" s="230"/>
      <c r="E211" s="230"/>
      <c r="F211" s="230"/>
      <c r="G211" s="230"/>
      <c r="H211" s="230"/>
      <c r="I211" s="230"/>
    </row>
    <row r="212" spans="1:13" ht="21.75" customHeight="1">
      <c r="A212" s="169"/>
      <c r="B212" s="185" t="s">
        <v>323</v>
      </c>
      <c r="C212" s="190">
        <f>864000+25000</f>
        <v>889000</v>
      </c>
      <c r="D212" s="230">
        <f>+'ต.ค.-ธ.ค.'!E213+'ต.ค.-ธ.ค.'!F213+'ต.ค.-ธ.ค.'!H213+'ต.ค.-ธ.ค.'!I213</f>
        <v>216000</v>
      </c>
      <c r="E212" s="230">
        <f>+'ม.ค.-มี.ค.'!I212</f>
        <v>236000</v>
      </c>
      <c r="F212" s="230">
        <f>+'เม.ย.-มิ.ย.'!E212+'เม.ย.-มิ.ย.'!F212+'เม.ย.-มิ.ย.'!G212+'เม.ย.-มิ.ย.'!H212+'เม.ย.-มิ.ย.'!I212</f>
        <v>224000</v>
      </c>
      <c r="G212" s="230">
        <f>+'ก.ค.-ก.ย.'!E212+'ก.ค.-ก.ย.'!F212+'ก.ค.-ก.ย.'!H212+'ก.ค.-ก.ย.'!I212+'ก.ค.-ก.ย.'!J212+'ก.ค.-ก.ย.'!K212+'ก.ค.-ก.ย.'!M212+'ก.ค.-ก.ย.'!N212+'ก.ค.-ก.ย.'!Q212+'ก.ค.-ก.ย.'!V212</f>
        <v>228620</v>
      </c>
      <c r="H212" s="230">
        <f>SUM(D212:G212)</f>
        <v>904620</v>
      </c>
      <c r="I212" s="615">
        <f>+C212-H212</f>
        <v>-15620</v>
      </c>
    </row>
    <row r="213" spans="1:13" ht="21.75" customHeight="1">
      <c r="A213" s="169"/>
      <c r="B213" s="185" t="s">
        <v>324</v>
      </c>
      <c r="C213" s="190">
        <f>1096000</f>
        <v>1096000</v>
      </c>
      <c r="D213" s="230">
        <f>+'ต.ค.-ธ.ค.'!E214+'ต.ค.-ธ.ค.'!F214+'ต.ค.-ธ.ค.'!H214+'ต.ค.-ธ.ค.'!I214</f>
        <v>274000</v>
      </c>
      <c r="E213" s="230">
        <f>+'ม.ค.-มี.ค.'!I213</f>
        <v>282000</v>
      </c>
      <c r="F213" s="230">
        <f>+'เม.ย.-มิ.ย.'!E213+'เม.ย.-มิ.ย.'!F213+'เม.ย.-มิ.ย.'!G213+'เม.ย.-มิ.ย.'!H213+'เม.ย.-มิ.ย.'!I213</f>
        <v>276000</v>
      </c>
      <c r="G213" s="230">
        <f>+'ก.ค.-ก.ย.'!E213+'ก.ค.-ก.ย.'!F213+'ก.ค.-ก.ย.'!H213+'ก.ค.-ก.ย.'!I213+'ก.ค.-ก.ย.'!J213+'ก.ค.-ก.ย.'!K213+'ก.ค.-ก.ย.'!M213+'ก.ค.-ก.ย.'!N213+'ก.ค.-ก.ย.'!Q213+'ก.ค.-ก.ย.'!V213</f>
        <v>281860</v>
      </c>
      <c r="H213" s="230">
        <f>SUM(D213:G213)</f>
        <v>1113860</v>
      </c>
      <c r="I213" s="615">
        <f>+C213-H213</f>
        <v>-17860</v>
      </c>
    </row>
    <row r="214" spans="1:13" ht="21.75" customHeight="1">
      <c r="A214" s="169"/>
      <c r="B214" s="185" t="s">
        <v>325</v>
      </c>
      <c r="C214" s="190">
        <f>580000</f>
        <v>580000</v>
      </c>
      <c r="D214" s="230">
        <f>+'ต.ค.-ธ.ค.'!E215+'ต.ค.-ธ.ค.'!F215+'ต.ค.-ธ.ค.'!H215+'ต.ค.-ธ.ค.'!I215</f>
        <v>145000</v>
      </c>
      <c r="E214" s="230">
        <f>+'ม.ค.-มี.ค.'!I214</f>
        <v>140000</v>
      </c>
      <c r="F214" s="230">
        <f>+'เม.ย.-มิ.ย.'!E214+'เม.ย.-มิ.ย.'!F214+'เม.ย.-มิ.ย.'!G214+'เม.ย.-มิ.ย.'!H214+'เม.ย.-มิ.ย.'!I214</f>
        <v>140000</v>
      </c>
      <c r="G214" s="230">
        <f>+'ก.ค.-ก.ย.'!E214+'ก.ค.-ก.ย.'!F214+'ก.ค.-ก.ย.'!H214+'ก.ค.-ก.ย.'!I214+'ก.ค.-ก.ย.'!J214+'ก.ค.-ก.ย.'!K214+'ก.ค.-ก.ย.'!M214+'ก.ค.-ก.ย.'!N214+'ก.ค.-ก.ย.'!Q214+'ก.ค.-ก.ย.'!V214</f>
        <v>142680</v>
      </c>
      <c r="H214" s="230">
        <f>SUM(D214:G214)</f>
        <v>567680</v>
      </c>
      <c r="I214" s="230">
        <f>+C214-H214</f>
        <v>12320</v>
      </c>
    </row>
    <row r="215" spans="1:13" ht="21.75" customHeight="1">
      <c r="A215" s="169"/>
      <c r="B215" s="185" t="s">
        <v>351</v>
      </c>
      <c r="C215" s="190">
        <v>223000</v>
      </c>
      <c r="D215" s="230">
        <f>+'ต.ค.-ธ.ค.'!E216+'ต.ค.-ธ.ค.'!F216+'ต.ค.-ธ.ค.'!H216+'ต.ค.-ธ.ค.'!I216</f>
        <v>0</v>
      </c>
      <c r="E215" s="230">
        <f>+'ม.ค.-มี.ค.'!I215</f>
        <v>0</v>
      </c>
      <c r="F215" s="230">
        <f>+'เม.ย.-มิ.ย.'!E215+'เม.ย.-มิ.ย.'!F215+'เม.ย.-มิ.ย.'!G215+'เม.ย.-มิ.ย.'!H215+'เม.ย.-มิ.ย.'!I215</f>
        <v>0</v>
      </c>
      <c r="G215" s="230">
        <f>+'ก.ค.-ก.ย.'!E215+'ก.ค.-ก.ย.'!F215+'ก.ค.-ก.ย.'!H215+'ก.ค.-ก.ย.'!I215+'ก.ค.-ก.ย.'!J215+'ก.ค.-ก.ย.'!K215+'ก.ค.-ก.ย.'!M215+'ก.ค.-ก.ย.'!N215+'ก.ค.-ก.ย.'!Q215+'ก.ค.-ก.ย.'!V215</f>
        <v>0</v>
      </c>
      <c r="H215" s="230">
        <f>SUM(D215:G215)</f>
        <v>0</v>
      </c>
      <c r="I215" s="230">
        <f>+C215-H215</f>
        <v>223000</v>
      </c>
    </row>
    <row r="216" spans="1:13" ht="21.75" customHeight="1">
      <c r="A216" s="169"/>
      <c r="B216" s="185" t="s">
        <v>442</v>
      </c>
      <c r="C216" s="190">
        <v>100000</v>
      </c>
      <c r="D216" s="230"/>
      <c r="E216" s="230"/>
      <c r="F216" s="230"/>
      <c r="G216" s="230">
        <f>+'ก.ค.-ก.ย.'!E216+'ก.ค.-ก.ย.'!F216+'ก.ค.-ก.ย.'!H216+'ก.ค.-ก.ย.'!I216+'ก.ค.-ก.ย.'!J216+'ก.ค.-ก.ย.'!K216+'ก.ค.-ก.ย.'!M216+'ก.ค.-ก.ย.'!N216+'ก.ค.-ก.ย.'!Q216+'ก.ค.-ก.ย.'!V216</f>
        <v>100000</v>
      </c>
      <c r="H216" s="230">
        <f>SUM(D216:G216)</f>
        <v>100000</v>
      </c>
      <c r="I216" s="230">
        <f>+C216-H216</f>
        <v>0</v>
      </c>
    </row>
    <row r="217" spans="1:13" ht="21.75" customHeight="1">
      <c r="A217" s="169"/>
      <c r="B217" s="185"/>
      <c r="C217" s="190"/>
      <c r="D217" s="230"/>
      <c r="E217" s="230"/>
      <c r="F217" s="230"/>
      <c r="G217" s="230"/>
      <c r="H217" s="230"/>
      <c r="I217" s="230"/>
    </row>
    <row r="218" spans="1:13" ht="21.75" customHeight="1">
      <c r="A218" s="169"/>
      <c r="B218" s="185"/>
      <c r="C218" s="190"/>
      <c r="D218" s="230"/>
      <c r="E218" s="230"/>
      <c r="F218" s="230"/>
      <c r="G218" s="230"/>
      <c r="H218" s="230"/>
      <c r="I218" s="230"/>
    </row>
    <row r="219" spans="1:13" ht="21.75" customHeight="1">
      <c r="A219" s="5"/>
      <c r="B219" s="185"/>
      <c r="C219" s="216"/>
      <c r="D219" s="230"/>
      <c r="E219" s="230"/>
      <c r="F219" s="230"/>
      <c r="G219" s="230"/>
      <c r="H219" s="230"/>
      <c r="I219" s="230"/>
    </row>
    <row r="220" spans="1:13" ht="21.75" customHeight="1">
      <c r="A220" s="5"/>
      <c r="B220" s="130"/>
      <c r="C220" s="285"/>
      <c r="D220" s="230"/>
      <c r="E220" s="230"/>
      <c r="F220" s="230"/>
      <c r="G220" s="230"/>
      <c r="H220" s="230"/>
      <c r="I220" s="230"/>
    </row>
    <row r="221" spans="1:13" s="221" customFormat="1" ht="21.75" customHeight="1" thickBot="1">
      <c r="A221" s="15"/>
      <c r="B221" s="14" t="s">
        <v>5</v>
      </c>
      <c r="C221" s="170">
        <f t="shared" ref="C221:I221" si="20">SUM(C212:C220)</f>
        <v>2888000</v>
      </c>
      <c r="D221" s="26">
        <f t="shared" si="20"/>
        <v>635000</v>
      </c>
      <c r="E221" s="26">
        <f t="shared" si="20"/>
        <v>658000</v>
      </c>
      <c r="F221" s="26">
        <f t="shared" si="20"/>
        <v>640000</v>
      </c>
      <c r="G221" s="26">
        <f t="shared" si="20"/>
        <v>753160</v>
      </c>
      <c r="H221" s="26">
        <f t="shared" si="20"/>
        <v>2686160</v>
      </c>
      <c r="I221" s="139">
        <f t="shared" si="20"/>
        <v>201840</v>
      </c>
      <c r="J221" s="233"/>
      <c r="K221" s="329"/>
      <c r="L221" s="330"/>
      <c r="M221" s="330"/>
    </row>
    <row r="222" spans="1:13" ht="21.75" customHeight="1" thickTop="1">
      <c r="A222" s="20" t="s">
        <v>71</v>
      </c>
      <c r="B222" s="82"/>
      <c r="C222" s="291"/>
      <c r="D222" s="230"/>
      <c r="E222" s="230"/>
      <c r="F222" s="230"/>
      <c r="G222" s="230"/>
      <c r="H222" s="230"/>
      <c r="I222" s="230"/>
    </row>
    <row r="223" spans="1:13" ht="21.75" customHeight="1">
      <c r="A223" s="66"/>
      <c r="B223" s="96"/>
      <c r="C223" s="216"/>
      <c r="D223" s="230"/>
      <c r="E223" s="230"/>
      <c r="F223" s="230"/>
      <c r="G223" s="230"/>
      <c r="H223" s="230"/>
      <c r="I223" s="230"/>
    </row>
    <row r="224" spans="1:13" s="168" customFormat="1" ht="21.75" customHeight="1" thickBot="1">
      <c r="A224" s="167"/>
      <c r="B224" s="95" t="s">
        <v>5</v>
      </c>
      <c r="C224" s="292">
        <f>SUM(C222:C223)</f>
        <v>0</v>
      </c>
      <c r="D224" s="236">
        <f t="shared" ref="D224:I224" si="21">SUM(D223)</f>
        <v>0</v>
      </c>
      <c r="E224" s="236">
        <f t="shared" si="21"/>
        <v>0</v>
      </c>
      <c r="F224" s="236">
        <f t="shared" si="21"/>
        <v>0</v>
      </c>
      <c r="G224" s="236">
        <f t="shared" si="21"/>
        <v>0</v>
      </c>
      <c r="H224" s="236">
        <f t="shared" si="21"/>
        <v>0</v>
      </c>
      <c r="I224" s="513">
        <f t="shared" si="21"/>
        <v>0</v>
      </c>
      <c r="J224" s="233"/>
      <c r="K224" s="331"/>
      <c r="L224" s="247"/>
      <c r="M224" s="247"/>
    </row>
    <row r="225" spans="1:13" s="172" customFormat="1" ht="21.75" customHeight="1" thickTop="1">
      <c r="A225" s="20" t="s">
        <v>115</v>
      </c>
      <c r="B225" s="284"/>
      <c r="C225" s="293"/>
      <c r="D225" s="505"/>
      <c r="E225" s="505"/>
      <c r="F225" s="505"/>
      <c r="G225" s="505"/>
      <c r="H225" s="505"/>
      <c r="I225" s="505"/>
      <c r="J225" s="233"/>
      <c r="K225" s="329"/>
      <c r="L225" s="330"/>
      <c r="M225" s="330"/>
    </row>
    <row r="226" spans="1:13" s="172" customFormat="1" ht="21.75" customHeight="1">
      <c r="A226" s="20"/>
      <c r="B226" s="252" t="s">
        <v>291</v>
      </c>
      <c r="C226" s="293"/>
      <c r="D226" s="514"/>
      <c r="E226" s="514"/>
      <c r="F226" s="514"/>
      <c r="G226" s="514"/>
      <c r="H226" s="514"/>
      <c r="I226" s="514"/>
      <c r="J226" s="233"/>
      <c r="K226" s="329"/>
      <c r="L226" s="330"/>
      <c r="M226" s="330"/>
    </row>
    <row r="227" spans="1:13" ht="21.75" customHeight="1">
      <c r="A227" s="20"/>
      <c r="B227" s="186" t="s">
        <v>286</v>
      </c>
      <c r="C227" s="294">
        <v>10000</v>
      </c>
      <c r="D227" s="230"/>
      <c r="E227" s="230">
        <f>+'ม.ค.-มี.ค.'!E227+'ม.ค.-มี.ค.'!F227+'ม.ค.-มี.ค.'!H227+'ม.ค.-มี.ค.'!I227+'ม.ค.-มี.ค.'!K227+'ม.ค.-มี.ค.'!M227+'ม.ค.-มี.ค.'!N227+'ม.ค.-มี.ค.'!V227</f>
        <v>0</v>
      </c>
      <c r="F227" s="230">
        <f>+'เม.ย.-มิ.ย.'!E227+'เม.ย.-มิ.ย.'!F227+'เม.ย.-มิ.ย.'!G227+'เม.ย.-มิ.ย.'!H227+'เม.ย.-มิ.ย.'!I227+'เม.ย.-มิ.ย.'!M227+'เม.ย.-มิ.ย.'!N227+'เม.ย.-มิ.ย.'!P227+'เม.ย.-มิ.ย.'!R227+'เม.ย.-มิ.ย.'!S227</f>
        <v>0</v>
      </c>
      <c r="G227" s="230">
        <f>+'ก.ค.-ก.ย.'!E227+'ก.ค.-ก.ย.'!F227+'ก.ค.-ก.ย.'!G227+'ก.ค.-ก.ย.'!H227+'ก.ค.-ก.ย.'!I227+'ก.ค.-ก.ย.'!J227+'ก.ค.-ก.ย.'!K227+'ก.ค.-ก.ย.'!M227+'ก.ค.-ก.ย.'!N227+'ก.ค.-ก.ย.'!Q227+'ก.ค.-ก.ย.'!V227</f>
        <v>10000</v>
      </c>
      <c r="H227" s="230">
        <f>SUM(D227:G227)</f>
        <v>10000</v>
      </c>
      <c r="I227" s="230">
        <f>+C227-H227</f>
        <v>0</v>
      </c>
    </row>
    <row r="228" spans="1:13" ht="21.75" customHeight="1">
      <c r="A228" s="20"/>
      <c r="B228" s="186" t="s">
        <v>287</v>
      </c>
      <c r="C228" s="294">
        <v>4500</v>
      </c>
      <c r="D228" s="230"/>
      <c r="E228" s="230">
        <f>+'ม.ค.-มี.ค.'!E228+'ม.ค.-มี.ค.'!F228+'ม.ค.-มี.ค.'!H228+'ม.ค.-มี.ค.'!I228+'ม.ค.-มี.ค.'!K228+'ม.ค.-มี.ค.'!M228+'ม.ค.-มี.ค.'!N228+'ม.ค.-มี.ค.'!V228</f>
        <v>0</v>
      </c>
      <c r="F228" s="230">
        <f>+'เม.ย.-มิ.ย.'!E228+'เม.ย.-มิ.ย.'!F228+'เม.ย.-มิ.ย.'!G228+'เม.ย.-มิ.ย.'!H228+'เม.ย.-มิ.ย.'!I228+'เม.ย.-มิ.ย.'!M228+'เม.ย.-มิ.ย.'!N228+'เม.ย.-มิ.ย.'!P228+'เม.ย.-มิ.ย.'!R228+'เม.ย.-มิ.ย.'!S228</f>
        <v>0</v>
      </c>
      <c r="G228" s="230">
        <f>+'ก.ค.-ก.ย.'!E228+'ก.ค.-ก.ย.'!F228+'ก.ค.-ก.ย.'!G228+'ก.ค.-ก.ย.'!H228+'ก.ค.-ก.ย.'!I228+'ก.ค.-ก.ย.'!J228+'ก.ค.-ก.ย.'!K228+'ก.ค.-ก.ย.'!M228+'ก.ค.-ก.ย.'!N228+'ก.ค.-ก.ย.'!Q228+'ก.ค.-ก.ย.'!V228</f>
        <v>2700</v>
      </c>
      <c r="H228" s="230">
        <f t="shared" ref="H228:H234" si="22">SUM(D228:G228)</f>
        <v>2700</v>
      </c>
      <c r="I228" s="230">
        <f t="shared" ref="I228:I234" si="23">+C228-H228</f>
        <v>1800</v>
      </c>
    </row>
    <row r="229" spans="1:13" ht="21.75" customHeight="1">
      <c r="A229" s="20"/>
      <c r="B229" s="186" t="s">
        <v>288</v>
      </c>
      <c r="C229" s="294">
        <v>3000</v>
      </c>
      <c r="D229" s="230"/>
      <c r="E229" s="230">
        <f>+'ม.ค.-มี.ค.'!E229+'ม.ค.-มี.ค.'!F229+'ม.ค.-มี.ค.'!H229+'ม.ค.-มี.ค.'!I229+'ม.ค.-มี.ค.'!K229+'ม.ค.-มี.ค.'!M229+'ม.ค.-มี.ค.'!N229+'ม.ค.-มี.ค.'!V229</f>
        <v>1600</v>
      </c>
      <c r="F229" s="230">
        <f>+'เม.ย.-มิ.ย.'!E229+'เม.ย.-มิ.ย.'!F229+'เม.ย.-มิ.ย.'!G229+'เม.ย.-มิ.ย.'!H229+'เม.ย.-มิ.ย.'!I229+'เม.ย.-มิ.ย.'!M229+'เม.ย.-มิ.ย.'!N229+'เม.ย.-มิ.ย.'!P229+'เม.ย.-มิ.ย.'!R229+'เม.ย.-มิ.ย.'!S229</f>
        <v>0</v>
      </c>
      <c r="G229" s="230">
        <f>+'ก.ค.-ก.ย.'!E229+'ก.ค.-ก.ย.'!F229+'ก.ค.-ก.ย.'!G229+'ก.ค.-ก.ย.'!H229+'ก.ค.-ก.ย.'!I229+'ก.ค.-ก.ย.'!J229+'ก.ค.-ก.ย.'!K229+'ก.ค.-ก.ย.'!M229+'ก.ค.-ก.ย.'!N229+'ก.ค.-ก.ย.'!Q229+'ก.ค.-ก.ย.'!V229</f>
        <v>0</v>
      </c>
      <c r="H229" s="230">
        <f t="shared" si="22"/>
        <v>1600</v>
      </c>
      <c r="I229" s="230">
        <f t="shared" si="23"/>
        <v>1400</v>
      </c>
    </row>
    <row r="230" spans="1:13" ht="21.75" customHeight="1">
      <c r="A230" s="20"/>
      <c r="B230" s="186" t="s">
        <v>289</v>
      </c>
      <c r="C230" s="294">
        <v>20000</v>
      </c>
      <c r="D230" s="230"/>
      <c r="E230" s="230">
        <f>+'ม.ค.-มี.ค.'!E230+'ม.ค.-มี.ค.'!F230+'ม.ค.-มี.ค.'!H230+'ม.ค.-มี.ค.'!I230+'ม.ค.-มี.ค.'!K230+'ม.ค.-มี.ค.'!M230+'ม.ค.-มี.ค.'!N230+'ม.ค.-มี.ค.'!V230</f>
        <v>0</v>
      </c>
      <c r="F230" s="230">
        <f>+'เม.ย.-มิ.ย.'!E230+'เม.ย.-มิ.ย.'!F230+'เม.ย.-มิ.ย.'!G230+'เม.ย.-มิ.ย.'!H230+'เม.ย.-มิ.ย.'!I230+'เม.ย.-มิ.ย.'!M230+'เม.ย.-มิ.ย.'!N230+'เม.ย.-มิ.ย.'!P230+'เม.ย.-มิ.ย.'!R230+'เม.ย.-มิ.ย.'!S230</f>
        <v>0</v>
      </c>
      <c r="G230" s="230">
        <f>+'ก.ค.-ก.ย.'!E230+'ก.ค.-ก.ย.'!F230+'ก.ค.-ก.ย.'!G230+'ก.ค.-ก.ย.'!H230+'ก.ค.-ก.ย.'!I230+'ก.ค.-ก.ย.'!J230+'ก.ค.-ก.ย.'!K230+'ก.ค.-ก.ย.'!M230+'ก.ค.-ก.ย.'!N230+'ก.ค.-ก.ย.'!Q230+'ก.ค.-ก.ย.'!V230</f>
        <v>19800</v>
      </c>
      <c r="H230" s="230">
        <f t="shared" si="22"/>
        <v>19800</v>
      </c>
      <c r="I230" s="230">
        <f t="shared" si="23"/>
        <v>200</v>
      </c>
    </row>
    <row r="231" spans="1:13" ht="21.75" customHeight="1">
      <c r="A231" s="20"/>
      <c r="B231" s="186" t="s">
        <v>290</v>
      </c>
      <c r="C231" s="295">
        <f>5500+5500</f>
        <v>11000</v>
      </c>
      <c r="D231" s="230"/>
      <c r="E231" s="230">
        <f>+'ม.ค.-มี.ค.'!E231+'ม.ค.-มี.ค.'!F231+'ม.ค.-มี.ค.'!H231+'ม.ค.-มี.ค.'!I231+'ม.ค.-มี.ค.'!K231+'ม.ค.-มี.ค.'!M231+'ม.ค.-มี.ค.'!N231+'ม.ค.-มี.ค.'!V231</f>
        <v>0</v>
      </c>
      <c r="F231" s="230">
        <f>+'เม.ย.-มิ.ย.'!E231+'เม.ย.-มิ.ย.'!F231+'เม.ย.-มิ.ย.'!G231+'เม.ย.-มิ.ย.'!H231+'เม.ย.-มิ.ย.'!I231+'เม.ย.-มิ.ย.'!M231+'เม.ย.-มิ.ย.'!N231+'เม.ย.-มิ.ย.'!P231+'เม.ย.-มิ.ย.'!R231+'เม.ย.-มิ.ย.'!S231</f>
        <v>0</v>
      </c>
      <c r="G231" s="230">
        <f>+'ก.ค.-ก.ย.'!E231+'ก.ค.-ก.ย.'!F231+'ก.ค.-ก.ย.'!G231+'ก.ค.-ก.ย.'!H231+'ก.ค.-ก.ย.'!I231+'ก.ค.-ก.ย.'!J231+'ก.ค.-ก.ย.'!K231+'ก.ค.-ก.ย.'!M231+'ก.ค.-ก.ย.'!N231+'ก.ค.-ก.ย.'!Q231+'ก.ค.-ก.ย.'!V231</f>
        <v>0</v>
      </c>
      <c r="H231" s="230">
        <f t="shared" si="22"/>
        <v>0</v>
      </c>
      <c r="I231" s="230">
        <f t="shared" si="23"/>
        <v>11000</v>
      </c>
    </row>
    <row r="232" spans="1:13" ht="21.75" customHeight="1">
      <c r="A232" s="20"/>
      <c r="B232" s="186" t="s">
        <v>305</v>
      </c>
      <c r="C232" s="295">
        <v>16000</v>
      </c>
      <c r="D232" s="230"/>
      <c r="E232" s="230">
        <f>+'ม.ค.-มี.ค.'!E232+'ม.ค.-มี.ค.'!F232+'ม.ค.-มี.ค.'!H232+'ม.ค.-มี.ค.'!I232+'ม.ค.-มี.ค.'!K232+'ม.ค.-มี.ค.'!M232+'ม.ค.-มี.ค.'!N232+'ม.ค.-มี.ค.'!V232</f>
        <v>0</v>
      </c>
      <c r="F232" s="230">
        <f>+'เม.ย.-มิ.ย.'!E232+'เม.ย.-มิ.ย.'!F232+'เม.ย.-มิ.ย.'!G232+'เม.ย.-มิ.ย.'!H232+'เม.ย.-มิ.ย.'!I232+'เม.ย.-มิ.ย.'!M232+'เม.ย.-มิ.ย.'!N232+'เม.ย.-มิ.ย.'!P232+'เม.ย.-มิ.ย.'!R232+'เม.ย.-มิ.ย.'!S232</f>
        <v>0</v>
      </c>
      <c r="G232" s="230">
        <f>+'ก.ค.-ก.ย.'!E232+'ก.ค.-ก.ย.'!F232+'ก.ค.-ก.ย.'!G232+'ก.ค.-ก.ย.'!H232+'ก.ค.-ก.ย.'!I232+'ก.ค.-ก.ย.'!J232+'ก.ค.-ก.ย.'!K232+'ก.ค.-ก.ย.'!M232+'ก.ค.-ก.ย.'!N232+'ก.ค.-ก.ย.'!Q232+'ก.ค.-ก.ย.'!V232</f>
        <v>16000</v>
      </c>
      <c r="H232" s="230">
        <f t="shared" si="22"/>
        <v>16000</v>
      </c>
      <c r="I232" s="230">
        <f t="shared" si="23"/>
        <v>0</v>
      </c>
    </row>
    <row r="233" spans="1:13" ht="21.75" customHeight="1">
      <c r="A233" s="20"/>
      <c r="B233" s="186" t="s">
        <v>334</v>
      </c>
      <c r="C233" s="295">
        <v>4500</v>
      </c>
      <c r="D233" s="230"/>
      <c r="E233" s="230">
        <f>+'ม.ค.-มี.ค.'!E233+'ม.ค.-มี.ค.'!F233+'ม.ค.-มี.ค.'!H233+'ม.ค.-มี.ค.'!I233+'ม.ค.-มี.ค.'!K233+'ม.ค.-มี.ค.'!M233+'ม.ค.-มี.ค.'!N233+'ม.ค.-มี.ค.'!V233</f>
        <v>0</v>
      </c>
      <c r="F233" s="230">
        <f>+'เม.ย.-มิ.ย.'!E233+'เม.ย.-มิ.ย.'!F233+'เม.ย.-มิ.ย.'!G233+'เม.ย.-มิ.ย.'!H233+'เม.ย.-มิ.ย.'!I233+'เม.ย.-มิ.ย.'!M233+'เม.ย.-มิ.ย.'!N233+'เม.ย.-มิ.ย.'!P233+'เม.ย.-มิ.ย.'!R233+'เม.ย.-มิ.ย.'!S233</f>
        <v>0</v>
      </c>
      <c r="G233" s="230">
        <f>+'ก.ค.-ก.ย.'!E233+'ก.ค.-ก.ย.'!F233+'ก.ค.-ก.ย.'!G233+'ก.ค.-ก.ย.'!H233+'ก.ค.-ก.ย.'!I233+'ก.ค.-ก.ย.'!J233+'ก.ค.-ก.ย.'!K233+'ก.ค.-ก.ย.'!M233+'ก.ค.-ก.ย.'!N233+'ก.ค.-ก.ย.'!Q233+'ก.ค.-ก.ย.'!V233</f>
        <v>0</v>
      </c>
      <c r="H233" s="230">
        <f t="shared" si="22"/>
        <v>0</v>
      </c>
      <c r="I233" s="230">
        <f t="shared" si="23"/>
        <v>4500</v>
      </c>
    </row>
    <row r="234" spans="1:13" ht="21.75" customHeight="1">
      <c r="A234" s="20"/>
      <c r="B234" s="186" t="s">
        <v>335</v>
      </c>
      <c r="C234" s="295">
        <v>4500</v>
      </c>
      <c r="D234" s="230"/>
      <c r="E234" s="230">
        <f>+'ม.ค.-มี.ค.'!E234+'ม.ค.-มี.ค.'!F234+'ม.ค.-มี.ค.'!H234+'ม.ค.-มี.ค.'!I234+'ม.ค.-มี.ค.'!K234+'ม.ค.-มี.ค.'!M234+'ม.ค.-มี.ค.'!N234+'ม.ค.-มี.ค.'!V234</f>
        <v>0</v>
      </c>
      <c r="F234" s="230">
        <f>+'เม.ย.-มิ.ย.'!E234+'เม.ย.-มิ.ย.'!F234+'เม.ย.-มิ.ย.'!G234+'เม.ย.-มิ.ย.'!H234+'เม.ย.-มิ.ย.'!I234+'เม.ย.-มิ.ย.'!M234+'เม.ย.-มิ.ย.'!N234+'เม.ย.-มิ.ย.'!P234+'เม.ย.-มิ.ย.'!R234+'เม.ย.-มิ.ย.'!S234</f>
        <v>0</v>
      </c>
      <c r="G234" s="230">
        <f>+'ก.ค.-ก.ย.'!E234+'ก.ค.-ก.ย.'!F234+'ก.ค.-ก.ย.'!G234+'ก.ค.-ก.ย.'!H234+'ก.ค.-ก.ย.'!I234+'ก.ค.-ก.ย.'!J234+'ก.ค.-ก.ย.'!K234+'ก.ค.-ก.ย.'!M234+'ก.ค.-ก.ย.'!N234+'ก.ค.-ก.ย.'!Q234+'ก.ค.-ก.ย.'!V234</f>
        <v>0</v>
      </c>
      <c r="H234" s="230">
        <f t="shared" si="22"/>
        <v>0</v>
      </c>
      <c r="I234" s="230">
        <f t="shared" si="23"/>
        <v>4500</v>
      </c>
    </row>
    <row r="235" spans="1:13" s="364" customFormat="1" ht="21.75" customHeight="1" thickBot="1">
      <c r="A235" s="46"/>
      <c r="B235" s="492"/>
      <c r="C235" s="493"/>
      <c r="D235" s="515">
        <f t="shared" ref="D235:I235" si="24">SUM(D227:D234)</f>
        <v>0</v>
      </c>
      <c r="E235" s="515">
        <f t="shared" si="24"/>
        <v>1600</v>
      </c>
      <c r="F235" s="515">
        <f t="shared" si="24"/>
        <v>0</v>
      </c>
      <c r="G235" s="515">
        <f t="shared" si="24"/>
        <v>48500</v>
      </c>
      <c r="H235" s="515">
        <f t="shared" si="24"/>
        <v>50100</v>
      </c>
      <c r="I235" s="516">
        <f t="shared" si="24"/>
        <v>23400</v>
      </c>
      <c r="J235" s="233"/>
      <c r="K235" s="329"/>
      <c r="L235" s="330"/>
      <c r="M235" s="330"/>
    </row>
    <row r="236" spans="1:13" ht="21.75" customHeight="1" thickTop="1">
      <c r="A236" s="20"/>
      <c r="B236" s="360" t="s">
        <v>292</v>
      </c>
      <c r="C236" s="361"/>
      <c r="D236" s="504"/>
      <c r="E236" s="504"/>
      <c r="F236" s="504"/>
      <c r="G236" s="504"/>
      <c r="H236" s="504"/>
      <c r="I236" s="504"/>
    </row>
    <row r="237" spans="1:13" ht="21.75" customHeight="1">
      <c r="A237" s="20"/>
      <c r="B237" s="186" t="s">
        <v>293</v>
      </c>
      <c r="C237" s="295">
        <v>32000</v>
      </c>
      <c r="D237" s="230"/>
      <c r="E237" s="230">
        <f>+'ม.ค.-มี.ค.'!F237</f>
        <v>0</v>
      </c>
      <c r="F237" s="230">
        <f>+'เม.ย.-มิ.ย.'!E237+'เม.ย.-มิ.ย.'!F237+'เม.ย.-มิ.ย.'!G237+'เม.ย.-มิ.ย.'!H237+'เม.ย.-มิ.ย.'!I237+'เม.ย.-มิ.ย.'!M237+'เม.ย.-มิ.ย.'!N237+'เม.ย.-มิ.ย.'!P237+'เม.ย.-มิ.ย.'!R237+'เม.ย.-มิ.ย.'!S237</f>
        <v>0</v>
      </c>
      <c r="G237" s="230">
        <f>+'ก.ค.-ก.ย.'!E237+'ก.ค.-ก.ย.'!F237+'ก.ค.-ก.ย.'!G237+'ก.ค.-ก.ย.'!H237+'ก.ค.-ก.ย.'!I237+'ก.ค.-ก.ย.'!J237+'ก.ค.-ก.ย.'!K237+'ก.ค.-ก.ย.'!M237</f>
        <v>32000</v>
      </c>
      <c r="H237" s="230">
        <f>SUM(D237:G237)</f>
        <v>32000</v>
      </c>
      <c r="I237" s="230">
        <f>+C237-H237</f>
        <v>0</v>
      </c>
    </row>
    <row r="238" spans="1:13" ht="21.75" customHeight="1">
      <c r="A238" s="20"/>
      <c r="B238" s="186" t="s">
        <v>125</v>
      </c>
      <c r="C238" s="295">
        <f>2800+2800+2300</f>
        <v>7900</v>
      </c>
      <c r="D238" s="230"/>
      <c r="E238" s="230">
        <f>+'ม.ค.-มี.ค.'!F238</f>
        <v>2800</v>
      </c>
      <c r="F238" s="230">
        <f>+'เม.ย.-มิ.ย.'!E238+'เม.ย.-มิ.ย.'!F238+'เม.ย.-มิ.ย.'!G238+'เม.ย.-มิ.ย.'!H238+'เม.ย.-มิ.ย.'!I238+'เม.ย.-มิ.ย.'!M238+'เม.ย.-มิ.ย.'!N238+'เม.ย.-มิ.ย.'!P238+'เม.ย.-มิ.ย.'!R238+'เม.ย.-มิ.ย.'!S238</f>
        <v>2300</v>
      </c>
      <c r="G238" s="230">
        <f>+'ก.ค.-ก.ย.'!E238+'ก.ค.-ก.ย.'!F238+'ก.ค.-ก.ย.'!G238+'ก.ค.-ก.ย.'!H238+'ก.ค.-ก.ย.'!I238+'ก.ค.-ก.ย.'!J238+'ก.ค.-ก.ย.'!K238+'ก.ค.-ก.ย.'!M238</f>
        <v>2800</v>
      </c>
      <c r="H238" s="230">
        <f>SUM(D238:G238)</f>
        <v>7900</v>
      </c>
      <c r="I238" s="230">
        <f>+C238-H238</f>
        <v>0</v>
      </c>
    </row>
    <row r="239" spans="1:13" ht="21.75" customHeight="1">
      <c r="A239" s="20"/>
      <c r="B239" s="186" t="s">
        <v>294</v>
      </c>
      <c r="C239" s="295">
        <v>21000</v>
      </c>
      <c r="D239" s="230"/>
      <c r="E239" s="230">
        <f>+'ม.ค.-มี.ค.'!F239</f>
        <v>21000</v>
      </c>
      <c r="F239" s="230">
        <f>+'เม.ย.-มิ.ย.'!E239+'เม.ย.-มิ.ย.'!F239+'เม.ย.-มิ.ย.'!G239+'เม.ย.-มิ.ย.'!H239+'เม.ย.-มิ.ย.'!I239+'เม.ย.-มิ.ย.'!M239+'เม.ย.-มิ.ย.'!N239+'เม.ย.-มิ.ย.'!P239+'เม.ย.-มิ.ย.'!R239+'เม.ย.-มิ.ย.'!S239</f>
        <v>0</v>
      </c>
      <c r="G239" s="230">
        <f>+'ก.ค.-ก.ย.'!E239+'ก.ค.-ก.ย.'!F239+'ก.ค.-ก.ย.'!G239+'ก.ค.-ก.ย.'!H239+'ก.ค.-ก.ย.'!I239+'ก.ค.-ก.ย.'!J239+'ก.ค.-ก.ย.'!K239+'ก.ค.-ก.ย.'!M239</f>
        <v>0</v>
      </c>
      <c r="H239" s="230">
        <f>SUM(D239:G239)</f>
        <v>21000</v>
      </c>
      <c r="I239" s="230">
        <f>+C239-H239</f>
        <v>0</v>
      </c>
    </row>
    <row r="240" spans="1:13" ht="21.75" customHeight="1">
      <c r="A240" s="20"/>
      <c r="B240" s="186" t="s">
        <v>293</v>
      </c>
      <c r="C240" s="295">
        <v>16000</v>
      </c>
      <c r="D240" s="230"/>
      <c r="E240" s="230">
        <f>+'ม.ค.-มี.ค.'!F240</f>
        <v>0</v>
      </c>
      <c r="F240" s="230">
        <f>+'เม.ย.-มิ.ย.'!E240+'เม.ย.-มิ.ย.'!F240+'เม.ย.-มิ.ย.'!G240+'เม.ย.-มิ.ย.'!H240+'เม.ย.-มิ.ย.'!I240+'เม.ย.-มิ.ย.'!M240+'เม.ย.-มิ.ย.'!N240+'เม.ย.-มิ.ย.'!P240+'เม.ย.-มิ.ย.'!R240+'เม.ย.-มิ.ย.'!S240</f>
        <v>16000</v>
      </c>
      <c r="G240" s="230">
        <f>+'ก.ค.-ก.ย.'!E240+'ก.ค.-ก.ย.'!F240+'ก.ค.-ก.ย.'!G240+'ก.ค.-ก.ย.'!H240+'ก.ค.-ก.ย.'!I240+'ก.ค.-ก.ย.'!J240+'ก.ค.-ก.ย.'!K240+'ก.ค.-ก.ย.'!M240</f>
        <v>0</v>
      </c>
      <c r="H240" s="230">
        <f>SUM(D240:G240)</f>
        <v>16000</v>
      </c>
      <c r="I240" s="230">
        <f>+C240-H240</f>
        <v>0</v>
      </c>
    </row>
    <row r="241" spans="1:13" ht="21.75" customHeight="1">
      <c r="A241" s="20"/>
      <c r="B241" s="186" t="s">
        <v>306</v>
      </c>
      <c r="C241" s="295">
        <v>7700</v>
      </c>
      <c r="D241" s="230"/>
      <c r="E241" s="230">
        <f>+'ม.ค.-มี.ค.'!F241</f>
        <v>0</v>
      </c>
      <c r="F241" s="230">
        <f>+'เม.ย.-มิ.ย.'!E241+'เม.ย.-มิ.ย.'!F241+'เม.ย.-มิ.ย.'!G241+'เม.ย.-มิ.ย.'!H241+'เม.ย.-มิ.ย.'!I241+'เม.ย.-มิ.ย.'!M241+'เม.ย.-มิ.ย.'!N241+'เม.ย.-มิ.ย.'!P241+'เม.ย.-มิ.ย.'!R241+'เม.ย.-มิ.ย.'!S241</f>
        <v>7700</v>
      </c>
      <c r="G241" s="230">
        <f>+'ก.ค.-ก.ย.'!E241+'ก.ค.-ก.ย.'!F241+'ก.ค.-ก.ย.'!G241+'ก.ค.-ก.ย.'!H241+'ก.ค.-ก.ย.'!I241+'ก.ค.-ก.ย.'!J241+'ก.ค.-ก.ย.'!K241+'ก.ค.-ก.ย.'!M241</f>
        <v>0</v>
      </c>
      <c r="H241" s="230">
        <f>SUM(D241:G241)</f>
        <v>7700</v>
      </c>
      <c r="I241" s="230">
        <f>+C241-H241</f>
        <v>0</v>
      </c>
    </row>
    <row r="242" spans="1:13" s="364" customFormat="1" ht="21.75" customHeight="1" thickBot="1">
      <c r="A242" s="46"/>
      <c r="B242" s="492"/>
      <c r="C242" s="493"/>
      <c r="D242" s="515">
        <f t="shared" ref="D242:I242" si="25">SUM(D237:D241)</f>
        <v>0</v>
      </c>
      <c r="E242" s="515">
        <f t="shared" si="25"/>
        <v>23800</v>
      </c>
      <c r="F242" s="515">
        <f t="shared" si="25"/>
        <v>26000</v>
      </c>
      <c r="G242" s="515">
        <f>SUM(G237:G241)</f>
        <v>34800</v>
      </c>
      <c r="H242" s="515">
        <f t="shared" si="25"/>
        <v>84600</v>
      </c>
      <c r="I242" s="516">
        <f t="shared" si="25"/>
        <v>0</v>
      </c>
      <c r="J242" s="233"/>
      <c r="K242" s="329"/>
      <c r="L242" s="330"/>
      <c r="M242" s="330"/>
    </row>
    <row r="243" spans="1:13" ht="21.75" customHeight="1" thickTop="1">
      <c r="A243" s="20"/>
      <c r="B243" s="360" t="s">
        <v>336</v>
      </c>
      <c r="C243" s="361"/>
      <c r="D243" s="230"/>
      <c r="E243" s="230"/>
      <c r="F243" s="230">
        <f>+'เม.ย.-มิ.ย.'!E243+'เม.ย.-มิ.ย.'!F243+'เม.ย.-มิ.ย.'!G243+'เม.ย.-มิ.ย.'!H243+'เม.ย.-มิ.ย.'!I243+'เม.ย.-มิ.ย.'!M243+'เม.ย.-มิ.ย.'!N243+'เม.ย.-มิ.ย.'!P243+'เม.ย.-มิ.ย.'!R243+'เม.ย.-มิ.ย.'!S243</f>
        <v>0</v>
      </c>
      <c r="G243" s="230"/>
      <c r="H243" s="230"/>
      <c r="I243" s="230"/>
    </row>
    <row r="244" spans="1:13" ht="21.75" customHeight="1">
      <c r="A244" s="20"/>
      <c r="B244" s="186" t="s">
        <v>337</v>
      </c>
      <c r="C244" s="295">
        <v>9000</v>
      </c>
      <c r="D244" s="230"/>
      <c r="E244" s="230">
        <f>+'ม.ค.-มี.ค.'!F244</f>
        <v>0</v>
      </c>
      <c r="F244" s="230">
        <f>+'เม.ย.-มิ.ย.'!E244+'เม.ย.-มิ.ย.'!F244+'เม.ย.-มิ.ย.'!G244+'เม.ย.-มิ.ย.'!H244+'เม.ย.-มิ.ย.'!I244+'เม.ย.-มิ.ย.'!M244+'เม.ย.-มิ.ย.'!N244+'เม.ย.-มิ.ย.'!P244+'เม.ย.-มิ.ย.'!R244+'เม.ย.-มิ.ย.'!S244</f>
        <v>0</v>
      </c>
      <c r="G244" s="230">
        <f>+'ก.ค.-ก.ย.'!E244</f>
        <v>0</v>
      </c>
      <c r="H244" s="230">
        <f>SUM(D244:G244)</f>
        <v>0</v>
      </c>
      <c r="I244" s="230">
        <f>+C244-H244</f>
        <v>9000</v>
      </c>
    </row>
    <row r="245" spans="1:13" ht="21.75" customHeight="1" thickBot="1">
      <c r="A245" s="46"/>
      <c r="B245" s="492"/>
      <c r="C245" s="493"/>
      <c r="D245" s="515">
        <f t="shared" ref="D245:I245" si="26">SUM(D244)</f>
        <v>0</v>
      </c>
      <c r="E245" s="515">
        <f t="shared" si="26"/>
        <v>0</v>
      </c>
      <c r="F245" s="515">
        <f t="shared" si="26"/>
        <v>0</v>
      </c>
      <c r="G245" s="515">
        <f t="shared" si="26"/>
        <v>0</v>
      </c>
      <c r="H245" s="515">
        <f t="shared" si="26"/>
        <v>0</v>
      </c>
      <c r="I245" s="516">
        <f t="shared" si="26"/>
        <v>9000</v>
      </c>
    </row>
    <row r="246" spans="1:13" ht="21.75" customHeight="1" thickTop="1">
      <c r="A246" s="20"/>
      <c r="B246" s="360" t="s">
        <v>338</v>
      </c>
      <c r="C246" s="361"/>
      <c r="D246" s="230"/>
      <c r="E246" s="230"/>
      <c r="F246" s="230"/>
      <c r="G246" s="230"/>
      <c r="H246" s="230"/>
      <c r="I246" s="230"/>
    </row>
    <row r="247" spans="1:13" ht="21.75" customHeight="1">
      <c r="A247" s="20"/>
      <c r="B247" s="186" t="s">
        <v>339</v>
      </c>
      <c r="C247" s="295">
        <v>8000</v>
      </c>
      <c r="D247" s="230"/>
      <c r="E247" s="230">
        <f>+'ม.ค.-มี.ค.'!F247</f>
        <v>0</v>
      </c>
      <c r="F247" s="230">
        <f>+'เม.ย.-มิ.ย.'!E247+'เม.ย.-มิ.ย.'!F247+'เม.ย.-มิ.ย.'!G247+'เม.ย.-มิ.ย.'!H247+'เม.ย.-มิ.ย.'!I247+'เม.ย.-มิ.ย.'!M247+'เม.ย.-มิ.ย.'!N247+'เม.ย.-มิ.ย.'!P247+'เม.ย.-มิ.ย.'!R247+'เม.ย.-มิ.ย.'!S247</f>
        <v>0</v>
      </c>
      <c r="G247" s="230">
        <f>+'ก.ค.-ก.ย.'!E247+'ก.ค.-ก.ย.'!F247+'ก.ค.-ก.ย.'!G247+'ก.ค.-ก.ย.'!H247+'ก.ค.-ก.ย.'!I247+'ก.ค.-ก.ย.'!J247+'ก.ค.-ก.ย.'!K247+'ก.ค.-ก.ย.'!M247+'ก.ค.-ก.ย.'!N247+'ก.ค.-ก.ย.'!Q247+'ก.ค.-ก.ย.'!V247</f>
        <v>0</v>
      </c>
      <c r="H247" s="230">
        <f>SUM(D247:G247)</f>
        <v>0</v>
      </c>
      <c r="I247" s="230">
        <f>+C247-H247</f>
        <v>8000</v>
      </c>
    </row>
    <row r="248" spans="1:13" ht="21.75" customHeight="1">
      <c r="A248" s="20"/>
      <c r="B248" s="186" t="s">
        <v>340</v>
      </c>
      <c r="C248" s="295">
        <v>6000</v>
      </c>
      <c r="D248" s="230"/>
      <c r="E248" s="230">
        <f>+'ม.ค.-มี.ค.'!F248</f>
        <v>0</v>
      </c>
      <c r="F248" s="230">
        <f>+'เม.ย.-มิ.ย.'!E248+'เม.ย.-มิ.ย.'!F248+'เม.ย.-มิ.ย.'!G248+'เม.ย.-มิ.ย.'!H248+'เม.ย.-มิ.ย.'!I248+'เม.ย.-มิ.ย.'!M248+'เม.ย.-มิ.ย.'!N248+'เม.ย.-มิ.ย.'!P248+'เม.ย.-มิ.ย.'!R248+'เม.ย.-มิ.ย.'!S248</f>
        <v>0</v>
      </c>
      <c r="G248" s="230">
        <f>+'ก.ค.-ก.ย.'!E248+'ก.ค.-ก.ย.'!F248+'ก.ค.-ก.ย.'!G248+'ก.ค.-ก.ย.'!H248+'ก.ค.-ก.ย.'!I248+'ก.ค.-ก.ย.'!J248+'ก.ค.-ก.ย.'!K248+'ก.ค.-ก.ย.'!M248+'ก.ค.-ก.ย.'!N248+'ก.ค.-ก.ย.'!Q248+'ก.ค.-ก.ย.'!V248</f>
        <v>0</v>
      </c>
      <c r="H248" s="230">
        <f>SUM(D248:G248)</f>
        <v>0</v>
      </c>
      <c r="I248" s="230">
        <f>+C248-H248</f>
        <v>6000</v>
      </c>
    </row>
    <row r="249" spans="1:13" ht="21.75" customHeight="1" thickBot="1">
      <c r="A249" s="46"/>
      <c r="B249" s="492"/>
      <c r="C249" s="493"/>
      <c r="D249" s="515">
        <f t="shared" ref="D249:I249" si="27">SUM(D247:D248)</f>
        <v>0</v>
      </c>
      <c r="E249" s="515">
        <f t="shared" si="27"/>
        <v>0</v>
      </c>
      <c r="F249" s="515">
        <f t="shared" si="27"/>
        <v>0</v>
      </c>
      <c r="G249" s="515">
        <f t="shared" si="27"/>
        <v>0</v>
      </c>
      <c r="H249" s="515">
        <f t="shared" si="27"/>
        <v>0</v>
      </c>
      <c r="I249" s="516">
        <f t="shared" si="27"/>
        <v>14000</v>
      </c>
    </row>
    <row r="250" spans="1:13" ht="21.75" customHeight="1" thickTop="1">
      <c r="A250" s="20"/>
      <c r="B250" s="360" t="s">
        <v>341</v>
      </c>
      <c r="C250" s="361"/>
      <c r="D250" s="230"/>
      <c r="E250" s="230"/>
      <c r="F250" s="230"/>
      <c r="G250" s="230"/>
      <c r="H250" s="230"/>
      <c r="I250" s="230"/>
    </row>
    <row r="251" spans="1:13" ht="21.75" customHeight="1">
      <c r="A251" s="20"/>
      <c r="B251" s="186" t="s">
        <v>342</v>
      </c>
      <c r="C251" s="295">
        <v>45300</v>
      </c>
      <c r="D251" s="230"/>
      <c r="E251" s="230">
        <f>+'ม.ค.-มี.ค.'!E251+'ม.ค.-มี.ค.'!F251+'ม.ค.-มี.ค.'!H251+'ม.ค.-มี.ค.'!I251+'ม.ค.-มี.ค.'!K251+'ม.ค.-มี.ค.'!M251+'ม.ค.-มี.ค.'!N251+'ม.ค.-มี.ค.'!V251</f>
        <v>0</v>
      </c>
      <c r="F251" s="230">
        <f>+'เม.ย.-มิ.ย.'!E251+'เม.ย.-มิ.ย.'!F251+'เม.ย.-มิ.ย.'!G251+'เม.ย.-มิ.ย.'!H251+'เม.ย.-มิ.ย.'!I251+'เม.ย.-มิ.ย.'!M251+'เม.ย.-มิ.ย.'!N251+'เม.ย.-มิ.ย.'!P251+'เม.ย.-มิ.ย.'!R251+'เม.ย.-มิ.ย.'!S251</f>
        <v>0</v>
      </c>
      <c r="G251" s="230">
        <f>+'ก.ค.-ก.ย.'!E251+'ก.ค.-ก.ย.'!F251+'ก.ค.-ก.ย.'!G251+'ก.ค.-ก.ย.'!H251+'ก.ค.-ก.ย.'!I251+'ก.ค.-ก.ย.'!J251+'ก.ค.-ก.ย.'!K251+'ก.ค.-ก.ย.'!M251+'ก.ค.-ก.ย.'!N251+'ก.ค.-ก.ย.'!Q251+'ก.ค.-ก.ย.'!V251</f>
        <v>45300</v>
      </c>
      <c r="H251" s="230">
        <f>SUM(D251:G251)</f>
        <v>45300</v>
      </c>
      <c r="I251" s="230">
        <f>+C251-H251</f>
        <v>0</v>
      </c>
    </row>
    <row r="252" spans="1:13" ht="21.75" customHeight="1">
      <c r="A252" s="20"/>
      <c r="B252" s="186" t="s">
        <v>343</v>
      </c>
      <c r="C252" s="295">
        <v>128000</v>
      </c>
      <c r="D252" s="230"/>
      <c r="E252" s="230">
        <f>+'ม.ค.-มี.ค.'!E252+'ม.ค.-มี.ค.'!F252+'ม.ค.-มี.ค.'!H252+'ม.ค.-มี.ค.'!I252+'ม.ค.-มี.ค.'!K252+'ม.ค.-มี.ค.'!M252+'ม.ค.-มี.ค.'!N252+'ม.ค.-มี.ค.'!V252</f>
        <v>0</v>
      </c>
      <c r="F252" s="230">
        <f>+'เม.ย.-มิ.ย.'!E252+'เม.ย.-มิ.ย.'!F252+'เม.ย.-มิ.ย.'!G252+'เม.ย.-มิ.ย.'!H252+'เม.ย.-มิ.ย.'!I252+'เม.ย.-มิ.ย.'!M252+'เม.ย.-มิ.ย.'!N252+'เม.ย.-มิ.ย.'!P252+'เม.ย.-มิ.ย.'!R252+'เม.ย.-มิ.ย.'!S252</f>
        <v>0</v>
      </c>
      <c r="G252" s="230">
        <f>+'ก.ค.-ก.ย.'!E252+'ก.ค.-ก.ย.'!F252+'ก.ค.-ก.ย.'!G252+'ก.ค.-ก.ย.'!H252+'ก.ค.-ก.ย.'!I252+'ก.ค.-ก.ย.'!J252+'ก.ค.-ก.ย.'!K252+'ก.ค.-ก.ย.'!M252+'ก.ค.-ก.ย.'!N252+'ก.ค.-ก.ย.'!Q252+'ก.ค.-ก.ย.'!V252</f>
        <v>124500</v>
      </c>
      <c r="H252" s="230">
        <f t="shared" ref="H252:H261" si="28">SUM(D252:G252)</f>
        <v>124500</v>
      </c>
      <c r="I252" s="230">
        <f t="shared" ref="I252:I261" si="29">+C252-H252</f>
        <v>3500</v>
      </c>
    </row>
    <row r="253" spans="1:13" ht="21.75" customHeight="1">
      <c r="A253" s="20"/>
      <c r="B253" s="186" t="s">
        <v>264</v>
      </c>
      <c r="C253" s="295">
        <v>204000</v>
      </c>
      <c r="D253" s="230"/>
      <c r="E253" s="230">
        <f>+'ม.ค.-มี.ค.'!E253+'ม.ค.-มี.ค.'!F253+'ม.ค.-มี.ค.'!H253+'ม.ค.-มี.ค.'!I253+'ม.ค.-มี.ค.'!K253+'ม.ค.-มี.ค.'!M253+'ม.ค.-มี.ค.'!N253+'ม.ค.-มี.ค.'!V253</f>
        <v>200000</v>
      </c>
      <c r="F253" s="230">
        <f>+'เม.ย.-มิ.ย.'!E253+'เม.ย.-มิ.ย.'!F253+'เม.ย.-มิ.ย.'!G253+'เม.ย.-มิ.ย.'!H253+'เม.ย.-มิ.ย.'!I253+'เม.ย.-มิ.ย.'!M253+'เม.ย.-มิ.ย.'!N253+'เม.ย.-มิ.ย.'!P253+'เม.ย.-มิ.ย.'!R253+'เม.ย.-มิ.ย.'!S253</f>
        <v>0</v>
      </c>
      <c r="G253" s="230">
        <f>+'ก.ค.-ก.ย.'!E253+'ก.ค.-ก.ย.'!F253+'ก.ค.-ก.ย.'!G253+'ก.ค.-ก.ย.'!H253+'ก.ค.-ก.ย.'!I253+'ก.ค.-ก.ย.'!J253+'ก.ค.-ก.ย.'!K253+'ก.ค.-ก.ย.'!M253+'ก.ค.-ก.ย.'!N253+'ก.ค.-ก.ย.'!Q253+'ก.ค.-ก.ย.'!V253</f>
        <v>0</v>
      </c>
      <c r="H253" s="230">
        <f t="shared" si="28"/>
        <v>200000</v>
      </c>
      <c r="I253" s="230">
        <f t="shared" si="29"/>
        <v>4000</v>
      </c>
    </row>
    <row r="254" spans="1:13" ht="21.75" customHeight="1">
      <c r="A254" s="20"/>
      <c r="B254" s="186" t="s">
        <v>381</v>
      </c>
      <c r="C254" s="295">
        <v>204000</v>
      </c>
      <c r="D254" s="230"/>
      <c r="E254" s="230">
        <f>+'ม.ค.-มี.ค.'!E254+'ม.ค.-มี.ค.'!F254+'ม.ค.-มี.ค.'!H254+'ม.ค.-มี.ค.'!I254+'ม.ค.-มี.ค.'!K254+'ม.ค.-มี.ค.'!M254+'ม.ค.-มี.ค.'!N254+'ม.ค.-มี.ค.'!V254</f>
        <v>0</v>
      </c>
      <c r="F254" s="230">
        <f>+'เม.ย.-มิ.ย.'!E254+'เม.ย.-มิ.ย.'!F254+'เม.ย.-มิ.ย.'!G254+'เม.ย.-มิ.ย.'!H254+'เม.ย.-มิ.ย.'!I254+'เม.ย.-มิ.ย.'!M254+'เม.ย.-มิ.ย.'!N254+'เม.ย.-มิ.ย.'!P254+'เม.ย.-มิ.ย.'!R254+'เม.ย.-มิ.ย.'!S254</f>
        <v>204000</v>
      </c>
      <c r="G254" s="230">
        <f>+'ก.ค.-ก.ย.'!E254+'ก.ค.-ก.ย.'!F254+'ก.ค.-ก.ย.'!G254+'ก.ค.-ก.ย.'!H254+'ก.ค.-ก.ย.'!I254+'ก.ค.-ก.ย.'!J254+'ก.ค.-ก.ย.'!K254+'ก.ค.-ก.ย.'!M254+'ก.ค.-ก.ย.'!N254+'ก.ค.-ก.ย.'!Q254+'ก.ค.-ก.ย.'!V254</f>
        <v>0</v>
      </c>
      <c r="H254" s="230">
        <f t="shared" si="28"/>
        <v>204000</v>
      </c>
      <c r="I254" s="230">
        <f t="shared" si="29"/>
        <v>0</v>
      </c>
    </row>
    <row r="255" spans="1:13" ht="21.75" customHeight="1">
      <c r="A255" s="20"/>
      <c r="B255" s="186" t="s">
        <v>344</v>
      </c>
      <c r="C255" s="295">
        <v>204000</v>
      </c>
      <c r="D255" s="230"/>
      <c r="E255" s="230">
        <f>+'ม.ค.-มี.ค.'!E255+'ม.ค.-มี.ค.'!F255+'ม.ค.-มี.ค.'!H255+'ม.ค.-มี.ค.'!I255+'ม.ค.-มี.ค.'!K255+'ม.ค.-มี.ค.'!M255+'ม.ค.-มี.ค.'!N255+'ม.ค.-มี.ค.'!V255</f>
        <v>0</v>
      </c>
      <c r="F255" s="230">
        <f>+'เม.ย.-มิ.ย.'!E255+'เม.ย.-มิ.ย.'!F255+'เม.ย.-มิ.ย.'!G255+'เม.ย.-มิ.ย.'!H255+'เม.ย.-มิ.ย.'!I255+'เม.ย.-มิ.ย.'!M255+'เม.ย.-มิ.ย.'!N255+'เม.ย.-มิ.ย.'!P255+'เม.ย.-มิ.ย.'!R255+'เม.ย.-มิ.ย.'!S255</f>
        <v>202000</v>
      </c>
      <c r="G255" s="230">
        <f>+'ก.ค.-ก.ย.'!E255+'ก.ค.-ก.ย.'!F255+'ก.ค.-ก.ย.'!G255+'ก.ค.-ก.ย.'!H255+'ก.ค.-ก.ย.'!I255+'ก.ค.-ก.ย.'!J255+'ก.ค.-ก.ย.'!K255+'ก.ค.-ก.ย.'!M255+'ก.ค.-ก.ย.'!N255+'ก.ค.-ก.ย.'!Q255+'ก.ค.-ก.ย.'!V255</f>
        <v>0</v>
      </c>
      <c r="H255" s="230">
        <f t="shared" si="28"/>
        <v>202000</v>
      </c>
      <c r="I255" s="230">
        <f t="shared" si="29"/>
        <v>2000</v>
      </c>
    </row>
    <row r="256" spans="1:13" ht="21.75" customHeight="1">
      <c r="A256" s="20"/>
      <c r="B256" s="186" t="s">
        <v>345</v>
      </c>
      <c r="C256" s="295">
        <v>217000</v>
      </c>
      <c r="D256" s="230"/>
      <c r="E256" s="230">
        <f>+'ม.ค.-มี.ค.'!E256+'ม.ค.-มี.ค.'!F256+'ม.ค.-มี.ค.'!H256+'ม.ค.-มี.ค.'!I256+'ม.ค.-มี.ค.'!K256+'ม.ค.-มี.ค.'!M256+'ม.ค.-มี.ค.'!N256+'ม.ค.-มี.ค.'!V256</f>
        <v>0</v>
      </c>
      <c r="F256" s="230">
        <f>+'เม.ย.-มิ.ย.'!E256+'เม.ย.-มิ.ย.'!F256+'เม.ย.-มิ.ย.'!G256+'เม.ย.-มิ.ย.'!H256+'เม.ย.-มิ.ย.'!I256+'เม.ย.-มิ.ย.'!M256+'เม.ย.-มิ.ย.'!N256+'เม.ย.-มิ.ย.'!P256+'เม.ย.-มิ.ย.'!R256+'เม.ย.-มิ.ย.'!S256</f>
        <v>216000</v>
      </c>
      <c r="G256" s="230">
        <f>+'ก.ค.-ก.ย.'!E256+'ก.ค.-ก.ย.'!F256+'ก.ค.-ก.ย.'!G256+'ก.ค.-ก.ย.'!H256+'ก.ค.-ก.ย.'!I256+'ก.ค.-ก.ย.'!J256+'ก.ค.-ก.ย.'!K256+'ก.ค.-ก.ย.'!M256+'ก.ค.-ก.ย.'!N256+'ก.ค.-ก.ย.'!Q256+'ก.ค.-ก.ย.'!V256</f>
        <v>0</v>
      </c>
      <c r="H256" s="230">
        <f t="shared" si="28"/>
        <v>216000</v>
      </c>
      <c r="I256" s="230">
        <f t="shared" si="29"/>
        <v>1000</v>
      </c>
    </row>
    <row r="257" spans="1:13" ht="21.75" customHeight="1">
      <c r="A257" s="20"/>
      <c r="B257" s="186" t="s">
        <v>346</v>
      </c>
      <c r="C257" s="295">
        <v>27000</v>
      </c>
      <c r="D257" s="230"/>
      <c r="E257" s="230">
        <f>+'ม.ค.-มี.ค.'!E257+'ม.ค.-มี.ค.'!F257+'ม.ค.-มี.ค.'!H257+'ม.ค.-มี.ค.'!I257+'ม.ค.-มี.ค.'!K257+'ม.ค.-มี.ค.'!M257+'ม.ค.-มี.ค.'!N257+'ม.ค.-มี.ค.'!V257</f>
        <v>0</v>
      </c>
      <c r="F257" s="230">
        <f>+'เม.ย.-มิ.ย.'!E257+'เม.ย.-มิ.ย.'!F257+'เม.ย.-มิ.ย.'!G257+'เม.ย.-มิ.ย.'!H257+'เม.ย.-มิ.ย.'!I257+'เม.ย.-มิ.ย.'!M257+'เม.ย.-มิ.ย.'!N257+'เม.ย.-มิ.ย.'!P257+'เม.ย.-มิ.ย.'!R257+'เม.ย.-มิ.ย.'!S257</f>
        <v>0</v>
      </c>
      <c r="G257" s="230">
        <f>+'ก.ค.-ก.ย.'!E257+'ก.ค.-ก.ย.'!F257+'ก.ค.-ก.ย.'!G257+'ก.ค.-ก.ย.'!H257+'ก.ค.-ก.ย.'!I257+'ก.ค.-ก.ย.'!J257+'ก.ค.-ก.ย.'!K257+'ก.ค.-ก.ย.'!M257+'ก.ค.-ก.ย.'!N257+'ก.ค.-ก.ย.'!Q257+'ก.ค.-ก.ย.'!V257</f>
        <v>25000</v>
      </c>
      <c r="H257" s="230">
        <f t="shared" si="28"/>
        <v>25000</v>
      </c>
      <c r="I257" s="230">
        <f t="shared" si="29"/>
        <v>2000</v>
      </c>
    </row>
    <row r="258" spans="1:13" ht="21.75" customHeight="1">
      <c r="A258" s="20"/>
      <c r="B258" s="186" t="s">
        <v>347</v>
      </c>
      <c r="C258" s="295">
        <v>211000</v>
      </c>
      <c r="D258" s="230"/>
      <c r="E258" s="230">
        <f>+'ม.ค.-มี.ค.'!E258+'ม.ค.-มี.ค.'!F258+'ม.ค.-มี.ค.'!H258+'ม.ค.-มี.ค.'!I258+'ม.ค.-มี.ค.'!K258+'ม.ค.-มี.ค.'!M258+'ม.ค.-มี.ค.'!N258+'ม.ค.-มี.ค.'!V258</f>
        <v>0</v>
      </c>
      <c r="F258" s="230">
        <f>+'เม.ย.-มิ.ย.'!E258+'เม.ย.-มิ.ย.'!F258+'เม.ย.-มิ.ย.'!G258+'เม.ย.-มิ.ย.'!H258+'เม.ย.-มิ.ย.'!I258+'เม.ย.-มิ.ย.'!M258+'เม.ย.-มิ.ย.'!N258+'เม.ย.-มิ.ย.'!P258+'เม.ย.-มิ.ย.'!R258+'เม.ย.-มิ.ย.'!S258</f>
        <v>0</v>
      </c>
      <c r="G258" s="230">
        <f>+'ก.ค.-ก.ย.'!E258+'ก.ค.-ก.ย.'!F258+'ก.ค.-ก.ย.'!G258+'ก.ค.-ก.ย.'!H258+'ก.ค.-ก.ย.'!I258+'ก.ค.-ก.ย.'!J258+'ก.ค.-ก.ย.'!K258+'ก.ค.-ก.ย.'!M258+'ก.ค.-ก.ย.'!N258+'ก.ค.-ก.ย.'!Q258+'ก.ค.-ก.ย.'!V258</f>
        <v>210000</v>
      </c>
      <c r="H258" s="230">
        <f t="shared" si="28"/>
        <v>210000</v>
      </c>
      <c r="I258" s="230">
        <f t="shared" si="29"/>
        <v>1000</v>
      </c>
    </row>
    <row r="259" spans="1:13" ht="21.75" customHeight="1">
      <c r="A259" s="20"/>
      <c r="B259" s="186" t="s">
        <v>348</v>
      </c>
      <c r="C259" s="295">
        <v>211000</v>
      </c>
      <c r="D259" s="230"/>
      <c r="E259" s="230">
        <f>+'ม.ค.-มี.ค.'!E259+'ม.ค.-มี.ค.'!F259+'ม.ค.-มี.ค.'!H259+'ม.ค.-มี.ค.'!I259+'ม.ค.-มี.ค.'!K259+'ม.ค.-มี.ค.'!M259+'ม.ค.-มี.ค.'!N259+'ม.ค.-มี.ค.'!V259</f>
        <v>210000</v>
      </c>
      <c r="F259" s="230">
        <f>+'เม.ย.-มิ.ย.'!E259+'เม.ย.-มิ.ย.'!F259+'เม.ย.-มิ.ย.'!G259+'เม.ย.-มิ.ย.'!H259+'เม.ย.-มิ.ย.'!I259+'เม.ย.-มิ.ย.'!M259+'เม.ย.-มิ.ย.'!N259+'เม.ย.-มิ.ย.'!P259+'เม.ย.-มิ.ย.'!R259+'เม.ย.-มิ.ย.'!S259</f>
        <v>0</v>
      </c>
      <c r="G259" s="230">
        <f>+'ก.ค.-ก.ย.'!E259+'ก.ค.-ก.ย.'!F259+'ก.ค.-ก.ย.'!G259+'ก.ค.-ก.ย.'!H259+'ก.ค.-ก.ย.'!I259+'ก.ค.-ก.ย.'!J259+'ก.ค.-ก.ย.'!K259+'ก.ค.-ก.ย.'!M259+'ก.ค.-ก.ย.'!N259+'ก.ค.-ก.ย.'!Q259+'ก.ค.-ก.ย.'!V259</f>
        <v>0</v>
      </c>
      <c r="H259" s="230">
        <f t="shared" si="28"/>
        <v>210000</v>
      </c>
      <c r="I259" s="230">
        <f t="shared" si="29"/>
        <v>1000</v>
      </c>
    </row>
    <row r="260" spans="1:13" ht="21.75" customHeight="1">
      <c r="A260" s="20"/>
      <c r="B260" s="186" t="s">
        <v>349</v>
      </c>
      <c r="C260" s="296">
        <v>688700</v>
      </c>
      <c r="D260" s="230"/>
      <c r="E260" s="230">
        <f>+'ม.ค.-มี.ค.'!E260+'ม.ค.-มี.ค.'!F260+'ม.ค.-มี.ค.'!H260+'ม.ค.-มี.ค.'!I260+'ม.ค.-มี.ค.'!K260+'ม.ค.-มี.ค.'!M260+'ม.ค.-มี.ค.'!N260+'ม.ค.-มี.ค.'!V260</f>
        <v>0</v>
      </c>
      <c r="F260" s="230">
        <f>+'เม.ย.-มิ.ย.'!E260+'เม.ย.-มิ.ย.'!F260+'เม.ย.-มิ.ย.'!G260+'เม.ย.-มิ.ย.'!H260+'เม.ย.-มิ.ย.'!I260+'เม.ย.-มิ.ย.'!M260+'เม.ย.-มิ.ย.'!N260+'เม.ย.-มิ.ย.'!P260+'เม.ย.-มิ.ย.'!R260+'เม.ย.-มิ.ย.'!S260</f>
        <v>0</v>
      </c>
      <c r="G260" s="230">
        <f>+'ก.ค.-ก.ย.'!E260+'ก.ค.-ก.ย.'!F260+'ก.ค.-ก.ย.'!G260+'ก.ค.-ก.ย.'!H260+'ก.ค.-ก.ย.'!I260+'ก.ค.-ก.ย.'!J260+'ก.ค.-ก.ย.'!K260+'ก.ค.-ก.ย.'!M260+'ก.ค.-ก.ย.'!N260+'ก.ค.-ก.ย.'!Q260+'ก.ค.-ก.ย.'!V260</f>
        <v>688700</v>
      </c>
      <c r="H260" s="230">
        <f t="shared" si="28"/>
        <v>688700</v>
      </c>
      <c r="I260" s="230">
        <f t="shared" si="29"/>
        <v>0</v>
      </c>
    </row>
    <row r="261" spans="1:13" ht="21.75" customHeight="1">
      <c r="A261" s="20"/>
      <c r="B261" s="186" t="s">
        <v>350</v>
      </c>
      <c r="C261" s="297">
        <v>62000</v>
      </c>
      <c r="D261" s="500"/>
      <c r="E261" s="230">
        <f>+'ม.ค.-มี.ค.'!E261+'ม.ค.-มี.ค.'!F261+'ม.ค.-มี.ค.'!H261+'ม.ค.-มี.ค.'!I261+'ม.ค.-มี.ค.'!K261+'ม.ค.-มี.ค.'!M261+'ม.ค.-มี.ค.'!N261+'ม.ค.-มี.ค.'!V261</f>
        <v>0</v>
      </c>
      <c r="F261" s="230">
        <f>+'เม.ย.-มิ.ย.'!E261+'เม.ย.-มิ.ย.'!F261+'เม.ย.-มิ.ย.'!G261+'เม.ย.-มิ.ย.'!H261+'เม.ย.-มิ.ย.'!I261+'เม.ย.-มิ.ย.'!M261+'เม.ย.-มิ.ย.'!N261+'เม.ย.-มิ.ย.'!P261+'เม.ย.-มิ.ย.'!R261+'เม.ย.-มิ.ย.'!S261</f>
        <v>0</v>
      </c>
      <c r="G261" s="230">
        <f>+'ก.ค.-ก.ย.'!E261+'ก.ค.-ก.ย.'!F261+'ก.ค.-ก.ย.'!G261+'ก.ค.-ก.ย.'!H261+'ก.ค.-ก.ย.'!I261+'ก.ค.-ก.ย.'!J261+'ก.ค.-ก.ย.'!K261+'ก.ค.-ก.ย.'!M261+'ก.ค.-ก.ย.'!N261+'ก.ค.-ก.ย.'!Q261+'ก.ค.-ก.ย.'!V261</f>
        <v>62000</v>
      </c>
      <c r="H261" s="230">
        <f t="shared" si="28"/>
        <v>62000</v>
      </c>
      <c r="I261" s="230">
        <f t="shared" si="29"/>
        <v>0</v>
      </c>
    </row>
    <row r="262" spans="1:13" s="221" customFormat="1" ht="21.75" customHeight="1" thickBot="1">
      <c r="A262" s="24"/>
      <c r="B262" s="45" t="s">
        <v>5</v>
      </c>
      <c r="C262" s="170">
        <f>SUM(C227:C261)</f>
        <v>2383100</v>
      </c>
      <c r="D262" s="170">
        <f t="shared" ref="D262:I262" si="30">SUM(D251:D261)</f>
        <v>0</v>
      </c>
      <c r="E262" s="170">
        <f>SUM(E251:E261)</f>
        <v>410000</v>
      </c>
      <c r="F262" s="170">
        <f t="shared" si="30"/>
        <v>622000</v>
      </c>
      <c r="G262" s="170">
        <f>SUM(G251:G261)</f>
        <v>1155500</v>
      </c>
      <c r="H262" s="170">
        <f t="shared" si="30"/>
        <v>2187500</v>
      </c>
      <c r="I262" s="367">
        <f t="shared" si="30"/>
        <v>14500</v>
      </c>
      <c r="J262" s="233"/>
      <c r="K262" s="329"/>
      <c r="L262" s="330"/>
      <c r="M262" s="330"/>
    </row>
    <row r="263" spans="1:13" ht="21.75" customHeight="1" thickTop="1">
      <c r="A263" s="50" t="s">
        <v>149</v>
      </c>
      <c r="B263" s="4"/>
      <c r="C263" s="193"/>
      <c r="D263" s="517"/>
      <c r="E263" s="517"/>
      <c r="F263" s="504"/>
      <c r="G263" s="504"/>
      <c r="H263" s="504"/>
      <c r="I263" s="504"/>
    </row>
    <row r="264" spans="1:13" ht="21.75" customHeight="1">
      <c r="A264" s="9"/>
      <c r="B264" s="186"/>
      <c r="C264" s="296"/>
      <c r="D264" s="230"/>
      <c r="E264" s="230"/>
      <c r="F264" s="230"/>
      <c r="G264" s="230"/>
      <c r="H264" s="230"/>
      <c r="I264" s="230"/>
    </row>
    <row r="265" spans="1:13" ht="21.75" customHeight="1">
      <c r="A265" s="9"/>
      <c r="B265" s="186"/>
      <c r="C265" s="296"/>
      <c r="D265" s="230"/>
      <c r="E265" s="230"/>
      <c r="F265" s="230"/>
      <c r="G265" s="230"/>
      <c r="H265" s="230"/>
      <c r="I265" s="230"/>
    </row>
    <row r="266" spans="1:13" ht="21.75" customHeight="1">
      <c r="A266" s="9"/>
      <c r="B266" s="186"/>
      <c r="C266" s="296"/>
      <c r="D266" s="230"/>
      <c r="E266" s="230"/>
      <c r="F266" s="230"/>
      <c r="G266" s="230"/>
      <c r="H266" s="230"/>
      <c r="I266" s="230"/>
    </row>
    <row r="267" spans="1:13" ht="21.75" customHeight="1">
      <c r="A267" s="9"/>
      <c r="B267" s="186"/>
      <c r="C267" s="296"/>
      <c r="D267" s="230"/>
      <c r="E267" s="230"/>
      <c r="F267" s="230"/>
      <c r="G267" s="230"/>
      <c r="H267" s="230"/>
      <c r="I267" s="230"/>
    </row>
    <row r="268" spans="1:13" s="172" customFormat="1" ht="21.75" customHeight="1">
      <c r="A268" s="9"/>
      <c r="B268" s="186"/>
      <c r="C268" s="296"/>
      <c r="D268" s="230"/>
      <c r="E268" s="230"/>
      <c r="F268" s="230"/>
      <c r="G268" s="238"/>
      <c r="H268" s="230"/>
      <c r="I268" s="230"/>
      <c r="J268" s="233"/>
      <c r="K268" s="331"/>
      <c r="L268" s="330"/>
      <c r="M268" s="330"/>
    </row>
    <row r="269" spans="1:13" ht="21.75" customHeight="1">
      <c r="A269" s="9"/>
      <c r="B269" s="186"/>
      <c r="C269" s="296"/>
      <c r="D269" s="230"/>
      <c r="E269" s="230"/>
      <c r="F269" s="230"/>
      <c r="G269" s="239"/>
      <c r="H269" s="230"/>
      <c r="I269" s="230"/>
    </row>
    <row r="270" spans="1:13" ht="21.75" customHeight="1">
      <c r="A270" s="9"/>
      <c r="B270" s="186"/>
      <c r="C270" s="296"/>
      <c r="D270" s="230"/>
      <c r="E270" s="230"/>
      <c r="F270" s="230"/>
      <c r="G270" s="230"/>
      <c r="H270" s="230"/>
      <c r="I270" s="230"/>
      <c r="J270" s="242"/>
    </row>
    <row r="271" spans="1:13" ht="21.75" customHeight="1">
      <c r="A271" s="9"/>
      <c r="B271" s="186"/>
      <c r="C271" s="296"/>
      <c r="D271" s="230"/>
      <c r="E271" s="230"/>
      <c r="F271" s="230"/>
      <c r="G271" s="230"/>
      <c r="H271" s="230"/>
      <c r="I271" s="230"/>
    </row>
    <row r="272" spans="1:13" s="221" customFormat="1" ht="21.75" customHeight="1" thickBot="1">
      <c r="A272" s="15"/>
      <c r="B272" s="14" t="s">
        <v>5</v>
      </c>
      <c r="C272" s="170">
        <f>SUM(C264:C271)</f>
        <v>0</v>
      </c>
      <c r="D272" s="26">
        <f t="shared" ref="D272:I272" si="31">SUM(D264:D271)</f>
        <v>0</v>
      </c>
      <c r="E272" s="26">
        <f t="shared" si="31"/>
        <v>0</v>
      </c>
      <c r="F272" s="26">
        <f t="shared" si="31"/>
        <v>0</v>
      </c>
      <c r="G272" s="26">
        <f t="shared" si="31"/>
        <v>0</v>
      </c>
      <c r="H272" s="26">
        <f t="shared" si="31"/>
        <v>0</v>
      </c>
      <c r="I272" s="139">
        <f t="shared" si="31"/>
        <v>0</v>
      </c>
      <c r="J272" s="233"/>
      <c r="K272" s="329"/>
      <c r="L272" s="330"/>
      <c r="M272" s="330"/>
    </row>
    <row r="273" spans="1:13" ht="21.75" customHeight="1" thickTop="1">
      <c r="A273" s="20" t="s">
        <v>24</v>
      </c>
      <c r="B273" s="23"/>
      <c r="C273" s="190"/>
      <c r="D273" s="230"/>
      <c r="E273" s="230"/>
      <c r="F273" s="230"/>
      <c r="G273" s="230"/>
      <c r="H273" s="230"/>
      <c r="I273" s="230"/>
    </row>
    <row r="274" spans="1:13" ht="21.75" customHeight="1">
      <c r="A274" s="20"/>
      <c r="B274" s="130" t="s">
        <v>406</v>
      </c>
      <c r="C274" s="192">
        <v>121500</v>
      </c>
      <c r="D274" s="230"/>
      <c r="E274" s="230">
        <f>+'ม.ค.-มี.ค.'!D274</f>
        <v>121500</v>
      </c>
      <c r="F274" s="230"/>
      <c r="G274" s="230"/>
      <c r="H274" s="230">
        <f>SUM(D274:G274)</f>
        <v>121500</v>
      </c>
      <c r="I274" s="230">
        <f>+C274-H274</f>
        <v>0</v>
      </c>
    </row>
    <row r="275" spans="1:13" ht="21.75" customHeight="1">
      <c r="A275" s="20"/>
      <c r="B275" s="130" t="s">
        <v>405</v>
      </c>
      <c r="C275" s="192">
        <v>105000</v>
      </c>
      <c r="D275" s="230"/>
      <c r="E275" s="230">
        <f>+'ม.ค.-มี.ค.'!D275</f>
        <v>105000</v>
      </c>
      <c r="F275" s="230"/>
      <c r="G275" s="230"/>
      <c r="H275" s="230">
        <f>SUM(D275:G275)</f>
        <v>105000</v>
      </c>
      <c r="I275" s="230">
        <f>+C275-H275</f>
        <v>0</v>
      </c>
    </row>
    <row r="276" spans="1:13" ht="21.75" customHeight="1" thickBot="1">
      <c r="A276" s="15"/>
      <c r="B276" s="14" t="s">
        <v>5</v>
      </c>
      <c r="C276" s="298">
        <f>SUM(C274:C275)</f>
        <v>226500</v>
      </c>
      <c r="D276" s="26">
        <f>SUM(D274:D275)</f>
        <v>0</v>
      </c>
      <c r="E276" s="26">
        <f>SUM(E274:E275)</f>
        <v>226500</v>
      </c>
      <c r="F276" s="26">
        <f>SUM(F274:F274)</f>
        <v>0</v>
      </c>
      <c r="G276" s="26">
        <f>SUM(G274:G274)</f>
        <v>0</v>
      </c>
      <c r="H276" s="26">
        <f>SUM(H274:H275)</f>
        <v>226500</v>
      </c>
      <c r="I276" s="139">
        <f>SUM(I274:I275)</f>
        <v>0</v>
      </c>
    </row>
    <row r="277" spans="1:13" s="172" customFormat="1" ht="21" customHeight="1" thickTop="1">
      <c r="A277" s="20" t="s">
        <v>44</v>
      </c>
      <c r="B277" s="23"/>
      <c r="C277" s="193"/>
      <c r="D277" s="505"/>
      <c r="E277" s="505"/>
      <c r="F277" s="505"/>
      <c r="G277" s="505"/>
      <c r="H277" s="505"/>
      <c r="I277" s="505"/>
      <c r="J277" s="233"/>
      <c r="K277" s="329"/>
      <c r="L277" s="330"/>
      <c r="M277" s="330"/>
    </row>
    <row r="278" spans="1:13" ht="24" customHeight="1">
      <c r="A278" s="20"/>
      <c r="B278" s="185" t="s">
        <v>420</v>
      </c>
      <c r="C278" s="192">
        <v>20000</v>
      </c>
      <c r="D278" s="230">
        <f>+'เม.ย.-มิ.ย.'!D278</f>
        <v>20000</v>
      </c>
      <c r="E278" s="239"/>
      <c r="F278" s="230"/>
      <c r="G278" s="230">
        <f>+'ก.ค.-ก.ย.'!E278+'ก.ค.-ก.ย.'!F278+'ก.ค.-ก.ย.'!G278+'ก.ค.-ก.ย.'!H278+'ก.ค.-ก.ย.'!I278+'ก.ค.-ก.ย.'!J278+'ก.ค.-ก.ย.'!K278+'ก.ค.-ก.ย.'!M278+'ก.ค.-ก.ย.'!N278+'ก.ค.-ก.ย.'!Q278+'ก.ค.-ก.ย.'!V278</f>
        <v>0</v>
      </c>
      <c r="H278" s="230">
        <f>SUM(D278:G278)</f>
        <v>20000</v>
      </c>
      <c r="I278" s="230">
        <f>+C278-H278</f>
        <v>0</v>
      </c>
    </row>
    <row r="279" spans="1:13" ht="24" customHeight="1">
      <c r="A279" s="20"/>
      <c r="B279" s="185" t="s">
        <v>435</v>
      </c>
      <c r="C279" s="190">
        <v>10000</v>
      </c>
      <c r="D279" s="230"/>
      <c r="E279" s="239"/>
      <c r="F279" s="230"/>
      <c r="G279" s="230">
        <f>+'ก.ค.-ก.ย.'!E279+'ก.ค.-ก.ย.'!F279+'ก.ค.-ก.ย.'!G279+'ก.ค.-ก.ย.'!H279+'ก.ค.-ก.ย.'!I279+'ก.ค.-ก.ย.'!J279+'ก.ค.-ก.ย.'!K279+'ก.ค.-ก.ย.'!M279+'ก.ค.-ก.ย.'!N279+'ก.ค.-ก.ย.'!Q279+'ก.ค.-ก.ย.'!V279</f>
        <v>10000</v>
      </c>
      <c r="H279" s="230"/>
      <c r="I279" s="230"/>
    </row>
    <row r="280" spans="1:13" ht="24" customHeight="1">
      <c r="A280" s="20"/>
      <c r="B280" s="23"/>
      <c r="C280" s="290"/>
      <c r="D280" s="230"/>
      <c r="E280" s="239"/>
      <c r="F280" s="230"/>
      <c r="G280" s="230">
        <f>+'ก.ค.-ก.ย.'!E280+'ก.ค.-ก.ย.'!F280+'ก.ค.-ก.ย.'!G280+'ก.ค.-ก.ย.'!H280+'ก.ค.-ก.ย.'!I280+'ก.ค.-ก.ย.'!J280+'ก.ค.-ก.ย.'!K280+'ก.ค.-ก.ย.'!M280+'ก.ค.-ก.ย.'!N280+'ก.ค.-ก.ย.'!Q280+'ก.ค.-ก.ย.'!V280</f>
        <v>40400</v>
      </c>
      <c r="H280" s="230"/>
      <c r="I280" s="230"/>
    </row>
    <row r="281" spans="1:13" ht="24" customHeight="1">
      <c r="A281" s="20"/>
      <c r="B281" s="23"/>
      <c r="C281" s="290"/>
      <c r="D281" s="230"/>
      <c r="E281" s="239"/>
      <c r="F281" s="230"/>
      <c r="G281" s="230">
        <f>+'ก.ค.-ก.ย.'!E281+'ก.ค.-ก.ย.'!F281+'ก.ค.-ก.ย.'!G281+'ก.ค.-ก.ย.'!H281+'ก.ค.-ก.ย.'!I281+'ก.ค.-ก.ย.'!J281+'ก.ค.-ก.ย.'!K281+'ก.ค.-ก.ย.'!M281+'ก.ค.-ก.ย.'!N281+'ก.ค.-ก.ย.'!Q281+'ก.ค.-ก.ย.'!V281</f>
        <v>10000</v>
      </c>
      <c r="H281" s="230"/>
      <c r="I281" s="230"/>
    </row>
    <row r="282" spans="1:13" ht="24" customHeight="1">
      <c r="A282" s="20"/>
      <c r="B282" s="23"/>
      <c r="C282" s="290"/>
      <c r="D282" s="230"/>
      <c r="E282" s="239"/>
      <c r="F282" s="230"/>
      <c r="G282" s="230">
        <f>+'ก.ค.-ก.ย.'!E282+'ก.ค.-ก.ย.'!F282+'ก.ค.-ก.ย.'!G282+'ก.ค.-ก.ย.'!H282+'ก.ค.-ก.ย.'!I282+'ก.ค.-ก.ย.'!J282+'ก.ค.-ก.ย.'!K282+'ก.ค.-ก.ย.'!M282+'ก.ค.-ก.ย.'!N282+'ก.ค.-ก.ย.'!Q282+'ก.ค.-ก.ย.'!V282</f>
        <v>0</v>
      </c>
      <c r="H282" s="230"/>
      <c r="I282" s="230"/>
    </row>
    <row r="283" spans="1:13" ht="24" customHeight="1">
      <c r="A283" s="20"/>
      <c r="B283" s="23"/>
      <c r="C283" s="290"/>
      <c r="D283" s="230"/>
      <c r="E283" s="239"/>
      <c r="F283" s="230"/>
      <c r="G283" s="230">
        <f>+'ก.ค.-ก.ย.'!E283+'ก.ค.-ก.ย.'!F283+'ก.ค.-ก.ย.'!G283+'ก.ค.-ก.ย.'!H283+'ก.ค.-ก.ย.'!I283+'ก.ค.-ก.ย.'!J283+'ก.ค.-ก.ย.'!K283+'ก.ค.-ก.ย.'!M283+'ก.ค.-ก.ย.'!N283+'ก.ค.-ก.ย.'!Q283+'ก.ค.-ก.ย.'!V283</f>
        <v>10000</v>
      </c>
      <c r="H283" s="230"/>
      <c r="I283" s="230"/>
    </row>
    <row r="284" spans="1:13" ht="24" customHeight="1">
      <c r="A284" s="20"/>
      <c r="B284" s="23"/>
      <c r="C284" s="290"/>
      <c r="D284" s="230"/>
      <c r="E284" s="230"/>
      <c r="F284" s="230"/>
      <c r="G284" s="230">
        <f>+'ก.ค.-ก.ย.'!E284+'ก.ค.-ก.ย.'!F284+'ก.ค.-ก.ย.'!G284+'ก.ค.-ก.ย.'!H284+'ก.ค.-ก.ย.'!I284+'ก.ค.-ก.ย.'!J284+'ก.ค.-ก.ย.'!K284+'ก.ค.-ก.ย.'!M284+'ก.ค.-ก.ย.'!N284+'ก.ค.-ก.ย.'!Q284+'ก.ค.-ก.ย.'!V284</f>
        <v>40000</v>
      </c>
      <c r="H284" s="230"/>
      <c r="I284" s="230"/>
    </row>
    <row r="285" spans="1:13" s="221" customFormat="1" ht="24" customHeight="1" thickBot="1">
      <c r="A285" s="15"/>
      <c r="B285" s="53" t="s">
        <v>5</v>
      </c>
      <c r="C285" s="105">
        <f t="shared" ref="C285:H285" si="32">SUM(C278:C279)</f>
        <v>30000</v>
      </c>
      <c r="D285" s="105">
        <f t="shared" si="32"/>
        <v>20000</v>
      </c>
      <c r="E285" s="105">
        <f t="shared" si="32"/>
        <v>0</v>
      </c>
      <c r="F285" s="105">
        <f t="shared" si="32"/>
        <v>0</v>
      </c>
      <c r="G285" s="105">
        <f t="shared" si="32"/>
        <v>10000</v>
      </c>
      <c r="H285" s="105">
        <f t="shared" si="32"/>
        <v>20000</v>
      </c>
      <c r="I285" s="39">
        <f>+C285-H285</f>
        <v>10000</v>
      </c>
      <c r="J285" s="233"/>
      <c r="K285" s="329"/>
      <c r="L285" s="330"/>
      <c r="M285" s="330"/>
    </row>
    <row r="286" spans="1:13" ht="24" customHeight="1" thickTop="1">
      <c r="A286" s="20" t="s">
        <v>276</v>
      </c>
      <c r="B286" s="23"/>
      <c r="C286" s="193"/>
      <c r="D286" s="230"/>
      <c r="E286" s="230"/>
      <c r="F286" s="230"/>
      <c r="G286" s="230"/>
      <c r="H286" s="230"/>
      <c r="I286" s="230"/>
    </row>
    <row r="287" spans="1:13" ht="24" customHeight="1">
      <c r="A287" s="20"/>
      <c r="B287" s="185" t="s">
        <v>226</v>
      </c>
      <c r="C287" s="192">
        <f>+'ต.ค. '!E284+'ต.ค. '!F284+'ต.ค. '!H284+'ต.ค. '!M284+198750</f>
        <v>236250</v>
      </c>
      <c r="D287" s="230">
        <f>+'ต.ค.-ธ.ค.'!E283+'ต.ค.-ธ.ค.'!F283+'ต.ค.-ธ.ค.'!H283+'ต.ค.-ธ.ค.'!I283+'ต.ค.-ธ.ค.'!M283+'ต.ค.-ธ.ค.'!Q283</f>
        <v>236250</v>
      </c>
      <c r="E287" s="230">
        <f>+'ม.ค.-มี.ค.'!E282+'ม.ค.-มี.ค.'!F282+'ม.ค.-มี.ค.'!H282+'ม.ค.-มี.ค.'!I282+'ม.ค.-มี.ค.'!K282+'ม.ค.-มี.ค.'!M282+'ม.ค.-มี.ค.'!N282+'ม.ค.-มี.ค.'!V282</f>
        <v>0</v>
      </c>
      <c r="F287" s="230">
        <f>+'เม.ย.-มิ.ย.'!E282</f>
        <v>0</v>
      </c>
      <c r="G287" s="230">
        <f>+'ก.ค.-ก.ย.'!E287</f>
        <v>0</v>
      </c>
      <c r="H287" s="230">
        <f>SUM(D287:G287)</f>
        <v>236250</v>
      </c>
      <c r="I287" s="230">
        <f>+C287-H287</f>
        <v>0</v>
      </c>
    </row>
    <row r="288" spans="1:13" ht="24" customHeight="1">
      <c r="A288" s="20"/>
      <c r="B288" s="185" t="s">
        <v>233</v>
      </c>
      <c r="C288" s="299">
        <v>7500</v>
      </c>
      <c r="D288" s="230">
        <f>+'ต.ค.-ธ.ค.'!E284+'ต.ค.-ธ.ค.'!F284+'ต.ค.-ธ.ค.'!H284+'ต.ค.-ธ.ค.'!I284+'ต.ค.-ธ.ค.'!M284+'ต.ค.-ธ.ค.'!Q284</f>
        <v>7500</v>
      </c>
      <c r="E288" s="230">
        <f>+'ม.ค.-มี.ค.'!E283+'ม.ค.-มี.ค.'!F283+'ม.ค.-มี.ค.'!H283+'ม.ค.-มี.ค.'!I283+'ม.ค.-มี.ค.'!K283+'ม.ค.-มี.ค.'!M283+'ม.ค.-มี.ค.'!N283+'ม.ค.-มี.ค.'!V283</f>
        <v>0</v>
      </c>
      <c r="F288" s="230">
        <f>+'เม.ย.-มิ.ย.'!E283</f>
        <v>0</v>
      </c>
      <c r="G288" s="230">
        <f>+'ก.ค.-ก.ย.'!E288</f>
        <v>0</v>
      </c>
      <c r="H288" s="230">
        <f t="shared" ref="H288:H295" si="33">SUM(D288:G288)</f>
        <v>7500</v>
      </c>
      <c r="I288" s="230">
        <f t="shared" ref="I288:I295" si="34">+C288-H288</f>
        <v>0</v>
      </c>
    </row>
    <row r="289" spans="1:13" ht="24" customHeight="1">
      <c r="A289" s="20"/>
      <c r="B289" s="274" t="s">
        <v>378</v>
      </c>
      <c r="C289" s="299">
        <v>37500</v>
      </c>
      <c r="D289" s="230">
        <f>+'ต.ค.-ธ.ค.'!E285+'ต.ค.-ธ.ค.'!F285+'ต.ค.-ธ.ค.'!H285+'ต.ค.-ธ.ค.'!I285+'ต.ค.-ธ.ค.'!M285+'ต.ค.-ธ.ค.'!Q285</f>
        <v>37500</v>
      </c>
      <c r="E289" s="230">
        <f>+'ม.ค.-มี.ค.'!E284+'ม.ค.-มี.ค.'!F284+'ม.ค.-มี.ค.'!H284+'ม.ค.-มี.ค.'!I284+'ม.ค.-มี.ค.'!K284+'ม.ค.-มี.ค.'!M284+'ม.ค.-มี.ค.'!N284+'ม.ค.-มี.ค.'!V284</f>
        <v>0</v>
      </c>
      <c r="F289" s="230">
        <f>+'เม.ย.-มิ.ย.'!E284</f>
        <v>0</v>
      </c>
      <c r="G289" s="230">
        <f>+'ก.ค.-ก.ย.'!E289</f>
        <v>0</v>
      </c>
      <c r="H289" s="230">
        <f t="shared" si="33"/>
        <v>37500</v>
      </c>
      <c r="I289" s="230">
        <f t="shared" si="34"/>
        <v>0</v>
      </c>
    </row>
    <row r="290" spans="1:13" ht="24" customHeight="1">
      <c r="A290" s="20"/>
      <c r="B290" s="185" t="s">
        <v>379</v>
      </c>
      <c r="C290" s="299">
        <v>10000</v>
      </c>
      <c r="D290" s="230">
        <f>+'ต.ค.-ธ.ค.'!E286+'ต.ค.-ธ.ค.'!F286+'ต.ค.-ธ.ค.'!H286+'ต.ค.-ธ.ค.'!I286+'ต.ค.-ธ.ค.'!M286+'ต.ค.-ธ.ค.'!Q286</f>
        <v>10000</v>
      </c>
      <c r="E290" s="230">
        <f>+'ม.ค.-มี.ค.'!E285+'ม.ค.-มี.ค.'!F285+'ม.ค.-มี.ค.'!H285+'ม.ค.-มี.ค.'!I285+'ม.ค.-มี.ค.'!K285+'ม.ค.-มี.ค.'!M285+'ม.ค.-มี.ค.'!N285+'ม.ค.-มี.ค.'!V285</f>
        <v>0</v>
      </c>
      <c r="F290" s="230">
        <f>+'เม.ย.-มิ.ย.'!E285</f>
        <v>0</v>
      </c>
      <c r="G290" s="230">
        <f>+'ก.ค.-ก.ย.'!E290</f>
        <v>0</v>
      </c>
      <c r="H290" s="230">
        <f t="shared" si="33"/>
        <v>10000</v>
      </c>
      <c r="I290" s="230">
        <f t="shared" si="34"/>
        <v>0</v>
      </c>
    </row>
    <row r="291" spans="1:13" ht="24" customHeight="1">
      <c r="A291" s="20"/>
      <c r="B291" s="185" t="s">
        <v>382</v>
      </c>
      <c r="C291" s="299">
        <v>1950</v>
      </c>
      <c r="D291" s="230">
        <f>+'ต.ค.-ธ.ค.'!E287+'ต.ค.-ธ.ค.'!F287+'ต.ค.-ธ.ค.'!H287+'ต.ค.-ธ.ค.'!I287+'ต.ค.-ธ.ค.'!M287+'ต.ค.-ธ.ค.'!Q287</f>
        <v>1950</v>
      </c>
      <c r="E291" s="230">
        <f>+'ม.ค.-มี.ค.'!E286+'ม.ค.-มี.ค.'!F286+'ม.ค.-มี.ค.'!H286+'ม.ค.-มี.ค.'!I286+'ม.ค.-มี.ค.'!K286+'ม.ค.-มี.ค.'!M286+'ม.ค.-มี.ค.'!N286+'ม.ค.-มี.ค.'!V286</f>
        <v>0</v>
      </c>
      <c r="F291" s="230">
        <f>+'เม.ย.-มิ.ย.'!E286</f>
        <v>0</v>
      </c>
      <c r="G291" s="230">
        <f>+'ก.ค.-ก.ย.'!E291</f>
        <v>0</v>
      </c>
      <c r="H291" s="230">
        <f t="shared" si="33"/>
        <v>1950</v>
      </c>
      <c r="I291" s="230">
        <f t="shared" si="34"/>
        <v>0</v>
      </c>
      <c r="J291" s="243"/>
    </row>
    <row r="292" spans="1:13" ht="24" customHeight="1">
      <c r="A292" s="20"/>
      <c r="B292" s="185" t="s">
        <v>380</v>
      </c>
      <c r="C292" s="299">
        <f>4550+8575</f>
        <v>13125</v>
      </c>
      <c r="D292" s="230">
        <f>+'ต.ค.-ธ.ค.'!E288+'ต.ค.-ธ.ค.'!F288+'ต.ค.-ธ.ค.'!H288+'ต.ค.-ธ.ค.'!I288+'ต.ค.-ธ.ค.'!M288+'ต.ค.-ธ.ค.'!Q288</f>
        <v>13125</v>
      </c>
      <c r="E292" s="230">
        <f>+'ม.ค.-มี.ค.'!E287+'ม.ค.-มี.ค.'!F287+'ม.ค.-มี.ค.'!H287+'ม.ค.-มี.ค.'!I287+'ม.ค.-มี.ค.'!K287+'ม.ค.-มี.ค.'!M287+'ม.ค.-มี.ค.'!N287+'ม.ค.-มี.ค.'!V287</f>
        <v>0</v>
      </c>
      <c r="F292" s="230">
        <f>+'เม.ย.-มิ.ย.'!E287</f>
        <v>0</v>
      </c>
      <c r="G292" s="230">
        <f>+'ก.ค.-ก.ย.'!E292</f>
        <v>0</v>
      </c>
      <c r="H292" s="230">
        <f t="shared" si="33"/>
        <v>13125</v>
      </c>
      <c r="I292" s="230">
        <f t="shared" si="34"/>
        <v>0</v>
      </c>
      <c r="J292" s="243"/>
    </row>
    <row r="293" spans="1:13" ht="24" customHeight="1">
      <c r="A293" s="20"/>
      <c r="B293" s="185" t="s">
        <v>386</v>
      </c>
      <c r="C293" s="192">
        <v>409940.96</v>
      </c>
      <c r="D293" s="230">
        <f>+'ต.ค.-ธ.ค.'!E289+'ต.ค.-ธ.ค.'!F289+'ต.ค.-ธ.ค.'!H289+'ต.ค.-ธ.ค.'!I289+'ต.ค.-ธ.ค.'!M289+'ต.ค.-ธ.ค.'!Q289</f>
        <v>409940.96</v>
      </c>
      <c r="E293" s="230">
        <f>+'ม.ค.-มี.ค.'!E288+'ม.ค.-มี.ค.'!F288+'ม.ค.-มี.ค.'!H288+'ม.ค.-มี.ค.'!I288+'ม.ค.-มี.ค.'!K288+'ม.ค.-มี.ค.'!M288+'ม.ค.-มี.ค.'!N288+'ม.ค.-มี.ค.'!V288</f>
        <v>0</v>
      </c>
      <c r="F293" s="230">
        <f>+'เม.ย.-มิ.ย.'!E288</f>
        <v>0</v>
      </c>
      <c r="G293" s="230">
        <f>+'ก.ค.-ก.ย.'!E293</f>
        <v>0</v>
      </c>
      <c r="H293" s="230">
        <f t="shared" si="33"/>
        <v>409940.96</v>
      </c>
      <c r="I293" s="230">
        <f t="shared" si="34"/>
        <v>0</v>
      </c>
      <c r="J293" s="243"/>
    </row>
    <row r="294" spans="1:13" ht="24" customHeight="1">
      <c r="A294" s="20"/>
      <c r="B294" s="185" t="s">
        <v>387</v>
      </c>
      <c r="C294" s="192">
        <v>40000</v>
      </c>
      <c r="D294" s="230">
        <f>+'ต.ค.-ธ.ค.'!E290+'ต.ค.-ธ.ค.'!F290+'ต.ค.-ธ.ค.'!H290+'ต.ค.-ธ.ค.'!I290+'ต.ค.-ธ.ค.'!M290+'ต.ค.-ธ.ค.'!Q290</f>
        <v>40000</v>
      </c>
      <c r="E294" s="230">
        <f>+'ม.ค.-มี.ค.'!E289+'ม.ค.-มี.ค.'!F289+'ม.ค.-มี.ค.'!H289+'ม.ค.-มี.ค.'!I289+'ม.ค.-มี.ค.'!K289+'ม.ค.-มี.ค.'!M289+'ม.ค.-มี.ค.'!N289+'ม.ค.-มี.ค.'!V289</f>
        <v>0</v>
      </c>
      <c r="F294" s="230">
        <f>+'เม.ย.-มิ.ย.'!E289</f>
        <v>0</v>
      </c>
      <c r="G294" s="230">
        <f>+'ก.ค.-ก.ย.'!E294</f>
        <v>0</v>
      </c>
      <c r="H294" s="230">
        <f t="shared" si="33"/>
        <v>40000</v>
      </c>
      <c r="I294" s="230">
        <f t="shared" si="34"/>
        <v>0</v>
      </c>
      <c r="J294" s="243"/>
    </row>
    <row r="295" spans="1:13" ht="24" customHeight="1">
      <c r="A295" s="20"/>
      <c r="B295" s="347" t="s">
        <v>409</v>
      </c>
      <c r="C295" s="192">
        <v>175000</v>
      </c>
      <c r="D295" s="518"/>
      <c r="E295" s="230">
        <f>+'ม.ค.-มี.ค.'!E290+'ม.ค.-มี.ค.'!F290+'ม.ค.-มี.ค.'!H290+'ม.ค.-มี.ค.'!I290+'ม.ค.-มี.ค.'!K290+'ม.ค.-มี.ค.'!M290+'ม.ค.-มี.ค.'!N290+'ม.ค.-มี.ค.'!V290</f>
        <v>174000</v>
      </c>
      <c r="F295" s="230">
        <f>+'เม.ย.-มิ.ย.'!E290</f>
        <v>0</v>
      </c>
      <c r="G295" s="230">
        <f>+'ก.ค.-ก.ย.'!E295</f>
        <v>0</v>
      </c>
      <c r="H295" s="230">
        <f t="shared" si="33"/>
        <v>174000</v>
      </c>
      <c r="I295" s="230">
        <f t="shared" si="34"/>
        <v>1000</v>
      </c>
      <c r="J295" s="243"/>
    </row>
    <row r="296" spans="1:13" ht="24" customHeight="1">
      <c r="A296" s="20"/>
      <c r="B296" s="348"/>
      <c r="C296" s="350"/>
      <c r="D296" s="519"/>
      <c r="E296" s="519"/>
      <c r="F296" s="519"/>
      <c r="G296" s="519"/>
      <c r="H296" s="519"/>
      <c r="I296" s="502"/>
      <c r="J296" s="243"/>
    </row>
    <row r="297" spans="1:13" ht="25.5" customHeight="1" thickBot="1">
      <c r="A297" s="15"/>
      <c r="B297" s="53" t="s">
        <v>5</v>
      </c>
      <c r="C297" s="105">
        <f>SUM(C287:C296)</f>
        <v>931265.96</v>
      </c>
      <c r="D297" s="105">
        <f>SUM(D287:D296)</f>
        <v>756265.96</v>
      </c>
      <c r="E297" s="105">
        <f>SUM(E287:E296)</f>
        <v>174000</v>
      </c>
      <c r="F297" s="105">
        <f>SUM(F287:F296)</f>
        <v>0</v>
      </c>
      <c r="G297" s="105">
        <f>SUM(G287:G296)</f>
        <v>0</v>
      </c>
      <c r="H297" s="105">
        <f>SUM(D297:G297)</f>
        <v>930265.96</v>
      </c>
      <c r="I297" s="39">
        <f>SUM(I287:I296)</f>
        <v>1000</v>
      </c>
      <c r="J297" s="370"/>
      <c r="K297" s="331"/>
      <c r="L297" s="247"/>
      <c r="M297" s="247"/>
    </row>
    <row r="298" spans="1:13" ht="25.5" customHeight="1" thickTop="1" thickBot="1">
      <c r="A298" s="16"/>
      <c r="B298" s="52" t="s">
        <v>49</v>
      </c>
      <c r="C298" s="229">
        <f>+C272+C262+C221+C210+C204++C49+C39+C21+C176+C28+C224</f>
        <v>39148280</v>
      </c>
      <c r="D298" s="229">
        <f>+D272+D262+D221+D210+D204++D49+D39+D21+D176+D28+D224+D249+D245+D242+D235</f>
        <v>8114439.4499999993</v>
      </c>
      <c r="E298" s="229">
        <f>+E272+E262+E221+E210+E204++E49+E39+E21+E176+E28+E224+E249+E245+E242+E235</f>
        <v>9074602.6699999999</v>
      </c>
      <c r="F298" s="229">
        <f>+F272+F262+F221+F210+F204++F49+F39+F21+F176+F28+F224+F249+F245+F242+F235</f>
        <v>9600166.6999999993</v>
      </c>
      <c r="G298" s="229">
        <f>+G272+G262+G221+G210+G204++G49+G39+G21+G176+G28+G224+G249+G245+G242+G235</f>
        <v>11190076.680000002</v>
      </c>
      <c r="H298" s="229">
        <f>+D298+E298+F298+G298</f>
        <v>37979285.5</v>
      </c>
      <c r="I298" s="51">
        <f>+C298-H298</f>
        <v>1168994.5</v>
      </c>
      <c r="J298" s="243"/>
      <c r="K298" s="331"/>
      <c r="L298" s="247"/>
      <c r="M298" s="247"/>
    </row>
    <row r="299" spans="1:13" ht="25.5" customHeight="1" thickTop="1" thickBot="1">
      <c r="A299" s="16"/>
      <c r="B299" s="41" t="s">
        <v>25</v>
      </c>
      <c r="C299" s="260">
        <f>+C297+C285+C276+C272+C262+C224+C221+C210+C176+C49+C28+C21+C39++C204</f>
        <v>40336045.960000001</v>
      </c>
      <c r="D299" s="260">
        <f>+D297+D285+D276+D272+D262+D224+D221+D210+D176+D49+D28+D21+D39++D204+D249+D245+D242+D235</f>
        <v>8890705.4100000001</v>
      </c>
      <c r="E299" s="260">
        <f>+E297+E285+E276+E272+E262+E224+E221+E210+E176+E49+E28+E21+E39++E204+E249+E245+E242+E235</f>
        <v>9475102.6699999999</v>
      </c>
      <c r="F299" s="260">
        <f>+F297+F285+F276+F272+F262+F224+F221+F210+F176+F49+F28+F21+F39++F204+F249+F245+F242+F235</f>
        <v>9600166.6999999993</v>
      </c>
      <c r="G299" s="260">
        <f>+G297+G285+G276+G272+G262+G224+G221+G210+G176+G49+G28+G21+G39++G204+G249+G245+G242+G235</f>
        <v>11200076.68</v>
      </c>
      <c r="H299" s="260">
        <f>SUM(D299:G299)</f>
        <v>39166051.459999993</v>
      </c>
      <c r="I299" s="309">
        <f>+C299-H299</f>
        <v>1169994.5000000075</v>
      </c>
      <c r="J299" s="374"/>
      <c r="K299" s="331"/>
      <c r="L299" s="338"/>
      <c r="M299" s="247"/>
    </row>
    <row r="300" spans="1:13" ht="30" customHeight="1" thickTop="1">
      <c r="B300" s="246" t="s">
        <v>273</v>
      </c>
      <c r="C300" s="182"/>
      <c r="J300" s="243"/>
      <c r="K300" s="331"/>
      <c r="L300" s="247"/>
      <c r="M300" s="247"/>
    </row>
    <row r="301" spans="1:13" ht="15" customHeight="1">
      <c r="C301" s="182"/>
    </row>
    <row r="302" spans="1:13" ht="15" customHeight="1">
      <c r="C302" s="282"/>
    </row>
    <row r="303" spans="1:13" ht="27.75" customHeight="1">
      <c r="B303" s="253">
        <f>39148280-C298</f>
        <v>0</v>
      </c>
    </row>
    <row r="304" spans="1:13" ht="15" customHeight="1">
      <c r="B304" s="233"/>
    </row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</sheetData>
  <mergeCells count="15">
    <mergeCell ref="D5:D6"/>
    <mergeCell ref="E5:E6"/>
    <mergeCell ref="F5:F6"/>
    <mergeCell ref="G5:G6"/>
    <mergeCell ref="H5:H8"/>
    <mergeCell ref="I5:I8"/>
    <mergeCell ref="D7:D8"/>
    <mergeCell ref="E7:E8"/>
    <mergeCell ref="F7:F8"/>
    <mergeCell ref="G7:G8"/>
    <mergeCell ref="A1:I1"/>
    <mergeCell ref="A2:I2"/>
    <mergeCell ref="A3:I3"/>
    <mergeCell ref="A5:B8"/>
    <mergeCell ref="C5:C8"/>
  </mergeCells>
  <pageMargins left="0.17" right="0.17" top="0.19685039370078741" bottom="0.23622047244094491" header="0.19685039370078741" footer="0.15748031496062992"/>
  <pageSetup paperSize="9" scale="95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A1:X381"/>
  <sheetViews>
    <sheetView workbookViewId="0">
      <pane ySplit="8" topLeftCell="A78" activePane="bottomLeft" state="frozen"/>
      <selection activeCell="J212" sqref="J212"/>
      <selection pane="bottomLeft" activeCell="B85" sqref="B85"/>
    </sheetView>
  </sheetViews>
  <sheetFormatPr defaultRowHeight="25.5" customHeight="1"/>
  <cols>
    <col min="1" max="1" width="0.7109375" customWidth="1"/>
    <col min="2" max="2" width="40.85546875" style="1" customWidth="1"/>
    <col min="3" max="3" width="10.42578125" style="550" customWidth="1"/>
    <col min="4" max="4" width="8.85546875" style="64" customWidth="1"/>
    <col min="5" max="5" width="8.85546875" style="488" customWidth="1"/>
    <col min="6" max="8" width="8.85546875" style="434" customWidth="1"/>
    <col min="9" max="10" width="8.85546875" style="64" customWidth="1"/>
    <col min="11" max="11" width="8.28515625" style="64" customWidth="1"/>
    <col min="12" max="12" width="0.42578125" style="64" customWidth="1"/>
    <col min="13" max="13" width="9.140625" style="434" customWidth="1"/>
    <col min="14" max="14" width="9.140625" style="64" customWidth="1"/>
    <col min="15" max="15" width="0.5703125" style="64" customWidth="1"/>
    <col min="16" max="16" width="7.7109375" style="64" customWidth="1"/>
    <col min="17" max="17" width="7" style="64" customWidth="1"/>
    <col min="18" max="18" width="7.7109375" style="63" customWidth="1"/>
    <col min="19" max="19" width="8.85546875" style="549" customWidth="1"/>
    <col min="20" max="20" width="7.7109375" style="549" customWidth="1"/>
    <col min="21" max="21" width="6.7109375" style="63" customWidth="1"/>
    <col min="22" max="22" width="7.140625" style="63" customWidth="1"/>
    <col min="23" max="23" width="28" style="579" customWidth="1"/>
    <col min="24" max="24" width="16.28515625" style="364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579"/>
      <c r="X1" s="56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579"/>
      <c r="X2" s="56"/>
    </row>
    <row r="3" spans="1:24" s="1" customFormat="1" ht="21.75" customHeight="1">
      <c r="A3" s="653" t="s">
        <v>450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579"/>
      <c r="X3" s="56"/>
    </row>
    <row r="4" spans="1:24" s="34" customFormat="1" ht="4.5" customHeight="1">
      <c r="B4" s="108"/>
      <c r="C4" s="536"/>
      <c r="D4" s="433"/>
      <c r="E4" s="436"/>
      <c r="F4" s="437"/>
      <c r="G4" s="437"/>
      <c r="H4" s="437"/>
      <c r="I4" s="433"/>
      <c r="J4" s="433"/>
      <c r="K4" s="433"/>
      <c r="L4" s="433"/>
      <c r="M4" s="437"/>
      <c r="N4" s="433"/>
      <c r="O4" s="433"/>
      <c r="P4" s="433"/>
      <c r="Q4" s="433"/>
      <c r="R4" s="175"/>
      <c r="S4" s="537"/>
      <c r="T4" s="537"/>
      <c r="U4" s="175"/>
      <c r="V4" s="175"/>
      <c r="W4" s="580"/>
      <c r="X4" s="496"/>
    </row>
    <row r="5" spans="1:24" s="2" customFormat="1" ht="25.5" customHeight="1">
      <c r="A5" s="654" t="s">
        <v>1</v>
      </c>
      <c r="B5" s="655"/>
      <c r="C5" s="404"/>
      <c r="D5" s="697" t="s">
        <v>26</v>
      </c>
      <c r="E5" s="697" t="s">
        <v>27</v>
      </c>
      <c r="F5" s="697"/>
      <c r="G5" s="698" t="s">
        <v>425</v>
      </c>
      <c r="H5" s="699" t="s">
        <v>29</v>
      </c>
      <c r="I5" s="700"/>
      <c r="J5" s="701"/>
      <c r="K5" s="697" t="s">
        <v>30</v>
      </c>
      <c r="L5" s="705" t="s">
        <v>216</v>
      </c>
      <c r="M5" s="699" t="s">
        <v>31</v>
      </c>
      <c r="N5" s="700"/>
      <c r="O5" s="700"/>
      <c r="P5" s="701"/>
      <c r="Q5" s="705" t="s">
        <v>32</v>
      </c>
      <c r="R5" s="699" t="s">
        <v>62</v>
      </c>
      <c r="S5" s="700"/>
      <c r="T5" s="701"/>
      <c r="U5" s="705" t="s">
        <v>63</v>
      </c>
      <c r="V5" s="705" t="s">
        <v>64</v>
      </c>
      <c r="W5" s="581"/>
    </row>
    <row r="6" spans="1:24" s="2" customFormat="1" ht="33.75" customHeight="1">
      <c r="A6" s="656"/>
      <c r="B6" s="657"/>
      <c r="C6" s="405"/>
      <c r="D6" s="697"/>
      <c r="E6" s="697"/>
      <c r="F6" s="697"/>
      <c r="G6" s="698"/>
      <c r="H6" s="702"/>
      <c r="I6" s="703"/>
      <c r="J6" s="704"/>
      <c r="K6" s="697"/>
      <c r="L6" s="706"/>
      <c r="M6" s="702"/>
      <c r="N6" s="703"/>
      <c r="O6" s="703"/>
      <c r="P6" s="704"/>
      <c r="Q6" s="706"/>
      <c r="R6" s="702"/>
      <c r="S6" s="703"/>
      <c r="T6" s="704"/>
      <c r="U6" s="706"/>
      <c r="V6" s="706"/>
      <c r="W6" s="581"/>
    </row>
    <row r="7" spans="1:24" s="2" customFormat="1" ht="25.5" customHeight="1">
      <c r="A7" s="656"/>
      <c r="B7" s="657"/>
      <c r="C7" s="405"/>
      <c r="D7" s="697" t="s">
        <v>33</v>
      </c>
      <c r="E7" s="707" t="s">
        <v>34</v>
      </c>
      <c r="F7" s="698" t="s">
        <v>35</v>
      </c>
      <c r="G7" s="698" t="s">
        <v>36</v>
      </c>
      <c r="H7" s="698" t="s">
        <v>37</v>
      </c>
      <c r="I7" s="705" t="s">
        <v>38</v>
      </c>
      <c r="J7" s="705" t="s">
        <v>39</v>
      </c>
      <c r="K7" s="697" t="s">
        <v>40</v>
      </c>
      <c r="L7" s="439" t="s">
        <v>217</v>
      </c>
      <c r="M7" s="709" t="s">
        <v>37</v>
      </c>
      <c r="N7" s="697" t="s">
        <v>41</v>
      </c>
      <c r="O7" s="705" t="s">
        <v>219</v>
      </c>
      <c r="P7" s="705" t="s">
        <v>42</v>
      </c>
      <c r="Q7" s="705" t="s">
        <v>43</v>
      </c>
      <c r="R7" s="697" t="s">
        <v>410</v>
      </c>
      <c r="S7" s="698" t="s">
        <v>66</v>
      </c>
      <c r="T7" s="707" t="s">
        <v>433</v>
      </c>
      <c r="U7" s="697" t="s">
        <v>67</v>
      </c>
      <c r="V7" s="697" t="s">
        <v>68</v>
      </c>
      <c r="W7" s="581"/>
    </row>
    <row r="8" spans="1:24" s="2" customFormat="1" ht="26.25" customHeight="1">
      <c r="A8" s="658"/>
      <c r="B8" s="659"/>
      <c r="C8" s="406"/>
      <c r="D8" s="697"/>
      <c r="E8" s="708"/>
      <c r="F8" s="698"/>
      <c r="G8" s="698"/>
      <c r="H8" s="698"/>
      <c r="I8" s="706"/>
      <c r="J8" s="706"/>
      <c r="K8" s="697"/>
      <c r="L8" s="440" t="s">
        <v>218</v>
      </c>
      <c r="M8" s="709"/>
      <c r="N8" s="697"/>
      <c r="O8" s="706"/>
      <c r="P8" s="706"/>
      <c r="Q8" s="706"/>
      <c r="R8" s="697"/>
      <c r="S8" s="698"/>
      <c r="T8" s="708"/>
      <c r="U8" s="697"/>
      <c r="V8" s="697"/>
      <c r="W8" s="582"/>
      <c r="X8" s="166"/>
    </row>
    <row r="9" spans="1:24" ht="25.5" customHeight="1">
      <c r="A9" s="3" t="s">
        <v>3</v>
      </c>
      <c r="B9" s="4"/>
      <c r="C9" s="407"/>
      <c r="D9" s="442"/>
      <c r="E9" s="443"/>
      <c r="F9" s="444"/>
      <c r="G9" s="444"/>
      <c r="H9" s="444"/>
      <c r="I9" s="442"/>
      <c r="J9" s="442"/>
      <c r="K9" s="442"/>
      <c r="L9" s="442"/>
      <c r="M9" s="444"/>
      <c r="N9" s="442"/>
      <c r="O9" s="442"/>
      <c r="P9" s="442"/>
      <c r="Q9" s="442"/>
      <c r="R9" s="538"/>
      <c r="S9" s="539"/>
      <c r="T9" s="539"/>
      <c r="U9" s="538"/>
      <c r="V9" s="538"/>
    </row>
    <row r="10" spans="1:24" ht="25.5" customHeight="1">
      <c r="A10" s="5"/>
      <c r="B10" s="130" t="s">
        <v>4</v>
      </c>
      <c r="C10" s="408">
        <v>130062</v>
      </c>
      <c r="D10" s="442">
        <f>+'ต.ค.-ธ.ค.'!D10+'ม.ค.-มี.ค.'!D10+'เม.ย.-มิ.ย.'!D10+'ก.ค.-ก.ย.'!D10</f>
        <v>143232</v>
      </c>
      <c r="E10" s="443"/>
      <c r="F10" s="444"/>
      <c r="G10" s="444"/>
      <c r="H10" s="444"/>
      <c r="I10" s="442"/>
      <c r="J10" s="442"/>
      <c r="K10" s="442"/>
      <c r="L10" s="442"/>
      <c r="M10" s="444"/>
      <c r="N10" s="442"/>
      <c r="O10" s="442"/>
      <c r="P10" s="442"/>
      <c r="Q10" s="442"/>
      <c r="R10" s="538"/>
      <c r="S10" s="539"/>
      <c r="T10" s="539"/>
      <c r="U10" s="538"/>
      <c r="V10" s="538"/>
    </row>
    <row r="11" spans="1:24" ht="25.5" customHeight="1">
      <c r="A11" s="5"/>
      <c r="B11" s="130" t="s">
        <v>221</v>
      </c>
      <c r="C11" s="408">
        <v>13680</v>
      </c>
      <c r="D11" s="442">
        <f>+'ต.ค.-ธ.ค.'!D11+'ม.ค.-มี.ค.'!D11+'เม.ย.-มิ.ย.'!D11+'ก.ค.-ก.ย.'!D11</f>
        <v>13680</v>
      </c>
      <c r="E11" s="443"/>
      <c r="F11" s="444"/>
      <c r="G11" s="444"/>
      <c r="H11" s="444"/>
      <c r="I11" s="442"/>
      <c r="J11" s="442"/>
      <c r="K11" s="442"/>
      <c r="L11" s="442"/>
      <c r="M11" s="444"/>
      <c r="N11" s="442"/>
      <c r="O11" s="442"/>
      <c r="P11" s="442"/>
      <c r="Q11" s="442"/>
      <c r="R11" s="538"/>
      <c r="S11" s="539"/>
      <c r="T11" s="539"/>
      <c r="U11" s="538"/>
      <c r="V11" s="538"/>
    </row>
    <row r="12" spans="1:24" ht="25.5" customHeight="1">
      <c r="A12" s="20"/>
      <c r="B12" s="130" t="s">
        <v>45</v>
      </c>
      <c r="C12" s="408">
        <v>6548400</v>
      </c>
      <c r="D12" s="442">
        <f>+'ต.ค.-ธ.ค.'!D12+'ม.ค.-มี.ค.'!D12+'เม.ย.-มิ.ย.'!D12+'ก.ค.-ก.ย.'!D12</f>
        <v>6355800</v>
      </c>
      <c r="E12" s="443"/>
      <c r="F12" s="444"/>
      <c r="G12" s="444"/>
      <c r="H12" s="444"/>
      <c r="I12" s="442"/>
      <c r="J12" s="442"/>
      <c r="K12" s="442"/>
      <c r="L12" s="442"/>
      <c r="M12" s="444"/>
      <c r="N12" s="442"/>
      <c r="O12" s="442"/>
      <c r="P12" s="442"/>
      <c r="Q12" s="442"/>
      <c r="R12" s="538"/>
      <c r="S12" s="539"/>
      <c r="T12" s="539"/>
      <c r="U12" s="538"/>
      <c r="V12" s="538"/>
    </row>
    <row r="13" spans="1:24" ht="25.5" customHeight="1">
      <c r="A13" s="8"/>
      <c r="B13" s="130" t="s">
        <v>75</v>
      </c>
      <c r="C13" s="408">
        <v>18000</v>
      </c>
      <c r="D13" s="442">
        <f>+'ต.ค.-ธ.ค.'!D13+'ม.ค.-มี.ค.'!D13+'เม.ย.-มิ.ย.'!D13+'ก.ค.-ก.ย.'!D13</f>
        <v>18000</v>
      </c>
      <c r="E13" s="443"/>
      <c r="F13" s="444"/>
      <c r="G13" s="444"/>
      <c r="H13" s="444"/>
      <c r="I13" s="442"/>
      <c r="J13" s="442"/>
      <c r="K13" s="442"/>
      <c r="L13" s="442"/>
      <c r="M13" s="444"/>
      <c r="N13" s="442"/>
      <c r="O13" s="442"/>
      <c r="P13" s="442"/>
      <c r="Q13" s="442"/>
      <c r="R13" s="538"/>
      <c r="S13" s="539"/>
      <c r="T13" s="539"/>
      <c r="U13" s="538"/>
      <c r="V13" s="538"/>
    </row>
    <row r="14" spans="1:24" ht="25.5" customHeight="1">
      <c r="A14" s="8"/>
      <c r="B14" s="130" t="s">
        <v>222</v>
      </c>
      <c r="C14" s="408">
        <v>2620800</v>
      </c>
      <c r="D14" s="442">
        <f>+'ต.ค.-ธ.ค.'!D14+'ม.ค.-มี.ค.'!D14+'เม.ย.-มิ.ย.'!D14+'ก.ค.-ก.ย.'!D14</f>
        <v>2382400</v>
      </c>
      <c r="E14" s="443"/>
      <c r="F14" s="444"/>
      <c r="G14" s="444"/>
      <c r="H14" s="444"/>
      <c r="I14" s="442"/>
      <c r="J14" s="442"/>
      <c r="K14" s="442"/>
      <c r="L14" s="442"/>
      <c r="M14" s="444"/>
      <c r="N14" s="442"/>
      <c r="O14" s="442"/>
      <c r="P14" s="442"/>
      <c r="Q14" s="442"/>
      <c r="R14" s="538"/>
      <c r="S14" s="539"/>
      <c r="T14" s="539"/>
      <c r="U14" s="538"/>
      <c r="V14" s="538"/>
    </row>
    <row r="15" spans="1:24" ht="25.5" customHeight="1">
      <c r="A15" s="9"/>
      <c r="B15" s="130" t="s">
        <v>209</v>
      </c>
      <c r="C15" s="408">
        <v>151291</v>
      </c>
      <c r="D15" s="442">
        <f>+'ต.ค.-ธ.ค.'!D15+'ม.ค.-มี.ค.'!D15+'เม.ย.-มิ.ย.'!D15+'ก.ค.-ก.ย.'!D15</f>
        <v>150410</v>
      </c>
      <c r="E15" s="443"/>
      <c r="F15" s="444"/>
      <c r="G15" s="444"/>
      <c r="H15" s="444"/>
      <c r="I15" s="442"/>
      <c r="J15" s="442"/>
      <c r="K15" s="442"/>
      <c r="L15" s="442"/>
      <c r="M15" s="444"/>
      <c r="N15" s="442"/>
      <c r="O15" s="442"/>
      <c r="P15" s="442"/>
      <c r="Q15" s="442"/>
      <c r="R15" s="538"/>
      <c r="S15" s="539"/>
      <c r="T15" s="539"/>
      <c r="U15" s="538"/>
      <c r="V15" s="538"/>
    </row>
    <row r="16" spans="1:24" ht="25.5" customHeight="1">
      <c r="A16" s="9"/>
      <c r="B16" s="130" t="s">
        <v>77</v>
      </c>
      <c r="C16" s="408">
        <v>29000</v>
      </c>
      <c r="D16" s="442">
        <f>+'ต.ค.-ธ.ค.'!D16+'ม.ค.-มี.ค.'!D16+'เม.ย.-มิ.ย.'!D16+'ก.ค.-ก.ย.'!D16</f>
        <v>28939.279999999999</v>
      </c>
      <c r="E16" s="443"/>
      <c r="F16" s="444"/>
      <c r="G16" s="444"/>
      <c r="H16" s="444"/>
      <c r="I16" s="442"/>
      <c r="J16" s="442"/>
      <c r="K16" s="442"/>
      <c r="L16" s="442"/>
      <c r="M16" s="444"/>
      <c r="N16" s="442"/>
      <c r="O16" s="442"/>
      <c r="P16" s="442"/>
      <c r="Q16" s="442"/>
      <c r="R16" s="538"/>
      <c r="S16" s="539"/>
      <c r="T16" s="539"/>
      <c r="U16" s="538"/>
      <c r="V16" s="538"/>
    </row>
    <row r="17" spans="1:23" ht="25.5" customHeight="1">
      <c r="A17" s="9"/>
      <c r="B17" s="130" t="s">
        <v>78</v>
      </c>
      <c r="C17" s="408">
        <v>216399</v>
      </c>
      <c r="D17" s="442">
        <f>+'ต.ค.-ธ.ค.'!D17+'ม.ค.-มี.ค.'!D17+'เม.ย.-มิ.ย.'!D17+'ก.ค.-ก.ย.'!D17</f>
        <v>216399</v>
      </c>
      <c r="E17" s="443"/>
      <c r="F17" s="444"/>
      <c r="G17" s="444"/>
      <c r="H17" s="444"/>
      <c r="I17" s="442"/>
      <c r="J17" s="442"/>
      <c r="K17" s="442"/>
      <c r="L17" s="442"/>
      <c r="M17" s="444"/>
      <c r="N17" s="442"/>
      <c r="O17" s="442"/>
      <c r="P17" s="442"/>
      <c r="Q17" s="442"/>
      <c r="R17" s="538"/>
      <c r="S17" s="539"/>
      <c r="T17" s="539"/>
      <c r="U17" s="538"/>
      <c r="V17" s="538"/>
    </row>
    <row r="18" spans="1:23" ht="25.5" customHeight="1">
      <c r="A18" s="9"/>
      <c r="B18" s="6" t="s">
        <v>220</v>
      </c>
      <c r="C18" s="409">
        <v>15000</v>
      </c>
      <c r="D18" s="442">
        <f>+'ต.ค.-ธ.ค.'!D18+'ม.ค.-มี.ค.'!D18+'เม.ย.-มิ.ย.'!D18+'ก.ค.-ก.ย.'!D18</f>
        <v>15000</v>
      </c>
      <c r="E18" s="443"/>
      <c r="F18" s="444"/>
      <c r="G18" s="444"/>
      <c r="H18" s="444"/>
      <c r="I18" s="442"/>
      <c r="J18" s="442"/>
      <c r="K18" s="442"/>
      <c r="L18" s="442"/>
      <c r="M18" s="444"/>
      <c r="N18" s="442"/>
      <c r="O18" s="442"/>
      <c r="P18" s="442"/>
      <c r="Q18" s="442"/>
      <c r="R18" s="538"/>
      <c r="S18" s="539"/>
      <c r="T18" s="539"/>
      <c r="U18" s="538"/>
      <c r="V18" s="538"/>
    </row>
    <row r="19" spans="1:23" ht="25.5" customHeight="1">
      <c r="A19" s="9"/>
      <c r="B19" s="228" t="s">
        <v>81</v>
      </c>
      <c r="C19" s="409">
        <f>344150-20000</f>
        <v>324150</v>
      </c>
      <c r="D19" s="442">
        <f>+'ต.ค.-ธ.ค.'!D19+'ม.ค.-มี.ค.'!D19+'เม.ย.-มิ.ย.'!D19+'ก.ค.-ก.ย.'!D19</f>
        <v>344150</v>
      </c>
      <c r="E19" s="443"/>
      <c r="F19" s="444"/>
      <c r="G19" s="444"/>
      <c r="H19" s="444"/>
      <c r="I19" s="442"/>
      <c r="J19" s="442"/>
      <c r="K19" s="442"/>
      <c r="L19" s="442"/>
      <c r="M19" s="444"/>
      <c r="N19" s="442"/>
      <c r="O19" s="442"/>
      <c r="P19" s="442"/>
      <c r="Q19" s="442"/>
      <c r="R19" s="538"/>
      <c r="S19" s="539"/>
      <c r="T19" s="539"/>
      <c r="U19" s="538"/>
      <c r="V19" s="538"/>
    </row>
    <row r="20" spans="1:23" ht="25.5" customHeight="1">
      <c r="A20" s="9"/>
      <c r="B20" s="198" t="s">
        <v>424</v>
      </c>
      <c r="C20" s="410">
        <v>70650</v>
      </c>
      <c r="D20" s="442">
        <f>+'ต.ค.-ธ.ค.'!D20+'ม.ค.-มี.ค.'!D20+'เม.ย.-มิ.ย.'!D20+'ก.ค.-ก.ย.'!D20</f>
        <v>70650</v>
      </c>
      <c r="E20" s="443"/>
      <c r="F20" s="449"/>
      <c r="G20" s="449"/>
      <c r="H20" s="449"/>
      <c r="I20" s="450"/>
      <c r="J20" s="450"/>
      <c r="K20" s="450"/>
      <c r="L20" s="450"/>
      <c r="M20" s="449"/>
      <c r="N20" s="450"/>
      <c r="O20" s="450"/>
      <c r="P20" s="450"/>
      <c r="Q20" s="450"/>
      <c r="R20" s="540"/>
      <c r="S20" s="541"/>
      <c r="T20" s="541"/>
      <c r="U20" s="540"/>
      <c r="V20" s="540"/>
    </row>
    <row r="21" spans="1:23" ht="25.5" customHeight="1" thickBot="1">
      <c r="A21" s="13"/>
      <c r="B21" s="14" t="s">
        <v>5</v>
      </c>
      <c r="C21" s="411">
        <f>SUM(C10:C20)</f>
        <v>10137432</v>
      </c>
      <c r="D21" s="454">
        <f>SUM(D10:D20)</f>
        <v>9738660.2799999993</v>
      </c>
      <c r="E21" s="455">
        <f t="shared" ref="E21:V21" si="0">SUM(E10:E19)</f>
        <v>0</v>
      </c>
      <c r="F21" s="456">
        <f t="shared" si="0"/>
        <v>0</v>
      </c>
      <c r="G21" s="456">
        <f t="shared" si="0"/>
        <v>0</v>
      </c>
      <c r="H21" s="456">
        <f t="shared" si="0"/>
        <v>0</v>
      </c>
      <c r="I21" s="457">
        <f t="shared" si="0"/>
        <v>0</v>
      </c>
      <c r="J21" s="457">
        <f t="shared" si="0"/>
        <v>0</v>
      </c>
      <c r="K21" s="457">
        <f t="shared" si="0"/>
        <v>0</v>
      </c>
      <c r="L21" s="457">
        <f t="shared" si="0"/>
        <v>0</v>
      </c>
      <c r="M21" s="456">
        <f t="shared" si="0"/>
        <v>0</v>
      </c>
      <c r="N21" s="457">
        <f t="shared" si="0"/>
        <v>0</v>
      </c>
      <c r="O21" s="457">
        <f t="shared" si="0"/>
        <v>0</v>
      </c>
      <c r="P21" s="457">
        <f t="shared" si="0"/>
        <v>0</v>
      </c>
      <c r="Q21" s="457">
        <f t="shared" si="0"/>
        <v>0</v>
      </c>
      <c r="R21" s="457">
        <f t="shared" si="0"/>
        <v>0</v>
      </c>
      <c r="S21" s="457">
        <f t="shared" si="0"/>
        <v>0</v>
      </c>
      <c r="T21" s="457"/>
      <c r="U21" s="457">
        <f t="shared" si="0"/>
        <v>0</v>
      </c>
      <c r="V21" s="457">
        <f t="shared" si="0"/>
        <v>0</v>
      </c>
      <c r="W21" s="583">
        <f>SUM(D21:V21)</f>
        <v>9738660.2799999993</v>
      </c>
    </row>
    <row r="22" spans="1:23" ht="25.5" customHeight="1" thickTop="1">
      <c r="A22" s="5" t="s">
        <v>82</v>
      </c>
      <c r="B22" s="6"/>
      <c r="C22" s="412"/>
      <c r="D22" s="458"/>
      <c r="E22" s="459"/>
      <c r="F22" s="460"/>
      <c r="G22" s="460"/>
      <c r="H22" s="460"/>
      <c r="I22" s="458"/>
      <c r="J22" s="458"/>
      <c r="K22" s="458"/>
      <c r="L22" s="458"/>
      <c r="M22" s="460"/>
      <c r="N22" s="458"/>
      <c r="O22" s="458"/>
      <c r="P22" s="458"/>
      <c r="Q22" s="458"/>
      <c r="R22" s="538"/>
      <c r="S22" s="539"/>
      <c r="T22" s="542"/>
      <c r="U22" s="543"/>
      <c r="V22" s="543"/>
    </row>
    <row r="23" spans="1:23" ht="25.5" customHeight="1">
      <c r="A23" s="9"/>
      <c r="B23" s="130" t="s">
        <v>6</v>
      </c>
      <c r="C23" s="408">
        <v>695520</v>
      </c>
      <c r="D23" s="442"/>
      <c r="E23" s="443">
        <f>+'ต.ค.-ธ.ค.'!E23+'ม.ค.-มี.ค.'!E23+'เม.ย.-มิ.ย.'!E23+'ก.ค.-ก.ย.'!E23</f>
        <v>684257</v>
      </c>
      <c r="F23" s="444"/>
      <c r="G23" s="444"/>
      <c r="H23" s="444"/>
      <c r="I23" s="442"/>
      <c r="J23" s="442"/>
      <c r="K23" s="442"/>
      <c r="L23" s="442"/>
      <c r="M23" s="444"/>
      <c r="N23" s="442"/>
      <c r="O23" s="442"/>
      <c r="P23" s="442"/>
      <c r="Q23" s="442"/>
      <c r="R23" s="538"/>
      <c r="S23" s="539"/>
      <c r="T23" s="539"/>
      <c r="U23" s="538"/>
      <c r="V23" s="538"/>
    </row>
    <row r="24" spans="1:23" ht="25.5" customHeight="1">
      <c r="A24" s="9"/>
      <c r="B24" s="130" t="s">
        <v>83</v>
      </c>
      <c r="C24" s="408">
        <v>120000</v>
      </c>
      <c r="D24" s="442"/>
      <c r="E24" s="443">
        <f>+'ต.ค.-ธ.ค.'!E24+'ม.ค.-มี.ค.'!E24+'เม.ย.-มิ.ย.'!E24+'ก.ค.-ก.ย.'!E24</f>
        <v>117774</v>
      </c>
      <c r="F24" s="444"/>
      <c r="G24" s="444"/>
      <c r="H24" s="444"/>
      <c r="I24" s="442"/>
      <c r="J24" s="442"/>
      <c r="K24" s="442"/>
      <c r="L24" s="442"/>
      <c r="M24" s="444"/>
      <c r="N24" s="442"/>
      <c r="O24" s="442"/>
      <c r="P24" s="442"/>
      <c r="Q24" s="442"/>
      <c r="R24" s="538"/>
      <c r="S24" s="539"/>
      <c r="T24" s="539"/>
      <c r="U24" s="538"/>
      <c r="V24" s="538"/>
    </row>
    <row r="25" spans="1:23" ht="25.5" customHeight="1">
      <c r="A25" s="9"/>
      <c r="B25" s="130" t="s">
        <v>84</v>
      </c>
      <c r="C25" s="408">
        <v>120000</v>
      </c>
      <c r="D25" s="442"/>
      <c r="E25" s="443">
        <f>+'ต.ค.-ธ.ค.'!E25+'ม.ค.-มี.ค.'!E25+'เม.ย.-มิ.ย.'!E25+'ก.ค.-ก.ย.'!E25</f>
        <v>117774</v>
      </c>
      <c r="F25" s="444"/>
      <c r="G25" s="444"/>
      <c r="H25" s="444"/>
      <c r="I25" s="442"/>
      <c r="J25" s="442"/>
      <c r="K25" s="442"/>
      <c r="L25" s="442"/>
      <c r="M25" s="444"/>
      <c r="N25" s="442"/>
      <c r="O25" s="442"/>
      <c r="P25" s="442"/>
      <c r="Q25" s="442"/>
      <c r="R25" s="538"/>
      <c r="S25" s="539"/>
      <c r="T25" s="539"/>
      <c r="U25" s="538"/>
      <c r="V25" s="538"/>
    </row>
    <row r="26" spans="1:23" ht="25.5" customHeight="1">
      <c r="A26" s="9"/>
      <c r="B26" s="130" t="s">
        <v>85</v>
      </c>
      <c r="C26" s="408">
        <v>198720</v>
      </c>
      <c r="D26" s="442"/>
      <c r="E26" s="443">
        <f>+'ต.ค.-ธ.ค.'!E26+'ม.ค.-มี.ค.'!E26+'เม.ย.-มิ.ย.'!E26+'ก.ค.-ก.ย.'!E26</f>
        <v>198720</v>
      </c>
      <c r="F26" s="444"/>
      <c r="G26" s="444"/>
      <c r="H26" s="444"/>
      <c r="I26" s="442"/>
      <c r="J26" s="442"/>
      <c r="K26" s="442"/>
      <c r="L26" s="442"/>
      <c r="M26" s="444"/>
      <c r="N26" s="442"/>
      <c r="O26" s="442"/>
      <c r="P26" s="442"/>
      <c r="Q26" s="442"/>
      <c r="R26" s="538"/>
      <c r="S26" s="539"/>
      <c r="T26" s="539"/>
      <c r="U26" s="538"/>
      <c r="V26" s="538"/>
    </row>
    <row r="27" spans="1:23" ht="25.5" customHeight="1">
      <c r="A27" s="9"/>
      <c r="B27" s="6" t="s">
        <v>270</v>
      </c>
      <c r="C27" s="408">
        <f>1283280-10000-14000-48300</f>
        <v>1210980</v>
      </c>
      <c r="D27" s="442"/>
      <c r="E27" s="443">
        <f>+'ต.ค.-ธ.ค.'!E27+'ม.ค.-มี.ค.'!E27+'เม.ย.-มิ.ย.'!E27+'ก.ค.-ก.ย.'!E27</f>
        <v>1204142</v>
      </c>
      <c r="F27" s="444"/>
      <c r="G27" s="444"/>
      <c r="H27" s="444"/>
      <c r="I27" s="442"/>
      <c r="J27" s="442"/>
      <c r="K27" s="442"/>
      <c r="L27" s="442"/>
      <c r="M27" s="444"/>
      <c r="N27" s="442"/>
      <c r="O27" s="442"/>
      <c r="P27" s="442"/>
      <c r="Q27" s="442"/>
      <c r="R27" s="538"/>
      <c r="S27" s="539"/>
      <c r="T27" s="539"/>
      <c r="U27" s="538"/>
      <c r="V27" s="538"/>
    </row>
    <row r="28" spans="1:23" ht="25.5" customHeight="1" thickBot="1">
      <c r="A28" s="15"/>
      <c r="B28" s="14" t="s">
        <v>5</v>
      </c>
      <c r="C28" s="411">
        <f>SUM(C23:C27)</f>
        <v>2345220</v>
      </c>
      <c r="D28" s="457">
        <f>SUM(D23:D27)</f>
        <v>0</v>
      </c>
      <c r="E28" s="463">
        <f>SUM(E23:E27)</f>
        <v>2322667</v>
      </c>
      <c r="F28" s="456">
        <f t="shared" ref="F28:S28" si="1">SUM(F23:F27)</f>
        <v>0</v>
      </c>
      <c r="G28" s="456">
        <f t="shared" si="1"/>
        <v>0</v>
      </c>
      <c r="H28" s="456">
        <f t="shared" si="1"/>
        <v>0</v>
      </c>
      <c r="I28" s="457">
        <f t="shared" si="1"/>
        <v>0</v>
      </c>
      <c r="J28" s="457">
        <f t="shared" si="1"/>
        <v>0</v>
      </c>
      <c r="K28" s="457">
        <f t="shared" si="1"/>
        <v>0</v>
      </c>
      <c r="L28" s="457">
        <f t="shared" si="1"/>
        <v>0</v>
      </c>
      <c r="M28" s="456">
        <f t="shared" si="1"/>
        <v>0</v>
      </c>
      <c r="N28" s="456">
        <f t="shared" si="1"/>
        <v>0</v>
      </c>
      <c r="O28" s="456">
        <f t="shared" si="1"/>
        <v>0</v>
      </c>
      <c r="P28" s="456">
        <f t="shared" si="1"/>
        <v>0</v>
      </c>
      <c r="Q28" s="456">
        <f t="shared" si="1"/>
        <v>0</v>
      </c>
      <c r="R28" s="456">
        <f t="shared" si="1"/>
        <v>0</v>
      </c>
      <c r="S28" s="456">
        <f t="shared" si="1"/>
        <v>0</v>
      </c>
      <c r="T28" s="456"/>
      <c r="U28" s="456">
        <f>SUM(U23:U27)</f>
        <v>0</v>
      </c>
      <c r="V28" s="456">
        <f>SUM(V23:V27)</f>
        <v>0</v>
      </c>
      <c r="W28" s="583">
        <f>SUM(D28:V28)</f>
        <v>2322667</v>
      </c>
    </row>
    <row r="29" spans="1:23" ht="25.5" customHeight="1" thickTop="1">
      <c r="A29" s="5" t="s">
        <v>87</v>
      </c>
      <c r="B29" s="6"/>
      <c r="C29" s="412"/>
      <c r="D29" s="458"/>
      <c r="E29" s="459"/>
      <c r="F29" s="460"/>
      <c r="G29" s="460"/>
      <c r="H29" s="460"/>
      <c r="I29" s="458"/>
      <c r="J29" s="458"/>
      <c r="K29" s="458"/>
      <c r="L29" s="458"/>
      <c r="M29" s="460"/>
      <c r="N29" s="458"/>
      <c r="O29" s="458"/>
      <c r="P29" s="458"/>
      <c r="Q29" s="458"/>
      <c r="R29" s="538"/>
      <c r="S29" s="539"/>
      <c r="T29" s="542"/>
      <c r="U29" s="543"/>
      <c r="V29" s="543"/>
    </row>
    <row r="30" spans="1:23" ht="25.5" customHeight="1">
      <c r="A30" s="20"/>
      <c r="B30" s="130" t="s">
        <v>7</v>
      </c>
      <c r="C30" s="412">
        <f>3188820+1300000+884640+1648500-100000-22000-19000-60000-184500-25100-50000-100000-20000-50000-64500-70650-40000-53200-40000-15000</f>
        <v>6108010</v>
      </c>
      <c r="D30" s="458"/>
      <c r="E30" s="459">
        <f>+'ต.ค.-ธ.ค.'!E30+'ม.ค.-มี.ค.'!E30+'เม.ย.-มิ.ย.'!E30+'ก.ค.-ก.ย.'!E30</f>
        <v>2599092</v>
      </c>
      <c r="F30" s="459">
        <f>+'ต.ค.-ธ.ค.'!F30+'ม.ค.-มี.ค.'!F30+'เม.ย.-มิ.ย.'!F30+'ก.ค.-ก.ย.'!F30</f>
        <v>956140</v>
      </c>
      <c r="G30" s="459">
        <f>+'ต.ค.-ธ.ค.'!G30+'ม.ค.-มี.ค.'!G30+'เม.ย.-มิ.ย.'!G30+'ก.ค.-ก.ย.'!G30</f>
        <v>0</v>
      </c>
      <c r="H30" s="459">
        <f>+'ต.ค.-ธ.ค.'!H30+'ม.ค.-มี.ค.'!H30+'เม.ย.-มิ.ย.'!H30+'ก.ค.-ก.ย.'!H30</f>
        <v>883590</v>
      </c>
      <c r="I30" s="459">
        <f>+'ต.ค.-ธ.ค.'!I30+'ม.ค.-มี.ค.'!I30+'เม.ย.-มิ.ย.'!I30+'ก.ค.-ก.ย.'!I30</f>
        <v>0</v>
      </c>
      <c r="J30" s="459">
        <f>+'ต.ค.-ธ.ค.'!J30+'ม.ค.-มี.ค.'!J30+'เม.ย.-มิ.ย.'!J30+'ก.ค.-ก.ย.'!J30</f>
        <v>0</v>
      </c>
      <c r="K30" s="459">
        <f>+'ต.ค.-ธ.ค.'!K30+'ม.ค.-มี.ค.'!K30+'เม.ย.-มิ.ย.'!K30+'ก.ค.-ก.ย.'!K30</f>
        <v>0</v>
      </c>
      <c r="L30" s="459">
        <f>+'ต.ค.-ธ.ค.'!L30+'ม.ค.-มี.ค.'!L30+'เม.ย.-มิ.ย.'!L30+'ก.ค.-ก.ย.'!L30</f>
        <v>0</v>
      </c>
      <c r="M30" s="459">
        <f>+'ต.ค.-ธ.ค.'!M30+'ม.ค.-มี.ค.'!M30+'เม.ย.-มิ.ย.'!M30+'ก.ค.-ก.ย.'!M30</f>
        <v>1278750</v>
      </c>
      <c r="N30" s="459">
        <f>+'ต.ค.-ธ.ค.'!N30+'ม.ค.-มี.ค.'!N30+'เม.ย.-มิ.ย.'!N30+'ก.ค.-ก.ย.'!N30</f>
        <v>0</v>
      </c>
      <c r="O30" s="459">
        <f>+'ต.ค.-ธ.ค.'!O30+'ม.ค.-มี.ค.'!O30+'เม.ย.-มิ.ย.'!O30+'ก.ค.-ก.ย.'!O30</f>
        <v>0</v>
      </c>
      <c r="P30" s="459">
        <f>+'ต.ค.-ธ.ค.'!P30+'ม.ค.-มี.ค.'!P30+'เม.ย.-มิ.ย.'!P30+'ก.ค.-ก.ย.'!P30</f>
        <v>0</v>
      </c>
      <c r="Q30" s="459">
        <f>+'ต.ค.-ธ.ค.'!Q30+'ม.ค.-มี.ค.'!Q30+'เม.ย.-มิ.ย.'!Q30+'ก.ค.-ก.ย.'!Q30</f>
        <v>0</v>
      </c>
      <c r="R30" s="459">
        <f>+'ต.ค.-ธ.ค.'!R30+'ม.ค.-มี.ค.'!R30+'เม.ย.-มิ.ย.'!R30+'ก.ค.-ก.ย.'!R30</f>
        <v>0</v>
      </c>
      <c r="S30" s="459">
        <f>+'ต.ค.-ธ.ค.'!S30+'ม.ค.-มี.ค.'!S30+'เม.ย.-มิ.ย.'!S30+'ก.ค.-ก.ย.'!S30</f>
        <v>0</v>
      </c>
      <c r="T30" s="459">
        <f>+'ต.ค.-ธ.ค.'!T30+'ม.ค.-มี.ค.'!T30+'เม.ย.-มิ.ย.'!T30+'ก.ค.-ก.ย.'!T30</f>
        <v>0</v>
      </c>
      <c r="U30" s="459">
        <f>+'ต.ค.-ธ.ค.'!U30+'ม.ค.-มี.ค.'!U30+'เม.ย.-มิ.ย.'!U30+'ก.ค.-ก.ย.'!U30</f>
        <v>0</v>
      </c>
      <c r="V30" s="459">
        <f>+'ต.ค.-ธ.ค.'!V30+'ม.ค.-มี.ค.'!V30+'เม.ย.-มิ.ย.'!V30+'ก.ค.-ก.ย.'!V30</f>
        <v>0</v>
      </c>
    </row>
    <row r="31" spans="1:23" ht="25.5" customHeight="1">
      <c r="A31" s="20"/>
      <c r="B31" s="130" t="s">
        <v>239</v>
      </c>
      <c r="C31" s="412">
        <v>1899600</v>
      </c>
      <c r="D31" s="458"/>
      <c r="E31" s="459">
        <f>+'ต.ค.-ธ.ค.'!E31+'ม.ค.-มี.ค.'!E31+'เม.ย.-มิ.ย.'!E31+'ก.ค.-ก.ย.'!E31</f>
        <v>0</v>
      </c>
      <c r="F31" s="459">
        <f>+'ต.ค.-ธ.ค.'!F31+'ม.ค.-มี.ค.'!F31+'เม.ย.-มิ.ย.'!F31+'ก.ค.-ก.ย.'!F31</f>
        <v>0</v>
      </c>
      <c r="G31" s="459">
        <f>+'ต.ค.-ธ.ค.'!G31+'ม.ค.-มี.ค.'!G31+'เม.ย.-มิ.ย.'!G31+'ก.ค.-ก.ย.'!G31</f>
        <v>0</v>
      </c>
      <c r="H31" s="459">
        <f>+'ต.ค.-ธ.ค.'!H31+'ม.ค.-มี.ค.'!H31+'เม.ย.-มิ.ย.'!H31+'ก.ค.-ก.ย.'!H31</f>
        <v>1873980</v>
      </c>
      <c r="I31" s="459">
        <f>+'ต.ค.-ธ.ค.'!I31+'ม.ค.-มี.ค.'!I31+'เม.ย.-มิ.ย.'!I31+'ก.ค.-ก.ย.'!I31</f>
        <v>0</v>
      </c>
      <c r="J31" s="459">
        <f>+'ต.ค.-ธ.ค.'!J31+'ม.ค.-มี.ค.'!J31+'เม.ย.-มิ.ย.'!J31+'ก.ค.-ก.ย.'!J31</f>
        <v>0</v>
      </c>
      <c r="K31" s="459">
        <f>+'ต.ค.-ธ.ค.'!K31+'ม.ค.-มี.ค.'!K31+'เม.ย.-มิ.ย.'!K31+'ก.ค.-ก.ย.'!K31</f>
        <v>0</v>
      </c>
      <c r="L31" s="459">
        <f>+'ต.ค.-ธ.ค.'!L31+'ม.ค.-มี.ค.'!L31+'เม.ย.-มิ.ย.'!L31+'ก.ค.-ก.ย.'!L31</f>
        <v>0</v>
      </c>
      <c r="M31" s="459">
        <f>+'ต.ค.-ธ.ค.'!M31+'ม.ค.-มี.ค.'!M31+'เม.ย.-มิ.ย.'!M31+'ก.ค.-ก.ย.'!M31</f>
        <v>0</v>
      </c>
      <c r="N31" s="459">
        <f>+'ต.ค.-ธ.ค.'!N31+'ม.ค.-มี.ค.'!N31+'เม.ย.-มิ.ย.'!N31+'ก.ค.-ก.ย.'!N31</f>
        <v>0</v>
      </c>
      <c r="O31" s="459">
        <f>+'ต.ค.-ธ.ค.'!O31+'ม.ค.-มี.ค.'!O31+'เม.ย.-มิ.ย.'!O31+'ก.ค.-ก.ย.'!O31</f>
        <v>0</v>
      </c>
      <c r="P31" s="459">
        <f>+'ต.ค.-ธ.ค.'!P31+'ม.ค.-มี.ค.'!P31+'เม.ย.-มิ.ย.'!P31+'ก.ค.-ก.ย.'!P31</f>
        <v>0</v>
      </c>
      <c r="Q31" s="459">
        <f>+'ต.ค.-ธ.ค.'!Q31+'ม.ค.-มี.ค.'!Q31+'เม.ย.-มิ.ย.'!Q31+'ก.ค.-ก.ย.'!Q31</f>
        <v>0</v>
      </c>
      <c r="R31" s="459">
        <f>+'ต.ค.-ธ.ค.'!R31+'ม.ค.-มี.ค.'!R31+'เม.ย.-มิ.ย.'!R31+'ก.ค.-ก.ย.'!R31</f>
        <v>0</v>
      </c>
      <c r="S31" s="459">
        <f>+'ต.ค.-ธ.ค.'!S31+'ม.ค.-มี.ค.'!S31+'เม.ย.-มิ.ย.'!S31+'ก.ค.-ก.ย.'!S31</f>
        <v>0</v>
      </c>
      <c r="T31" s="459">
        <f>+'ต.ค.-ธ.ค.'!T31+'ม.ค.-มี.ค.'!T31+'เม.ย.-มิ.ย.'!T31+'ก.ค.-ก.ย.'!T31</f>
        <v>0</v>
      </c>
      <c r="U31" s="459">
        <f>+'ต.ค.-ธ.ค.'!U31+'ม.ค.-มี.ค.'!U31+'เม.ย.-มิ.ย.'!U31+'ก.ค.-ก.ย.'!U31</f>
        <v>0</v>
      </c>
      <c r="V31" s="459">
        <f>+'ต.ค.-ธ.ค.'!V31+'ม.ค.-มี.ค.'!V31+'เม.ย.-มิ.ย.'!V31+'ก.ค.-ก.ย.'!V31</f>
        <v>0</v>
      </c>
    </row>
    <row r="32" spans="1:23" ht="25.5" customHeight="1">
      <c r="A32" s="20"/>
      <c r="B32" s="130" t="s">
        <v>47</v>
      </c>
      <c r="C32" s="412">
        <v>10580</v>
      </c>
      <c r="D32" s="458"/>
      <c r="E32" s="459">
        <f>+'ต.ค.-ธ.ค.'!E32+'ม.ค.-มี.ค.'!E32+'เม.ย.-มิ.ย.'!E32+'ก.ค.-ก.ย.'!E32</f>
        <v>5280</v>
      </c>
      <c r="F32" s="459">
        <f>+'ต.ค.-ธ.ค.'!F32+'ม.ค.-มี.ค.'!F32+'เม.ย.-มิ.ย.'!F32+'ก.ค.-ก.ย.'!F32</f>
        <v>0</v>
      </c>
      <c r="G32" s="459">
        <f>+'ต.ค.-ธ.ค.'!G32+'ม.ค.-มี.ค.'!G32+'เม.ย.-มิ.ย.'!G32+'ก.ค.-ก.ย.'!G32</f>
        <v>0</v>
      </c>
      <c r="H32" s="459">
        <f>+'ต.ค.-ธ.ค.'!H32+'ม.ค.-มี.ค.'!H32+'เม.ย.-มิ.ย.'!H32+'ก.ค.-ก.ย.'!H32</f>
        <v>0</v>
      </c>
      <c r="I32" s="459">
        <f>+'ต.ค.-ธ.ค.'!I32+'ม.ค.-มี.ค.'!I32+'เม.ย.-มิ.ย.'!I32+'ก.ค.-ก.ย.'!I32</f>
        <v>0</v>
      </c>
      <c r="J32" s="459">
        <f>+'ต.ค.-ธ.ค.'!J32+'ม.ค.-มี.ค.'!J32+'เม.ย.-มิ.ย.'!J32+'ก.ค.-ก.ย.'!J32</f>
        <v>0</v>
      </c>
      <c r="K32" s="459">
        <f>+'ต.ค.-ธ.ค.'!K32+'ม.ค.-มี.ค.'!K32+'เม.ย.-มิ.ย.'!K32+'ก.ค.-ก.ย.'!K32</f>
        <v>0</v>
      </c>
      <c r="L32" s="459">
        <f>+'ต.ค.-ธ.ค.'!L32+'ม.ค.-มี.ค.'!L32+'เม.ย.-มิ.ย.'!L32+'ก.ค.-ก.ย.'!L32</f>
        <v>0</v>
      </c>
      <c r="M32" s="459">
        <f>+'ต.ค.-ธ.ค.'!M32+'ม.ค.-มี.ค.'!M32+'เม.ย.-มิ.ย.'!M32+'ก.ค.-ก.ย.'!M32</f>
        <v>0</v>
      </c>
      <c r="N32" s="459">
        <f>+'ต.ค.-ธ.ค.'!N32+'ม.ค.-มี.ค.'!N32+'เม.ย.-มิ.ย.'!N32+'ก.ค.-ก.ย.'!N32</f>
        <v>0</v>
      </c>
      <c r="O32" s="459">
        <f>+'ต.ค.-ธ.ค.'!O32+'ม.ค.-มี.ค.'!O32+'เม.ย.-มิ.ย.'!O32+'ก.ค.-ก.ย.'!O32</f>
        <v>0</v>
      </c>
      <c r="P32" s="459">
        <f>+'ต.ค.-ธ.ค.'!P32+'ม.ค.-มี.ค.'!P32+'เม.ย.-มิ.ย.'!P32+'ก.ค.-ก.ย.'!P32</f>
        <v>0</v>
      </c>
      <c r="Q32" s="459">
        <f>+'ต.ค.-ธ.ค.'!Q32+'ม.ค.-มี.ค.'!Q32+'เม.ย.-มิ.ย.'!Q32+'ก.ค.-ก.ย.'!Q32</f>
        <v>0</v>
      </c>
      <c r="R32" s="459">
        <f>+'ต.ค.-ธ.ค.'!R32+'ม.ค.-มี.ค.'!R32+'เม.ย.-มิ.ย.'!R32+'ก.ค.-ก.ย.'!R32</f>
        <v>0</v>
      </c>
      <c r="S32" s="459">
        <f>+'ต.ค.-ธ.ค.'!S32+'ม.ค.-มี.ค.'!S32+'เม.ย.-มิ.ย.'!S32+'ก.ค.-ก.ย.'!S32</f>
        <v>0</v>
      </c>
      <c r="T32" s="459">
        <f>+'ต.ค.-ธ.ค.'!T32+'ม.ค.-มี.ค.'!T32+'เม.ย.-มิ.ย.'!T32+'ก.ค.-ก.ย.'!T32</f>
        <v>0</v>
      </c>
      <c r="U32" s="459">
        <f>+'ต.ค.-ธ.ค.'!U32+'ม.ค.-มี.ค.'!U32+'เม.ย.-มิ.ย.'!U32+'ก.ค.-ก.ย.'!U32</f>
        <v>0</v>
      </c>
      <c r="V32" s="459">
        <f>+'ต.ค.-ธ.ค.'!V32+'ม.ค.-มี.ค.'!V32+'เม.ย.-มิ.ย.'!V32+'ก.ค.-ก.ย.'!V32</f>
        <v>0</v>
      </c>
    </row>
    <row r="33" spans="1:23" ht="25.5" customHeight="1">
      <c r="A33" s="20"/>
      <c r="B33" s="130" t="s">
        <v>8</v>
      </c>
      <c r="C33" s="412">
        <f>132000+42000+42000+42000-3000-1000-10000</f>
        <v>244000</v>
      </c>
      <c r="D33" s="458"/>
      <c r="E33" s="459">
        <f>+'ต.ค.-ธ.ค.'!E33+'ม.ค.-มี.ค.'!E33+'เม.ย.-มิ.ย.'!E33+'ก.ค.-ก.ย.'!E33</f>
        <v>132000</v>
      </c>
      <c r="F33" s="459">
        <f>+'ต.ค.-ธ.ค.'!F33+'ม.ค.-มี.ค.'!F33+'เม.ย.-มิ.ย.'!F33+'ก.ค.-ก.ย.'!F33</f>
        <v>61630</v>
      </c>
      <c r="G33" s="459">
        <f>+'ต.ค.-ธ.ค.'!G33+'ม.ค.-มี.ค.'!G33+'เม.ย.-มิ.ย.'!G33+'ก.ค.-ก.ย.'!G33</f>
        <v>0</v>
      </c>
      <c r="H33" s="459">
        <f>+'ต.ค.-ธ.ค.'!H33+'ม.ค.-มี.ค.'!H33+'เม.ย.-มิ.ย.'!H33+'ก.ค.-ก.ย.'!H33</f>
        <v>42000</v>
      </c>
      <c r="I33" s="459">
        <f>+'ต.ค.-ธ.ค.'!I33+'ม.ค.-มี.ค.'!I33+'เม.ย.-มิ.ย.'!I33+'ก.ค.-ก.ย.'!I33</f>
        <v>0</v>
      </c>
      <c r="J33" s="459">
        <f>+'ต.ค.-ธ.ค.'!J33+'ม.ค.-มี.ค.'!J33+'เม.ย.-มิ.ย.'!J33+'ก.ค.-ก.ย.'!J33</f>
        <v>0</v>
      </c>
      <c r="K33" s="459">
        <f>+'ต.ค.-ธ.ค.'!K33+'ม.ค.-มี.ค.'!K33+'เม.ย.-มิ.ย.'!K33+'ก.ค.-ก.ย.'!K33</f>
        <v>0</v>
      </c>
      <c r="L33" s="459">
        <f>+'ต.ค.-ธ.ค.'!L33+'ม.ค.-มี.ค.'!L33+'เม.ย.-มิ.ย.'!L33+'ก.ค.-ก.ย.'!L33</f>
        <v>0</v>
      </c>
      <c r="M33" s="459">
        <f>+'ต.ค.-ธ.ค.'!M33+'ม.ค.-มี.ค.'!M33+'เม.ย.-มิ.ย.'!M33+'ก.ค.-ก.ย.'!M33</f>
        <v>42000</v>
      </c>
      <c r="N33" s="459">
        <f>+'ต.ค.-ธ.ค.'!N33+'ม.ค.-มี.ค.'!N33+'เม.ย.-มิ.ย.'!N33+'ก.ค.-ก.ย.'!N33</f>
        <v>0</v>
      </c>
      <c r="O33" s="459">
        <f>+'ต.ค.-ธ.ค.'!O33+'ม.ค.-มี.ค.'!O33+'เม.ย.-มิ.ย.'!O33+'ก.ค.-ก.ย.'!O33</f>
        <v>0</v>
      </c>
      <c r="P33" s="459">
        <f>+'ต.ค.-ธ.ค.'!P33+'ม.ค.-มี.ค.'!P33+'เม.ย.-มิ.ย.'!P33+'ก.ค.-ก.ย.'!P33</f>
        <v>0</v>
      </c>
      <c r="Q33" s="459">
        <f>+'ต.ค.-ธ.ค.'!Q33+'ม.ค.-มี.ค.'!Q33+'เม.ย.-มิ.ย.'!Q33+'ก.ค.-ก.ย.'!Q33</f>
        <v>0</v>
      </c>
      <c r="R33" s="459">
        <f>+'ต.ค.-ธ.ค.'!R33+'ม.ค.-มี.ค.'!R33+'เม.ย.-มิ.ย.'!R33+'ก.ค.-ก.ย.'!R33</f>
        <v>0</v>
      </c>
      <c r="S33" s="459">
        <f>+'ต.ค.-ธ.ค.'!S33+'ม.ค.-มี.ค.'!S33+'เม.ย.-มิ.ย.'!S33+'ก.ค.-ก.ย.'!S33</f>
        <v>0</v>
      </c>
      <c r="T33" s="459">
        <f>+'ต.ค.-ธ.ค.'!T33+'ม.ค.-มี.ค.'!T33+'เม.ย.-มิ.ย.'!T33+'ก.ค.-ก.ย.'!T33</f>
        <v>0</v>
      </c>
      <c r="U33" s="459">
        <f>+'ต.ค.-ธ.ค.'!U33+'ม.ค.-มี.ค.'!U33+'เม.ย.-มิ.ย.'!U33+'ก.ค.-ก.ย.'!U33</f>
        <v>0</v>
      </c>
      <c r="V33" s="459">
        <f>+'ต.ค.-ธ.ค.'!V33+'ม.ค.-มี.ค.'!V33+'เม.ย.-มิ.ย.'!V33+'ก.ค.-ก.ย.'!V33</f>
        <v>0</v>
      </c>
    </row>
    <row r="34" spans="1:23" ht="25.5" customHeight="1">
      <c r="A34" s="9"/>
      <c r="B34" s="130" t="s">
        <v>186</v>
      </c>
      <c r="C34" s="408">
        <f>787000+589000+559480+350880+100000+184500+153000-9400</f>
        <v>2714460</v>
      </c>
      <c r="D34" s="442"/>
      <c r="E34" s="459">
        <f>+'ต.ค.-ธ.ค.'!E34+'ม.ค.-มี.ค.'!E34+'เม.ย.-มิ.ย.'!E34+'ก.ค.-ก.ย.'!E34</f>
        <v>961137</v>
      </c>
      <c r="F34" s="459">
        <f>+'ต.ค.-ธ.ค.'!F34+'ม.ค.-มี.ค.'!F34+'เม.ย.-มิ.ย.'!F34+'ก.ค.-ก.ย.'!F34</f>
        <v>567688</v>
      </c>
      <c r="G34" s="459">
        <f>+'ต.ค.-ธ.ค.'!G34+'ม.ค.-มี.ค.'!G34+'เม.ย.-มิ.ย.'!G34+'ก.ค.-ก.ย.'!G34</f>
        <v>0</v>
      </c>
      <c r="H34" s="459">
        <f>+'ต.ค.-ธ.ค.'!H34+'ม.ค.-มี.ค.'!H34+'เม.ย.-มิ.ย.'!H34+'ก.ค.-ก.ย.'!H34</f>
        <v>712258</v>
      </c>
      <c r="I34" s="459">
        <f>+'ต.ค.-ธ.ค.'!I34+'ม.ค.-มี.ค.'!I34+'เม.ย.-มิ.ย.'!I34+'ก.ค.-ก.ย.'!I34</f>
        <v>0</v>
      </c>
      <c r="J34" s="459">
        <f>+'ต.ค.-ธ.ค.'!J34+'ม.ค.-มี.ค.'!J34+'เม.ย.-มิ.ย.'!J34+'ก.ค.-ก.ย.'!J34</f>
        <v>0</v>
      </c>
      <c r="K34" s="459">
        <f>+'ต.ค.-ธ.ค.'!K34+'ม.ค.-มี.ค.'!K34+'เม.ย.-มิ.ย.'!K34+'ก.ค.-ก.ย.'!K34</f>
        <v>0</v>
      </c>
      <c r="L34" s="459">
        <f>+'ต.ค.-ธ.ค.'!L34+'ม.ค.-มี.ค.'!L34+'เม.ย.-มิ.ย.'!L34+'ก.ค.-ก.ย.'!L34</f>
        <v>0</v>
      </c>
      <c r="M34" s="459">
        <f>+'ต.ค.-ธ.ค.'!M34+'ม.ค.-มี.ค.'!M34+'เม.ย.-มิ.ย.'!M34+'ก.ค.-ก.ย.'!M34</f>
        <v>321640</v>
      </c>
      <c r="N34" s="459">
        <f>+'ต.ค.-ธ.ค.'!N34+'ม.ค.-มี.ค.'!N34+'เม.ย.-มิ.ย.'!N34+'ก.ค.-ก.ย.'!N34</f>
        <v>0</v>
      </c>
      <c r="O34" s="459">
        <f>+'ต.ค.-ธ.ค.'!O34+'ม.ค.-มี.ค.'!O34+'เม.ย.-มิ.ย.'!O34+'ก.ค.-ก.ย.'!O34</f>
        <v>0</v>
      </c>
      <c r="P34" s="459">
        <f>+'ต.ค.-ธ.ค.'!P34+'ม.ค.-มี.ค.'!P34+'เม.ย.-มิ.ย.'!P34+'ก.ค.-ก.ย.'!P34</f>
        <v>0</v>
      </c>
      <c r="Q34" s="459">
        <f>+'ต.ค.-ธ.ค.'!Q34+'ม.ค.-มี.ค.'!Q34+'เม.ย.-มิ.ย.'!Q34+'ก.ค.-ก.ย.'!Q34</f>
        <v>0</v>
      </c>
      <c r="R34" s="459">
        <f>+'ต.ค.-ธ.ค.'!R34+'ม.ค.-มี.ค.'!R34+'เม.ย.-มิ.ย.'!R34+'ก.ค.-ก.ย.'!R34</f>
        <v>0</v>
      </c>
      <c r="S34" s="459">
        <f>+'ต.ค.-ธ.ค.'!S34+'ม.ค.-มี.ค.'!S34+'เม.ย.-มิ.ย.'!S34+'ก.ค.-ก.ย.'!S34</f>
        <v>0</v>
      </c>
      <c r="T34" s="459">
        <f>+'ต.ค.-ธ.ค.'!T34+'ม.ค.-มี.ค.'!T34+'เม.ย.-มิ.ย.'!T34+'ก.ค.-ก.ย.'!T34</f>
        <v>0</v>
      </c>
      <c r="U34" s="459">
        <f>+'ต.ค.-ธ.ค.'!U34+'ม.ค.-มี.ค.'!U34+'เม.ย.-มิ.ย.'!U34+'ก.ค.-ก.ย.'!U34</f>
        <v>0</v>
      </c>
      <c r="V34" s="459">
        <f>+'ต.ค.-ธ.ค.'!V34+'ม.ค.-มี.ค.'!V34+'เม.ย.-มิ.ย.'!V34+'ก.ค.-ก.ย.'!V34</f>
        <v>0</v>
      </c>
      <c r="W34" s="584"/>
    </row>
    <row r="35" spans="1:23" ht="25.5" customHeight="1">
      <c r="A35" s="9"/>
      <c r="B35" s="130" t="s">
        <v>269</v>
      </c>
      <c r="C35" s="413">
        <v>225600</v>
      </c>
      <c r="D35" s="442"/>
      <c r="E35" s="459">
        <f>+'ต.ค.-ธ.ค.'!E35+'ม.ค.-มี.ค.'!E35+'เม.ย.-มิ.ย.'!E35+'ก.ค.-ก.ย.'!E35</f>
        <v>0</v>
      </c>
      <c r="F35" s="459">
        <f>+'ต.ค.-ธ.ค.'!F35+'ม.ค.-มี.ค.'!F35+'เม.ย.-มิ.ย.'!F35+'ก.ค.-ก.ย.'!F35</f>
        <v>0</v>
      </c>
      <c r="G35" s="459">
        <f>+'ต.ค.-ธ.ค.'!G35+'ม.ค.-มี.ค.'!G35+'เม.ย.-มิ.ย.'!G35+'ก.ค.-ก.ย.'!G35</f>
        <v>0</v>
      </c>
      <c r="H35" s="459">
        <f>+'ต.ค.-ธ.ค.'!H35+'ม.ค.-มี.ค.'!H35+'เม.ย.-มิ.ย.'!H35+'ก.ค.-ก.ย.'!H35</f>
        <v>251640</v>
      </c>
      <c r="I35" s="459">
        <f>+'ต.ค.-ธ.ค.'!I35+'ม.ค.-มี.ค.'!I35+'เม.ย.-มิ.ย.'!I35+'ก.ค.-ก.ย.'!I35</f>
        <v>0</v>
      </c>
      <c r="J35" s="459">
        <f>+'ต.ค.-ธ.ค.'!J35+'ม.ค.-มี.ค.'!J35+'เม.ย.-มิ.ย.'!J35+'ก.ค.-ก.ย.'!J35</f>
        <v>0</v>
      </c>
      <c r="K35" s="459">
        <f>+'ต.ค.-ธ.ค.'!K35+'ม.ค.-มี.ค.'!K35+'เม.ย.-มิ.ย.'!K35+'ก.ค.-ก.ย.'!K35</f>
        <v>0</v>
      </c>
      <c r="L35" s="459">
        <f>+'ต.ค.-ธ.ค.'!L35+'ม.ค.-มี.ค.'!L35+'เม.ย.-มิ.ย.'!L35+'ก.ค.-ก.ย.'!L35</f>
        <v>0</v>
      </c>
      <c r="M35" s="459">
        <f>+'ต.ค.-ธ.ค.'!M35+'ม.ค.-มี.ค.'!M35+'เม.ย.-มิ.ย.'!M35+'ก.ค.-ก.ย.'!M35</f>
        <v>0</v>
      </c>
      <c r="N35" s="459">
        <f>+'ต.ค.-ธ.ค.'!N35+'ม.ค.-มี.ค.'!N35+'เม.ย.-มิ.ย.'!N35+'ก.ค.-ก.ย.'!N35</f>
        <v>0</v>
      </c>
      <c r="O35" s="459">
        <f>+'ต.ค.-ธ.ค.'!O35+'ม.ค.-มี.ค.'!O35+'เม.ย.-มิ.ย.'!O35+'ก.ค.-ก.ย.'!O35</f>
        <v>0</v>
      </c>
      <c r="P35" s="459">
        <f>+'ต.ค.-ธ.ค.'!P35+'ม.ค.-มี.ค.'!P35+'เม.ย.-มิ.ย.'!P35+'ก.ค.-ก.ย.'!P35</f>
        <v>0</v>
      </c>
      <c r="Q35" s="459">
        <f>+'ต.ค.-ธ.ค.'!Q35+'ม.ค.-มี.ค.'!Q35+'เม.ย.-มิ.ย.'!Q35+'ก.ค.-ก.ย.'!Q35</f>
        <v>0</v>
      </c>
      <c r="R35" s="459">
        <f>+'ต.ค.-ธ.ค.'!R35+'ม.ค.-มี.ค.'!R35+'เม.ย.-มิ.ย.'!R35+'ก.ค.-ก.ย.'!R35</f>
        <v>0</v>
      </c>
      <c r="S35" s="459">
        <f>+'ต.ค.-ธ.ค.'!S35+'ม.ค.-มี.ค.'!S35+'เม.ย.-มิ.ย.'!S35+'ก.ค.-ก.ย.'!S35</f>
        <v>0</v>
      </c>
      <c r="T35" s="459">
        <f>+'ต.ค.-ธ.ค.'!T35+'ม.ค.-มี.ค.'!T35+'เม.ย.-มิ.ย.'!T35+'ก.ค.-ก.ย.'!T35</f>
        <v>0</v>
      </c>
      <c r="U35" s="459">
        <f>+'ต.ค.-ธ.ค.'!U35+'ม.ค.-มี.ค.'!U35+'เม.ย.-มิ.ย.'!U35+'ก.ค.-ก.ย.'!U35</f>
        <v>0</v>
      </c>
      <c r="V35" s="459">
        <f>+'ต.ค.-ธ.ค.'!V35+'ม.ค.-มี.ค.'!V35+'เม.ย.-มิ.ย.'!V35+'ก.ค.-ก.ย.'!V35</f>
        <v>0</v>
      </c>
      <c r="W35" s="584"/>
    </row>
    <row r="36" spans="1:23" ht="25.5" customHeight="1">
      <c r="A36" s="9"/>
      <c r="B36" s="130" t="s">
        <v>91</v>
      </c>
      <c r="C36" s="413">
        <f>76000+72000+84000+22000+25100+11000-5700</f>
        <v>284400</v>
      </c>
      <c r="D36" s="442"/>
      <c r="E36" s="459">
        <f>+'ต.ค.-ธ.ค.'!E36+'ม.ค.-มี.ค.'!E36+'เม.ย.-มิ.ย.'!E36+'ก.ค.-ก.ย.'!E36</f>
        <v>101384</v>
      </c>
      <c r="F36" s="459">
        <f>+'ต.ค.-ธ.ค.'!F36+'ม.ค.-มี.ค.'!F36+'เม.ย.-มิ.ย.'!F36+'ก.ค.-ก.ย.'!F36</f>
        <v>59166</v>
      </c>
      <c r="G36" s="459">
        <f>+'ต.ค.-ธ.ค.'!G36+'ม.ค.-มี.ค.'!G36+'เม.ย.-มิ.ย.'!G36+'ก.ค.-ก.ย.'!G36</f>
        <v>0</v>
      </c>
      <c r="H36" s="459">
        <f>+'ต.ค.-ธ.ค.'!H36+'ม.ค.-มี.ค.'!H36+'เม.ย.-มิ.ย.'!H36+'ก.ค.-ก.ย.'!H36</f>
        <v>94085</v>
      </c>
      <c r="I36" s="459">
        <f>+'ต.ค.-ธ.ค.'!I36+'ม.ค.-มี.ค.'!I36+'เม.ย.-มิ.ย.'!I36+'ก.ค.-ก.ย.'!I36</f>
        <v>0</v>
      </c>
      <c r="J36" s="459">
        <f>+'ต.ค.-ธ.ค.'!J36+'ม.ค.-มี.ค.'!J36+'เม.ย.-มิ.ย.'!J36+'ก.ค.-ก.ย.'!J36</f>
        <v>0</v>
      </c>
      <c r="K36" s="459">
        <f>+'ต.ค.-ธ.ค.'!K36+'ม.ค.-มี.ค.'!K36+'เม.ย.-มิ.ย.'!K36+'ก.ค.-ก.ย.'!K36</f>
        <v>0</v>
      </c>
      <c r="L36" s="459">
        <f>+'ต.ค.-ธ.ค.'!L36+'ม.ค.-มี.ค.'!L36+'เม.ย.-มิ.ย.'!L36+'ก.ค.-ก.ย.'!L36</f>
        <v>0</v>
      </c>
      <c r="M36" s="459">
        <f>+'ต.ค.-ธ.ค.'!M36+'ม.ค.-มี.ค.'!M36+'เม.ย.-มิ.ย.'!M36+'ก.ค.-ก.ย.'!M36</f>
        <v>29240</v>
      </c>
      <c r="N36" s="459">
        <f>+'ต.ค.-ธ.ค.'!N36+'ม.ค.-มี.ค.'!N36+'เม.ย.-มิ.ย.'!N36+'ก.ค.-ก.ย.'!N36</f>
        <v>0</v>
      </c>
      <c r="O36" s="459">
        <f>+'ต.ค.-ธ.ค.'!O36+'ม.ค.-มี.ค.'!O36+'เม.ย.-มิ.ย.'!O36+'ก.ค.-ก.ย.'!O36</f>
        <v>0</v>
      </c>
      <c r="P36" s="459">
        <f>+'ต.ค.-ธ.ค.'!P36+'ม.ค.-มี.ค.'!P36+'เม.ย.-มิ.ย.'!P36+'ก.ค.-ก.ย.'!P36</f>
        <v>0</v>
      </c>
      <c r="Q36" s="459">
        <f>+'ต.ค.-ธ.ค.'!Q36+'ม.ค.-มี.ค.'!Q36+'เม.ย.-มิ.ย.'!Q36+'ก.ค.-ก.ย.'!Q36</f>
        <v>0</v>
      </c>
      <c r="R36" s="459">
        <f>+'ต.ค.-ธ.ค.'!R36+'ม.ค.-มี.ค.'!R36+'เม.ย.-มิ.ย.'!R36+'ก.ค.-ก.ย.'!R36</f>
        <v>0</v>
      </c>
      <c r="S36" s="459">
        <f>+'ต.ค.-ธ.ค.'!S36+'ม.ค.-มี.ค.'!S36+'เม.ย.-มิ.ย.'!S36+'ก.ค.-ก.ย.'!S36</f>
        <v>0</v>
      </c>
      <c r="T36" s="459">
        <f>+'ต.ค.-ธ.ค.'!T36+'ม.ค.-มี.ค.'!T36+'เม.ย.-มิ.ย.'!T36+'ก.ค.-ก.ย.'!T36</f>
        <v>0</v>
      </c>
      <c r="U36" s="459">
        <f>+'ต.ค.-ธ.ค.'!U36+'ม.ค.-มี.ค.'!U36+'เม.ย.-มิ.ย.'!U36+'ก.ค.-ก.ย.'!U36</f>
        <v>0</v>
      </c>
      <c r="V36" s="459">
        <f>+'ต.ค.-ธ.ค.'!V36+'ม.ค.-มี.ค.'!V36+'เม.ย.-มิ.ย.'!V36+'ก.ค.-ก.ย.'!V36</f>
        <v>0</v>
      </c>
      <c r="W36" s="584"/>
    </row>
    <row r="37" spans="1:23" ht="25.5" customHeight="1">
      <c r="A37" s="227"/>
      <c r="B37" s="228" t="s">
        <v>240</v>
      </c>
      <c r="C37" s="413">
        <v>48000</v>
      </c>
      <c r="D37" s="450"/>
      <c r="E37" s="459">
        <f>+'ต.ค.-ธ.ค.'!E37+'ม.ค.-มี.ค.'!E37+'เม.ย.-มิ.ย.'!E37+'ก.ค.-ก.ย.'!E37</f>
        <v>0</v>
      </c>
      <c r="F37" s="459">
        <f>+'ต.ค.-ธ.ค.'!F37+'ม.ค.-มี.ค.'!F37+'เม.ย.-มิ.ย.'!F37+'ก.ค.-ก.ย.'!F37</f>
        <v>0</v>
      </c>
      <c r="G37" s="459">
        <f>+'ต.ค.-ธ.ค.'!G37+'ม.ค.-มี.ค.'!G37+'เม.ย.-มิ.ย.'!G37+'ก.ค.-ก.ย.'!G37</f>
        <v>0</v>
      </c>
      <c r="H37" s="459">
        <f>+'ต.ค.-ธ.ค.'!H37+'ม.ค.-มี.ค.'!H37+'เม.ย.-มิ.ย.'!H37+'ก.ค.-ก.ย.'!H37</f>
        <v>21960</v>
      </c>
      <c r="I37" s="459">
        <f>+'ต.ค.-ธ.ค.'!I37+'ม.ค.-มี.ค.'!I37+'เม.ย.-มิ.ย.'!I37+'ก.ค.-ก.ย.'!I37</f>
        <v>0</v>
      </c>
      <c r="J37" s="459">
        <f>+'ต.ค.-ธ.ค.'!J37+'ม.ค.-มี.ค.'!J37+'เม.ย.-มิ.ย.'!J37+'ก.ค.-ก.ย.'!J37</f>
        <v>0</v>
      </c>
      <c r="K37" s="459">
        <f>+'ต.ค.-ธ.ค.'!K37+'ม.ค.-มี.ค.'!K37+'เม.ย.-มิ.ย.'!K37+'ก.ค.-ก.ย.'!K37</f>
        <v>0</v>
      </c>
      <c r="L37" s="459">
        <f>+'ต.ค.-ธ.ค.'!L37+'ม.ค.-มี.ค.'!L37+'เม.ย.-มิ.ย.'!L37+'ก.ค.-ก.ย.'!L37</f>
        <v>0</v>
      </c>
      <c r="M37" s="459">
        <f>+'ต.ค.-ธ.ค.'!M37+'ม.ค.-มี.ค.'!M37+'เม.ย.-มิ.ย.'!M37+'ก.ค.-ก.ย.'!M37</f>
        <v>0</v>
      </c>
      <c r="N37" s="459">
        <f>+'ต.ค.-ธ.ค.'!N37+'ม.ค.-มี.ค.'!N37+'เม.ย.-มิ.ย.'!N37+'ก.ค.-ก.ย.'!N37</f>
        <v>0</v>
      </c>
      <c r="O37" s="459">
        <f>+'ต.ค.-ธ.ค.'!O37+'ม.ค.-มี.ค.'!O37+'เม.ย.-มิ.ย.'!O37+'ก.ค.-ก.ย.'!O37</f>
        <v>0</v>
      </c>
      <c r="P37" s="459">
        <f>+'ต.ค.-ธ.ค.'!P37+'ม.ค.-มี.ค.'!P37+'เม.ย.-มิ.ย.'!P37+'ก.ค.-ก.ย.'!P37</f>
        <v>0</v>
      </c>
      <c r="Q37" s="459">
        <f>+'ต.ค.-ธ.ค.'!Q37+'ม.ค.-มี.ค.'!Q37+'เม.ย.-มิ.ย.'!Q37+'ก.ค.-ก.ย.'!Q37</f>
        <v>0</v>
      </c>
      <c r="R37" s="459">
        <f>+'ต.ค.-ธ.ค.'!R37+'ม.ค.-มี.ค.'!R37+'เม.ย.-มิ.ย.'!R37+'ก.ค.-ก.ย.'!R37</f>
        <v>0</v>
      </c>
      <c r="S37" s="459">
        <f>+'ต.ค.-ธ.ค.'!S37+'ม.ค.-มี.ค.'!S37+'เม.ย.-มิ.ย.'!S37+'ก.ค.-ก.ย.'!S37</f>
        <v>0</v>
      </c>
      <c r="T37" s="459">
        <f>+'ต.ค.-ธ.ค.'!T37+'ม.ค.-มี.ค.'!T37+'เม.ย.-มิ.ย.'!T37+'ก.ค.-ก.ย.'!T37</f>
        <v>0</v>
      </c>
      <c r="U37" s="459">
        <f>+'ต.ค.-ธ.ค.'!U37+'ม.ค.-มี.ค.'!U37+'เม.ย.-มิ.ย.'!U37+'ก.ค.-ก.ย.'!U37</f>
        <v>0</v>
      </c>
      <c r="V37" s="459">
        <f>+'ต.ค.-ธ.ค.'!V37+'ม.ค.-มี.ค.'!V37+'เม.ย.-มิ.ย.'!V37+'ก.ค.-ก.ย.'!V37</f>
        <v>0</v>
      </c>
      <c r="W37" s="584"/>
    </row>
    <row r="38" spans="1:23" ht="25.5" customHeight="1">
      <c r="A38" s="532"/>
      <c r="B38" s="130" t="s">
        <v>440</v>
      </c>
      <c r="C38" s="288">
        <v>35000</v>
      </c>
      <c r="D38" s="450"/>
      <c r="E38" s="459">
        <f>+'ต.ค.-ธ.ค.'!E38+'ม.ค.-มี.ค.'!E38+'เม.ย.-มิ.ย.'!E38+'ก.ค.-ก.ย.'!E38</f>
        <v>0</v>
      </c>
      <c r="F38" s="459">
        <f>+'ต.ค.-ธ.ค.'!F38+'ม.ค.-มี.ค.'!F38+'เม.ย.-มิ.ย.'!F38+'ก.ค.-ก.ย.'!F38</f>
        <v>0</v>
      </c>
      <c r="G38" s="459">
        <f>+'ต.ค.-ธ.ค.'!G38+'ม.ค.-มี.ค.'!G38+'เม.ย.-มิ.ย.'!G38+'ก.ค.-ก.ย.'!G38</f>
        <v>0</v>
      </c>
      <c r="H38" s="459">
        <f>+'ต.ค.-ธ.ค.'!H38+'ม.ค.-มี.ค.'!H38+'เม.ย.-มิ.ย.'!H38+'ก.ค.-ก.ย.'!H38</f>
        <v>35000</v>
      </c>
      <c r="I38" s="459">
        <f>+'ต.ค.-ธ.ค.'!I38+'ม.ค.-มี.ค.'!I38+'เม.ย.-มิ.ย.'!I38+'ก.ค.-ก.ย.'!I38</f>
        <v>0</v>
      </c>
      <c r="J38" s="459">
        <f>+'ต.ค.-ธ.ค.'!J38+'ม.ค.-มี.ค.'!J38+'เม.ย.-มิ.ย.'!J38+'ก.ค.-ก.ย.'!J38</f>
        <v>0</v>
      </c>
      <c r="K38" s="459">
        <f>+'ต.ค.-ธ.ค.'!K38+'ม.ค.-มี.ค.'!K38+'เม.ย.-มิ.ย.'!K38+'ก.ค.-ก.ย.'!K38</f>
        <v>0</v>
      </c>
      <c r="L38" s="459">
        <f>+'ต.ค.-ธ.ค.'!L38+'ม.ค.-มี.ค.'!L38+'เม.ย.-มิ.ย.'!L38+'ก.ค.-ก.ย.'!L38</f>
        <v>0</v>
      </c>
      <c r="M38" s="459">
        <f>+'ต.ค.-ธ.ค.'!M38+'ม.ค.-มี.ค.'!M38+'เม.ย.-มิ.ย.'!M38+'ก.ค.-ก.ย.'!M38</f>
        <v>0</v>
      </c>
      <c r="N38" s="459">
        <f>+'ต.ค.-ธ.ค.'!N38+'ม.ค.-มี.ค.'!N38+'เม.ย.-มิ.ย.'!N38+'ก.ค.-ก.ย.'!N38</f>
        <v>0</v>
      </c>
      <c r="O38" s="459">
        <f>+'ต.ค.-ธ.ค.'!O38+'ม.ค.-มี.ค.'!O38+'เม.ย.-มิ.ย.'!O38+'ก.ค.-ก.ย.'!O38</f>
        <v>0</v>
      </c>
      <c r="P38" s="459">
        <f>+'ต.ค.-ธ.ค.'!P38+'ม.ค.-มี.ค.'!P38+'เม.ย.-มิ.ย.'!P38+'ก.ค.-ก.ย.'!P38</f>
        <v>0</v>
      </c>
      <c r="Q38" s="459">
        <f>+'ต.ค.-ธ.ค.'!Q38+'ม.ค.-มี.ค.'!Q38+'เม.ย.-มิ.ย.'!Q38+'ก.ค.-ก.ย.'!Q38</f>
        <v>0</v>
      </c>
      <c r="R38" s="459">
        <f>+'ต.ค.-ธ.ค.'!R38+'ม.ค.-มี.ค.'!R38+'เม.ย.-มิ.ย.'!R38+'ก.ค.-ก.ย.'!R38</f>
        <v>0</v>
      </c>
      <c r="S38" s="459">
        <f>+'ต.ค.-ธ.ค.'!S38+'ม.ค.-มี.ค.'!S38+'เม.ย.-มิ.ย.'!S38+'ก.ค.-ก.ย.'!S38</f>
        <v>0</v>
      </c>
      <c r="T38" s="459">
        <f>+'ต.ค.-ธ.ค.'!T38+'ม.ค.-มี.ค.'!T38+'เม.ย.-มิ.ย.'!T38+'ก.ค.-ก.ย.'!T38</f>
        <v>0</v>
      </c>
      <c r="U38" s="459">
        <f>+'ต.ค.-ธ.ค.'!U38+'ม.ค.-มี.ค.'!U38+'เม.ย.-มิ.ย.'!U38+'ก.ค.-ก.ย.'!U38</f>
        <v>0</v>
      </c>
      <c r="V38" s="459">
        <f>+'ต.ค.-ธ.ค.'!V38+'ม.ค.-มี.ค.'!V38+'เม.ย.-มิ.ย.'!V38+'ก.ค.-ก.ย.'!V38</f>
        <v>0</v>
      </c>
      <c r="W38" s="584"/>
    </row>
    <row r="39" spans="1:23" s="172" customFormat="1" ht="25.5" customHeight="1" thickBot="1">
      <c r="A39" s="46"/>
      <c r="B39" s="47" t="s">
        <v>5</v>
      </c>
      <c r="C39" s="414">
        <f>SUM(C30:C37)</f>
        <v>11534650</v>
      </c>
      <c r="D39" s="457">
        <f>SUM(D30:D37)</f>
        <v>0</v>
      </c>
      <c r="E39" s="456">
        <f>SUM(E30:E37)</f>
        <v>3798893</v>
      </c>
      <c r="F39" s="456">
        <f>SUM(F30:F37)</f>
        <v>1644624</v>
      </c>
      <c r="G39" s="456">
        <f t="shared" ref="G39:V39" si="2">SUM(G30:G37)</f>
        <v>0</v>
      </c>
      <c r="H39" s="456">
        <f>SUM(H30:H38)</f>
        <v>3914513</v>
      </c>
      <c r="I39" s="457">
        <f t="shared" si="2"/>
        <v>0</v>
      </c>
      <c r="J39" s="457">
        <f t="shared" si="2"/>
        <v>0</v>
      </c>
      <c r="K39" s="457">
        <f t="shared" si="2"/>
        <v>0</v>
      </c>
      <c r="L39" s="457">
        <f t="shared" si="2"/>
        <v>0</v>
      </c>
      <c r="M39" s="456">
        <f>SUM(M30:M37)</f>
        <v>1671630</v>
      </c>
      <c r="N39" s="457">
        <f t="shared" si="2"/>
        <v>0</v>
      </c>
      <c r="O39" s="457">
        <f t="shared" si="2"/>
        <v>0</v>
      </c>
      <c r="P39" s="457">
        <f t="shared" si="2"/>
        <v>0</v>
      </c>
      <c r="Q39" s="457">
        <f t="shared" si="2"/>
        <v>0</v>
      </c>
      <c r="R39" s="457">
        <f t="shared" si="2"/>
        <v>0</v>
      </c>
      <c r="S39" s="457">
        <f t="shared" si="2"/>
        <v>0</v>
      </c>
      <c r="T39" s="457"/>
      <c r="U39" s="457">
        <f t="shared" si="2"/>
        <v>0</v>
      </c>
      <c r="V39" s="457">
        <f t="shared" si="2"/>
        <v>0</v>
      </c>
      <c r="W39" s="619">
        <f>SUM(D39:V39)</f>
        <v>11029660</v>
      </c>
    </row>
    <row r="40" spans="1:23" ht="25.5" customHeight="1" thickTop="1">
      <c r="A40" s="5" t="s">
        <v>98</v>
      </c>
      <c r="B40" s="6"/>
      <c r="C40" s="412"/>
      <c r="D40" s="458"/>
      <c r="E40" s="459"/>
      <c r="F40" s="460"/>
      <c r="G40" s="460"/>
      <c r="H40" s="460"/>
      <c r="I40" s="458"/>
      <c r="J40" s="458"/>
      <c r="K40" s="458"/>
      <c r="L40" s="458"/>
      <c r="M40" s="460"/>
      <c r="N40" s="458"/>
      <c r="O40" s="458"/>
      <c r="P40" s="458"/>
      <c r="Q40" s="458"/>
      <c r="R40" s="538"/>
      <c r="S40" s="539"/>
      <c r="T40" s="542"/>
      <c r="U40" s="543"/>
      <c r="V40" s="543"/>
      <c r="W40" s="585"/>
    </row>
    <row r="41" spans="1:23" ht="25.5" customHeight="1">
      <c r="A41" s="9"/>
      <c r="B41" s="130" t="s">
        <v>93</v>
      </c>
      <c r="C41" s="408">
        <v>5000</v>
      </c>
      <c r="D41" s="458"/>
      <c r="E41" s="459">
        <f>+'ต.ค.-ธ.ค.'!E41+'ม.ค.-มี.ค.'!E41+'เม.ย.-มิ.ย.'!E41+'ก.ค.-ก.ย.'!E41</f>
        <v>11000</v>
      </c>
      <c r="F41" s="459">
        <f>+'ต.ค.-ธ.ค.'!F41+'ม.ค.-มี.ค.'!F41+'เม.ย.-มิ.ย.'!F41+'ก.ค.-ก.ย.'!F41</f>
        <v>0</v>
      </c>
      <c r="G41" s="459">
        <f>+'ต.ค.-ธ.ค.'!G41+'ม.ค.-มี.ค.'!G41+'เม.ย.-มิ.ย.'!G41+'ก.ค.-ก.ย.'!G41</f>
        <v>0</v>
      </c>
      <c r="H41" s="459">
        <f>+'ต.ค.-ธ.ค.'!H41+'ม.ค.-มี.ค.'!H41+'เม.ย.-มิ.ย.'!H41+'ก.ค.-ก.ย.'!H41</f>
        <v>0</v>
      </c>
      <c r="I41" s="459">
        <f>+'ต.ค.-ธ.ค.'!I41+'ม.ค.-มี.ค.'!I41+'เม.ย.-มิ.ย.'!I41+'ก.ค.-ก.ย.'!I41</f>
        <v>0</v>
      </c>
      <c r="J41" s="459">
        <f>+'ต.ค.-ธ.ค.'!J41+'ม.ค.-มี.ค.'!J41+'เม.ย.-มิ.ย.'!J41+'ก.ค.-ก.ย.'!J41</f>
        <v>0</v>
      </c>
      <c r="K41" s="459">
        <f>+'ต.ค.-ธ.ค.'!K41+'ม.ค.-มี.ค.'!K41+'เม.ย.-มิ.ย.'!K41+'ก.ค.-ก.ย.'!K41</f>
        <v>0</v>
      </c>
      <c r="L41" s="459">
        <f>+'ต.ค.-ธ.ค.'!L41+'ม.ค.-มี.ค.'!L41+'เม.ย.-มิ.ย.'!L41+'ก.ค.-ก.ย.'!L41</f>
        <v>0</v>
      </c>
      <c r="M41" s="459">
        <f>+'ต.ค.-ธ.ค.'!M41+'ม.ค.-มี.ค.'!M41+'เม.ย.-มิ.ย.'!M41+'ก.ค.-ก.ย.'!M41</f>
        <v>0</v>
      </c>
      <c r="N41" s="459">
        <f>+'ต.ค.-ธ.ค.'!N41+'ม.ค.-มี.ค.'!N41+'เม.ย.-มิ.ย.'!N41+'ก.ค.-ก.ย.'!N41</f>
        <v>0</v>
      </c>
      <c r="O41" s="459">
        <f>+'ต.ค.-ธ.ค.'!O41+'ม.ค.-มี.ค.'!O41+'เม.ย.-มิ.ย.'!O41+'ก.ค.-ก.ย.'!O41</f>
        <v>0</v>
      </c>
      <c r="P41" s="459">
        <f>+'ต.ค.-ธ.ค.'!P41+'ม.ค.-มี.ค.'!P41+'เม.ย.-มิ.ย.'!P41+'ก.ค.-ก.ย.'!P41</f>
        <v>0</v>
      </c>
      <c r="Q41" s="459">
        <f>+'ต.ค.-ธ.ค.'!Q41+'ม.ค.-มี.ค.'!Q41+'เม.ย.-มิ.ย.'!Q41+'ก.ค.-ก.ย.'!Q41</f>
        <v>0</v>
      </c>
      <c r="R41" s="459">
        <f>+'ต.ค.-ธ.ค.'!R41+'ม.ค.-มี.ค.'!R41+'เม.ย.-มิ.ย.'!R41+'ก.ค.-ก.ย.'!R41</f>
        <v>0</v>
      </c>
      <c r="S41" s="459">
        <f>+'ต.ค.-ธ.ค.'!S41+'ม.ค.-มี.ค.'!S41+'เม.ย.-มิ.ย.'!S41+'ก.ค.-ก.ย.'!S41</f>
        <v>0</v>
      </c>
      <c r="T41" s="459">
        <f>+'ต.ค.-ธ.ค.'!T41+'ม.ค.-มี.ค.'!T41+'เม.ย.-มิ.ย.'!T41+'ก.ค.-ก.ย.'!T41</f>
        <v>0</v>
      </c>
      <c r="U41" s="459">
        <f>+'ต.ค.-ธ.ค.'!U41+'ม.ค.-มี.ค.'!U41+'เม.ย.-มิ.ย.'!U41+'ก.ค.-ก.ย.'!U41</f>
        <v>0</v>
      </c>
      <c r="V41" s="459">
        <f>+'ต.ค.-ธ.ค.'!V41+'ม.ค.-มี.ค.'!V41+'เม.ย.-มิ.ย.'!V41+'ก.ค.-ก.ย.'!V41</f>
        <v>0</v>
      </c>
      <c r="W41" s="584"/>
    </row>
    <row r="42" spans="1:23" ht="25.5" customHeight="1">
      <c r="A42" s="9"/>
      <c r="B42" s="130" t="s">
        <v>205</v>
      </c>
      <c r="C42" s="409">
        <v>10000</v>
      </c>
      <c r="D42" s="442"/>
      <c r="E42" s="459">
        <f>+'ต.ค.-ธ.ค.'!E42+'ม.ค.-มี.ค.'!E42+'เม.ย.-มิ.ย.'!E42+'ก.ค.-ก.ย.'!E42</f>
        <v>0</v>
      </c>
      <c r="F42" s="459">
        <f>+'ต.ค.-ธ.ค.'!F42+'ม.ค.-มี.ค.'!F42+'เม.ย.-มิ.ย.'!F42+'ก.ค.-ก.ย.'!F42</f>
        <v>15000</v>
      </c>
      <c r="G42" s="459">
        <f>+'ต.ค.-ธ.ค.'!G42+'ม.ค.-มี.ค.'!G42+'เม.ย.-มิ.ย.'!G42+'ก.ค.-ก.ย.'!G42</f>
        <v>0</v>
      </c>
      <c r="H42" s="459">
        <f>+'ต.ค.-ธ.ค.'!H42+'ม.ค.-มี.ค.'!H42+'เม.ย.-มิ.ย.'!H42+'ก.ค.-ก.ย.'!H42</f>
        <v>0</v>
      </c>
      <c r="I42" s="459">
        <f>+'ต.ค.-ธ.ค.'!I42+'ม.ค.-มี.ค.'!I42+'เม.ย.-มิ.ย.'!I42+'ก.ค.-ก.ย.'!I42</f>
        <v>0</v>
      </c>
      <c r="J42" s="459">
        <f>+'ต.ค.-ธ.ค.'!J42+'ม.ค.-มี.ค.'!J42+'เม.ย.-มิ.ย.'!J42+'ก.ค.-ก.ย.'!J42</f>
        <v>0</v>
      </c>
      <c r="K42" s="459">
        <f>+'ต.ค.-ธ.ค.'!K42+'ม.ค.-มี.ค.'!K42+'เม.ย.-มิ.ย.'!K42+'ก.ค.-ก.ย.'!K42</f>
        <v>0</v>
      </c>
      <c r="L42" s="459">
        <f>+'ต.ค.-ธ.ค.'!L42+'ม.ค.-มี.ค.'!L42+'เม.ย.-มิ.ย.'!L42+'ก.ค.-ก.ย.'!L42</f>
        <v>0</v>
      </c>
      <c r="M42" s="459">
        <f>+'ต.ค.-ธ.ค.'!M42+'ม.ค.-มี.ค.'!M42+'เม.ย.-มิ.ย.'!M42+'ก.ค.-ก.ย.'!M42</f>
        <v>0</v>
      </c>
      <c r="N42" s="459">
        <f>+'ต.ค.-ธ.ค.'!N42+'ม.ค.-มี.ค.'!N42+'เม.ย.-มิ.ย.'!N42+'ก.ค.-ก.ย.'!N42</f>
        <v>0</v>
      </c>
      <c r="O42" s="459">
        <f>+'ต.ค.-ธ.ค.'!O42+'ม.ค.-มี.ค.'!O42+'เม.ย.-มิ.ย.'!O42+'ก.ค.-ก.ย.'!O42</f>
        <v>0</v>
      </c>
      <c r="P42" s="459">
        <f>+'ต.ค.-ธ.ค.'!P42+'ม.ค.-มี.ค.'!P42+'เม.ย.-มิ.ย.'!P42+'ก.ค.-ก.ย.'!P42</f>
        <v>0</v>
      </c>
      <c r="Q42" s="459">
        <f>+'ต.ค.-ธ.ค.'!Q42+'ม.ค.-มี.ค.'!Q42+'เม.ย.-มิ.ย.'!Q42+'ก.ค.-ก.ย.'!Q42</f>
        <v>0</v>
      </c>
      <c r="R42" s="459">
        <f>+'ต.ค.-ธ.ค.'!R42+'ม.ค.-มี.ค.'!R42+'เม.ย.-มิ.ย.'!R42+'ก.ค.-ก.ย.'!R42</f>
        <v>0</v>
      </c>
      <c r="S42" s="459">
        <f>+'ต.ค.-ธ.ค.'!S42+'ม.ค.-มี.ค.'!S42+'เม.ย.-มิ.ย.'!S42+'ก.ค.-ก.ย.'!S42</f>
        <v>0</v>
      </c>
      <c r="T42" s="459">
        <f>+'ต.ค.-ธ.ค.'!T42+'ม.ค.-มี.ค.'!T42+'เม.ย.-มิ.ย.'!T42+'ก.ค.-ก.ย.'!T42</f>
        <v>0</v>
      </c>
      <c r="U42" s="459">
        <f>+'ต.ค.-ธ.ค.'!U42+'ม.ค.-มี.ค.'!U42+'เม.ย.-มิ.ย.'!U42+'ก.ค.-ก.ย.'!U42</f>
        <v>0</v>
      </c>
      <c r="V42" s="459">
        <f>+'ต.ค.-ธ.ค.'!V42+'ม.ค.-มี.ค.'!V42+'เม.ย.-มิ.ย.'!V42+'ก.ค.-ก.ย.'!V42</f>
        <v>0</v>
      </c>
      <c r="W42" s="584"/>
    </row>
    <row r="43" spans="1:23" ht="25.5" customHeight="1">
      <c r="A43" s="9"/>
      <c r="B43" s="130" t="s">
        <v>94</v>
      </c>
      <c r="C43" s="409">
        <f>10000-10000</f>
        <v>0</v>
      </c>
      <c r="D43" s="442"/>
      <c r="E43" s="459">
        <f>+'ต.ค.-ธ.ค.'!E43+'ม.ค.-มี.ค.'!E43+'เม.ย.-มิ.ย.'!E43+'ก.ค.-ก.ย.'!E43</f>
        <v>0</v>
      </c>
      <c r="F43" s="459">
        <f>+'ต.ค.-ธ.ค.'!F43+'ม.ค.-มี.ค.'!F43+'เม.ย.-มิ.ย.'!F43+'ก.ค.-ก.ย.'!F43</f>
        <v>0</v>
      </c>
      <c r="G43" s="459">
        <f>+'ต.ค.-ธ.ค.'!G43+'ม.ค.-มี.ค.'!G43+'เม.ย.-มิ.ย.'!G43+'ก.ค.-ก.ย.'!G43</f>
        <v>0</v>
      </c>
      <c r="H43" s="459">
        <f>+'ต.ค.-ธ.ค.'!H43+'ม.ค.-มี.ค.'!H43+'เม.ย.-มิ.ย.'!H43+'ก.ค.-ก.ย.'!H43</f>
        <v>0</v>
      </c>
      <c r="I43" s="459">
        <f>+'ต.ค.-ธ.ค.'!I43+'ม.ค.-มี.ค.'!I43+'เม.ย.-มิ.ย.'!I43+'ก.ค.-ก.ย.'!I43</f>
        <v>0</v>
      </c>
      <c r="J43" s="459">
        <f>+'ต.ค.-ธ.ค.'!J43+'ม.ค.-มี.ค.'!J43+'เม.ย.-มิ.ย.'!J43+'ก.ค.-ก.ย.'!J43</f>
        <v>0</v>
      </c>
      <c r="K43" s="459">
        <f>+'ต.ค.-ธ.ค.'!K43+'ม.ค.-มี.ค.'!K43+'เม.ย.-มิ.ย.'!K43+'ก.ค.-ก.ย.'!K43</f>
        <v>0</v>
      </c>
      <c r="L43" s="459">
        <f>+'ต.ค.-ธ.ค.'!L43+'ม.ค.-มี.ค.'!L43+'เม.ย.-มิ.ย.'!L43+'ก.ค.-ก.ย.'!L43</f>
        <v>0</v>
      </c>
      <c r="M43" s="459">
        <f>+'ต.ค.-ธ.ค.'!M43+'ม.ค.-มี.ค.'!M43+'เม.ย.-มิ.ย.'!M43+'ก.ค.-ก.ย.'!M43</f>
        <v>0</v>
      </c>
      <c r="N43" s="459">
        <f>+'ต.ค.-ธ.ค.'!N43+'ม.ค.-มี.ค.'!N43+'เม.ย.-มิ.ย.'!N43+'ก.ค.-ก.ย.'!N43</f>
        <v>0</v>
      </c>
      <c r="O43" s="459">
        <f>+'ต.ค.-ธ.ค.'!O43+'ม.ค.-มี.ค.'!O43+'เม.ย.-มิ.ย.'!O43+'ก.ค.-ก.ย.'!O43</f>
        <v>0</v>
      </c>
      <c r="P43" s="459">
        <f>+'ต.ค.-ธ.ค.'!P43+'ม.ค.-มี.ค.'!P43+'เม.ย.-มิ.ย.'!P43+'ก.ค.-ก.ย.'!P43</f>
        <v>0</v>
      </c>
      <c r="Q43" s="459">
        <f>+'ต.ค.-ธ.ค.'!Q43+'ม.ค.-มี.ค.'!Q43+'เม.ย.-มิ.ย.'!Q43+'ก.ค.-ก.ย.'!Q43</f>
        <v>0</v>
      </c>
      <c r="R43" s="459">
        <f>+'ต.ค.-ธ.ค.'!R43+'ม.ค.-มี.ค.'!R43+'เม.ย.-มิ.ย.'!R43+'ก.ค.-ก.ย.'!R43</f>
        <v>0</v>
      </c>
      <c r="S43" s="459">
        <f>+'ต.ค.-ธ.ค.'!S43+'ม.ค.-มี.ค.'!S43+'เม.ย.-มิ.ย.'!S43+'ก.ค.-ก.ย.'!S43</f>
        <v>0</v>
      </c>
      <c r="T43" s="459">
        <f>+'ต.ค.-ธ.ค.'!T43+'ม.ค.-มี.ค.'!T43+'เม.ย.-มิ.ย.'!T43+'ก.ค.-ก.ย.'!T43</f>
        <v>0</v>
      </c>
      <c r="U43" s="459">
        <f>+'ต.ค.-ธ.ค.'!U43+'ม.ค.-มี.ค.'!U43+'เม.ย.-มิ.ย.'!U43+'ก.ค.-ก.ย.'!U43</f>
        <v>0</v>
      </c>
      <c r="V43" s="459">
        <f>+'ต.ค.-ธ.ค.'!V43+'ม.ค.-มี.ค.'!V43+'เม.ย.-มิ.ย.'!V43+'ก.ค.-ก.ย.'!V43</f>
        <v>0</v>
      </c>
      <c r="W43" s="580"/>
    </row>
    <row r="44" spans="1:23" ht="25.5" customHeight="1">
      <c r="A44" s="9"/>
      <c r="B44" s="130" t="s">
        <v>95</v>
      </c>
      <c r="C44" s="413">
        <v>5000</v>
      </c>
      <c r="D44" s="442"/>
      <c r="E44" s="459">
        <f>+'ต.ค.-ธ.ค.'!E44+'ม.ค.-มี.ค.'!E44+'เม.ย.-มิ.ย.'!E44+'ก.ค.-ก.ย.'!E44</f>
        <v>0</v>
      </c>
      <c r="F44" s="459">
        <f>+'ต.ค.-ธ.ค.'!F44+'ม.ค.-มี.ค.'!F44+'เม.ย.-มิ.ย.'!F44+'ก.ค.-ก.ย.'!F44</f>
        <v>0</v>
      </c>
      <c r="G44" s="459">
        <f>+'ต.ค.-ธ.ค.'!G44+'ม.ค.-มี.ค.'!G44+'เม.ย.-มิ.ย.'!G44+'ก.ค.-ก.ย.'!G44</f>
        <v>0</v>
      </c>
      <c r="H44" s="459">
        <f>+'ต.ค.-ธ.ค.'!H44+'ม.ค.-มี.ค.'!H44+'เม.ย.-มิ.ย.'!H44+'ก.ค.-ก.ย.'!H44</f>
        <v>0</v>
      </c>
      <c r="I44" s="459">
        <f>+'ต.ค.-ธ.ค.'!I44+'ม.ค.-มี.ค.'!I44+'เม.ย.-มิ.ย.'!I44+'ก.ค.-ก.ย.'!I44</f>
        <v>0</v>
      </c>
      <c r="J44" s="459">
        <f>+'ต.ค.-ธ.ค.'!J44+'ม.ค.-มี.ค.'!J44+'เม.ย.-มิ.ย.'!J44+'ก.ค.-ก.ย.'!J44</f>
        <v>0</v>
      </c>
      <c r="K44" s="459">
        <f>+'ต.ค.-ธ.ค.'!K44+'ม.ค.-มี.ค.'!K44+'เม.ย.-มิ.ย.'!K44+'ก.ค.-ก.ย.'!K44</f>
        <v>0</v>
      </c>
      <c r="L44" s="459">
        <f>+'ต.ค.-ธ.ค.'!L44+'ม.ค.-มี.ค.'!L44+'เม.ย.-มิ.ย.'!L44+'ก.ค.-ก.ย.'!L44</f>
        <v>0</v>
      </c>
      <c r="M44" s="459">
        <f>+'ต.ค.-ธ.ค.'!M44+'ม.ค.-มี.ค.'!M44+'เม.ย.-มิ.ย.'!M44+'ก.ค.-ก.ย.'!M44</f>
        <v>0</v>
      </c>
      <c r="N44" s="459">
        <f>+'ต.ค.-ธ.ค.'!N44+'ม.ค.-มี.ค.'!N44+'เม.ย.-มิ.ย.'!N44+'ก.ค.-ก.ย.'!N44</f>
        <v>0</v>
      </c>
      <c r="O44" s="459">
        <f>+'ต.ค.-ธ.ค.'!O44+'ม.ค.-มี.ค.'!O44+'เม.ย.-มิ.ย.'!O44+'ก.ค.-ก.ย.'!O44</f>
        <v>0</v>
      </c>
      <c r="P44" s="459">
        <f>+'ต.ค.-ธ.ค.'!P44+'ม.ค.-มี.ค.'!P44+'เม.ย.-มิ.ย.'!P44+'ก.ค.-ก.ย.'!P44</f>
        <v>0</v>
      </c>
      <c r="Q44" s="459">
        <f>+'ต.ค.-ธ.ค.'!Q44+'ม.ค.-มี.ค.'!Q44+'เม.ย.-มิ.ย.'!Q44+'ก.ค.-ก.ย.'!Q44</f>
        <v>0</v>
      </c>
      <c r="R44" s="459">
        <f>+'ต.ค.-ธ.ค.'!R44+'ม.ค.-มี.ค.'!R44+'เม.ย.-มิ.ย.'!R44+'ก.ค.-ก.ย.'!R44</f>
        <v>0</v>
      </c>
      <c r="S44" s="459">
        <f>+'ต.ค.-ธ.ค.'!S44+'ม.ค.-มี.ค.'!S44+'เม.ย.-มิ.ย.'!S44+'ก.ค.-ก.ย.'!S44</f>
        <v>0</v>
      </c>
      <c r="T44" s="459">
        <f>+'ต.ค.-ธ.ค.'!T44+'ม.ค.-มี.ค.'!T44+'เม.ย.-มิ.ย.'!T44+'ก.ค.-ก.ย.'!T44</f>
        <v>0</v>
      </c>
      <c r="U44" s="459">
        <f>+'ต.ค.-ธ.ค.'!U44+'ม.ค.-มี.ค.'!U44+'เม.ย.-มิ.ย.'!U44+'ก.ค.-ก.ย.'!U44</f>
        <v>0</v>
      </c>
      <c r="V44" s="459">
        <f>+'ต.ค.-ธ.ค.'!V44+'ม.ค.-มี.ค.'!V44+'เม.ย.-มิ.ย.'!V44+'ก.ค.-ก.ย.'!V44</f>
        <v>0</v>
      </c>
    </row>
    <row r="45" spans="1:23" ht="25.5" customHeight="1">
      <c r="A45" s="9"/>
      <c r="B45" s="130" t="s">
        <v>96</v>
      </c>
      <c r="C45" s="413">
        <v>5000</v>
      </c>
      <c r="D45" s="442"/>
      <c r="E45" s="459">
        <f>+'ต.ค.-ธ.ค.'!E45+'ม.ค.-มี.ค.'!E45+'เม.ย.-มิ.ย.'!E45+'ก.ค.-ก.ย.'!E45</f>
        <v>1980</v>
      </c>
      <c r="F45" s="459">
        <f>+'ต.ค.-ธ.ค.'!F45+'ม.ค.-มี.ค.'!F45+'เม.ย.-มิ.ย.'!F45+'ก.ค.-ก.ย.'!F45</f>
        <v>0</v>
      </c>
      <c r="G45" s="459">
        <f>+'ต.ค.-ธ.ค.'!G45+'ม.ค.-มี.ค.'!G45+'เม.ย.-มิ.ย.'!G45+'ก.ค.-ก.ย.'!G45</f>
        <v>0</v>
      </c>
      <c r="H45" s="459">
        <f>+'ต.ค.-ธ.ค.'!H45+'ม.ค.-มี.ค.'!H45+'เม.ย.-มิ.ย.'!H45+'ก.ค.-ก.ย.'!H45</f>
        <v>0</v>
      </c>
      <c r="I45" s="459">
        <f>+'ต.ค.-ธ.ค.'!I45+'ม.ค.-มี.ค.'!I45+'เม.ย.-มิ.ย.'!I45+'ก.ค.-ก.ย.'!I45</f>
        <v>0</v>
      </c>
      <c r="J45" s="459">
        <f>+'ต.ค.-ธ.ค.'!J45+'ม.ค.-มี.ค.'!J45+'เม.ย.-มิ.ย.'!J45+'ก.ค.-ก.ย.'!J45</f>
        <v>0</v>
      </c>
      <c r="K45" s="459">
        <f>+'ต.ค.-ธ.ค.'!K45+'ม.ค.-มี.ค.'!K45+'เม.ย.-มิ.ย.'!K45+'ก.ค.-ก.ย.'!K45</f>
        <v>0</v>
      </c>
      <c r="L45" s="459">
        <f>+'ต.ค.-ธ.ค.'!L45+'ม.ค.-มี.ค.'!L45+'เม.ย.-มิ.ย.'!L45+'ก.ค.-ก.ย.'!L45</f>
        <v>0</v>
      </c>
      <c r="M45" s="459">
        <f>+'ต.ค.-ธ.ค.'!M45+'ม.ค.-มี.ค.'!M45+'เม.ย.-มิ.ย.'!M45+'ก.ค.-ก.ย.'!M45</f>
        <v>0</v>
      </c>
      <c r="N45" s="459">
        <f>+'ต.ค.-ธ.ค.'!N45+'ม.ค.-มี.ค.'!N45+'เม.ย.-มิ.ย.'!N45+'ก.ค.-ก.ย.'!N45</f>
        <v>0</v>
      </c>
      <c r="O45" s="459">
        <f>+'ต.ค.-ธ.ค.'!O45+'ม.ค.-มี.ค.'!O45+'เม.ย.-มิ.ย.'!O45+'ก.ค.-ก.ย.'!O45</f>
        <v>0</v>
      </c>
      <c r="P45" s="459">
        <f>+'ต.ค.-ธ.ค.'!P45+'ม.ค.-มี.ค.'!P45+'เม.ย.-มิ.ย.'!P45+'ก.ค.-ก.ย.'!P45</f>
        <v>0</v>
      </c>
      <c r="Q45" s="459">
        <f>+'ต.ค.-ธ.ค.'!Q45+'ม.ค.-มี.ค.'!Q45+'เม.ย.-มิ.ย.'!Q45+'ก.ค.-ก.ย.'!Q45</f>
        <v>0</v>
      </c>
      <c r="R45" s="459">
        <f>+'ต.ค.-ธ.ค.'!R45+'ม.ค.-มี.ค.'!R45+'เม.ย.-มิ.ย.'!R45+'ก.ค.-ก.ย.'!R45</f>
        <v>0</v>
      </c>
      <c r="S45" s="459">
        <f>+'ต.ค.-ธ.ค.'!S45+'ม.ค.-มี.ค.'!S45+'เม.ย.-มิ.ย.'!S45+'ก.ค.-ก.ย.'!S45</f>
        <v>0</v>
      </c>
      <c r="T45" s="459">
        <f>+'ต.ค.-ธ.ค.'!T45+'ม.ค.-มี.ค.'!T45+'เม.ย.-มิ.ย.'!T45+'ก.ค.-ก.ย.'!T45</f>
        <v>0</v>
      </c>
      <c r="U45" s="459">
        <f>+'ต.ค.-ธ.ค.'!U45+'ม.ค.-มี.ค.'!U45+'เม.ย.-มิ.ย.'!U45+'ก.ค.-ก.ย.'!U45</f>
        <v>0</v>
      </c>
      <c r="V45" s="459">
        <f>+'ต.ค.-ธ.ค.'!V45+'ม.ค.-มี.ค.'!V45+'เม.ย.-มิ.ย.'!V45+'ก.ค.-ก.ย.'!V45</f>
        <v>0</v>
      </c>
    </row>
    <row r="46" spans="1:23" ht="25.5" customHeight="1">
      <c r="A46" s="9"/>
      <c r="B46" s="130" t="s">
        <v>10</v>
      </c>
      <c r="C46" s="408">
        <f>144000+36000+78000+78000-15500</f>
        <v>320500</v>
      </c>
      <c r="D46" s="458"/>
      <c r="E46" s="459">
        <f>+'ต.ค.-ธ.ค.'!E46+'ม.ค.-มี.ค.'!E46+'เม.ย.-มิ.ย.'!E46+'ก.ค.-ก.ย.'!E46</f>
        <v>119500</v>
      </c>
      <c r="F46" s="459">
        <f>+'ต.ค.-ธ.ค.'!F46+'ม.ค.-มี.ค.'!F46+'เม.ย.-มิ.ย.'!F46+'ก.ค.-ก.ย.'!F46</f>
        <v>36000</v>
      </c>
      <c r="G46" s="459">
        <f>+'ต.ค.-ธ.ค.'!G46+'ม.ค.-มี.ค.'!G46+'เม.ย.-มิ.ย.'!G46+'ก.ค.-ก.ย.'!G46</f>
        <v>0</v>
      </c>
      <c r="H46" s="459">
        <f>+'ต.ค.-ธ.ค.'!H46+'ม.ค.-มี.ค.'!H46+'เม.ย.-มิ.ย.'!H46+'ก.ค.-ก.ย.'!H46</f>
        <v>78000</v>
      </c>
      <c r="I46" s="459">
        <f>+'ต.ค.-ธ.ค.'!I46+'ม.ค.-มี.ค.'!I46+'เม.ย.-มิ.ย.'!I46+'ก.ค.-ก.ย.'!I46</f>
        <v>0</v>
      </c>
      <c r="J46" s="459">
        <f>+'ต.ค.-ธ.ค.'!J46+'ม.ค.-มี.ค.'!J46+'เม.ย.-มิ.ย.'!J46+'ก.ค.-ก.ย.'!J46</f>
        <v>0</v>
      </c>
      <c r="K46" s="459">
        <f>+'ต.ค.-ธ.ค.'!K46+'ม.ค.-มี.ค.'!K46+'เม.ย.-มิ.ย.'!K46+'ก.ค.-ก.ย.'!K46</f>
        <v>0</v>
      </c>
      <c r="L46" s="459">
        <f>+'ต.ค.-ธ.ค.'!L46+'ม.ค.-มี.ค.'!L46+'เม.ย.-มิ.ย.'!L46+'ก.ค.-ก.ย.'!L46</f>
        <v>0</v>
      </c>
      <c r="M46" s="459">
        <f>+'ต.ค.-ธ.ค.'!M46+'ม.ค.-มี.ค.'!M46+'เม.ย.-มิ.ย.'!M46+'ก.ค.-ก.ย.'!M46</f>
        <v>78000</v>
      </c>
      <c r="N46" s="459">
        <f>+'ต.ค.-ธ.ค.'!N46+'ม.ค.-มี.ค.'!N46+'เม.ย.-มิ.ย.'!N46+'ก.ค.-ก.ย.'!N46</f>
        <v>0</v>
      </c>
      <c r="O46" s="459">
        <f>+'ต.ค.-ธ.ค.'!O46+'ม.ค.-มี.ค.'!O46+'เม.ย.-มิ.ย.'!O46+'ก.ค.-ก.ย.'!O46</f>
        <v>0</v>
      </c>
      <c r="P46" s="459">
        <f>+'ต.ค.-ธ.ค.'!P46+'ม.ค.-มี.ค.'!P46+'เม.ย.-มิ.ย.'!P46+'ก.ค.-ก.ย.'!P46</f>
        <v>0</v>
      </c>
      <c r="Q46" s="459">
        <f>+'ต.ค.-ธ.ค.'!Q46+'ม.ค.-มี.ค.'!Q46+'เม.ย.-มิ.ย.'!Q46+'ก.ค.-ก.ย.'!Q46</f>
        <v>0</v>
      </c>
      <c r="R46" s="459">
        <f>+'ต.ค.-ธ.ค.'!R46+'ม.ค.-มี.ค.'!R46+'เม.ย.-มิ.ย.'!R46+'ก.ค.-ก.ย.'!R46</f>
        <v>0</v>
      </c>
      <c r="S46" s="459">
        <f>+'ต.ค.-ธ.ค.'!S46+'ม.ค.-มี.ค.'!S46+'เม.ย.-มิ.ย.'!S46+'ก.ค.-ก.ย.'!S46</f>
        <v>0</v>
      </c>
      <c r="T46" s="459">
        <f>+'ต.ค.-ธ.ค.'!T46+'ม.ค.-มี.ค.'!T46+'เม.ย.-มิ.ย.'!T46+'ก.ค.-ก.ย.'!T46</f>
        <v>0</v>
      </c>
      <c r="U46" s="459">
        <f>+'ต.ค.-ธ.ค.'!U46+'ม.ค.-มี.ค.'!U46+'เม.ย.-มิ.ย.'!U46+'ก.ค.-ก.ย.'!U46</f>
        <v>0</v>
      </c>
      <c r="V46" s="459">
        <f>+'ต.ค.-ธ.ค.'!V46+'ม.ค.-มี.ค.'!V46+'เม.ย.-มิ.ย.'!V46+'ก.ค.-ก.ย.'!V46</f>
        <v>0</v>
      </c>
    </row>
    <row r="47" spans="1:23" ht="25.5" customHeight="1">
      <c r="A47" s="9"/>
      <c r="B47" s="130" t="s">
        <v>9</v>
      </c>
      <c r="C47" s="408">
        <f>25000+10000+30000+20000</f>
        <v>85000</v>
      </c>
      <c r="D47" s="442"/>
      <c r="E47" s="459">
        <f>+'ต.ค.-ธ.ค.'!E47+'ม.ค.-มี.ค.'!E47+'เม.ย.-มิ.ย.'!E47+'ก.ค.-ก.ย.'!E47</f>
        <v>29200</v>
      </c>
      <c r="F47" s="459">
        <f>+'ต.ค.-ธ.ค.'!F47+'ม.ค.-มี.ค.'!F47+'เม.ย.-มิ.ย.'!F47+'ก.ค.-ก.ย.'!F47</f>
        <v>0</v>
      </c>
      <c r="G47" s="459">
        <f>+'ต.ค.-ธ.ค.'!G47+'ม.ค.-มี.ค.'!G47+'เม.ย.-มิ.ย.'!G47+'ก.ค.-ก.ย.'!G47</f>
        <v>0</v>
      </c>
      <c r="H47" s="459">
        <f>+'ต.ค.-ธ.ค.'!H47+'ม.ค.-มี.ค.'!H47+'เม.ย.-มิ.ย.'!H47+'ก.ค.-ก.ย.'!H47</f>
        <v>36300</v>
      </c>
      <c r="I47" s="459">
        <f>+'ต.ค.-ธ.ค.'!I47+'ม.ค.-มี.ค.'!I47+'เม.ย.-มิ.ย.'!I47+'ก.ค.-ก.ย.'!I47</f>
        <v>0</v>
      </c>
      <c r="J47" s="459">
        <f>+'ต.ค.-ธ.ค.'!J47+'ม.ค.-มี.ค.'!J47+'เม.ย.-มิ.ย.'!J47+'ก.ค.-ก.ย.'!J47</f>
        <v>0</v>
      </c>
      <c r="K47" s="459">
        <f>+'ต.ค.-ธ.ค.'!K47+'ม.ค.-มี.ค.'!K47+'เม.ย.-มิ.ย.'!K47+'ก.ค.-ก.ย.'!K47</f>
        <v>0</v>
      </c>
      <c r="L47" s="459">
        <f>+'ต.ค.-ธ.ค.'!L47+'ม.ค.-มี.ค.'!L47+'เม.ย.-มิ.ย.'!L47+'ก.ค.-ก.ย.'!L47</f>
        <v>0</v>
      </c>
      <c r="M47" s="459">
        <f>+'ต.ค.-ธ.ค.'!M47+'ม.ค.-มี.ค.'!M47+'เม.ย.-มิ.ย.'!M47+'ก.ค.-ก.ย.'!M47</f>
        <v>0</v>
      </c>
      <c r="N47" s="459">
        <f>+'ต.ค.-ธ.ค.'!N47+'ม.ค.-มี.ค.'!N47+'เม.ย.-มิ.ย.'!N47+'ก.ค.-ก.ย.'!N47</f>
        <v>0</v>
      </c>
      <c r="O47" s="459">
        <f>+'ต.ค.-ธ.ค.'!O47+'ม.ค.-มี.ค.'!O47+'เม.ย.-มิ.ย.'!O47+'ก.ค.-ก.ย.'!O47</f>
        <v>0</v>
      </c>
      <c r="P47" s="459">
        <f>+'ต.ค.-ธ.ค.'!P47+'ม.ค.-มี.ค.'!P47+'เม.ย.-มิ.ย.'!P47+'ก.ค.-ก.ย.'!P47</f>
        <v>0</v>
      </c>
      <c r="Q47" s="459">
        <f>+'ต.ค.-ธ.ค.'!Q47+'ม.ค.-มี.ค.'!Q47+'เม.ย.-มิ.ย.'!Q47+'ก.ค.-ก.ย.'!Q47</f>
        <v>0</v>
      </c>
      <c r="R47" s="459">
        <f>+'ต.ค.-ธ.ค.'!R47+'ม.ค.-มี.ค.'!R47+'เม.ย.-มิ.ย.'!R47+'ก.ค.-ก.ย.'!R47</f>
        <v>0</v>
      </c>
      <c r="S47" s="459">
        <f>+'ต.ค.-ธ.ค.'!S47+'ม.ค.-มี.ค.'!S47+'เม.ย.-มิ.ย.'!S47+'ก.ค.-ก.ย.'!S47</f>
        <v>0</v>
      </c>
      <c r="T47" s="459">
        <f>+'ต.ค.-ธ.ค.'!T47+'ม.ค.-มี.ค.'!T47+'เม.ย.-มิ.ย.'!T47+'ก.ค.-ก.ย.'!T47</f>
        <v>0</v>
      </c>
      <c r="U47" s="459">
        <f>+'ต.ค.-ธ.ค.'!U47+'ม.ค.-มี.ค.'!U47+'เม.ย.-มิ.ย.'!U47+'ก.ค.-ก.ย.'!U47</f>
        <v>0</v>
      </c>
      <c r="V47" s="459">
        <f>+'ต.ค.-ธ.ค.'!V47+'ม.ค.-มี.ค.'!V47+'เม.ย.-มิ.ย.'!V47+'ก.ค.-ก.ย.'!V47</f>
        <v>0</v>
      </c>
    </row>
    <row r="48" spans="1:23" ht="25.5" customHeight="1">
      <c r="A48" s="197"/>
      <c r="B48" s="198" t="s">
        <v>241</v>
      </c>
      <c r="C48" s="415">
        <v>44200</v>
      </c>
      <c r="D48" s="442"/>
      <c r="E48" s="459">
        <f>+'ต.ค.-ธ.ค.'!E48+'ม.ค.-มี.ค.'!E48+'เม.ย.-มิ.ย.'!E48+'ก.ค.-ก.ย.'!E48</f>
        <v>0</v>
      </c>
      <c r="F48" s="459">
        <f>+'ต.ค.-ธ.ค.'!F48+'ม.ค.-มี.ค.'!F48+'เม.ย.-มิ.ย.'!F48+'ก.ค.-ก.ย.'!F48</f>
        <v>0</v>
      </c>
      <c r="G48" s="459">
        <f>+'ต.ค.-ธ.ค.'!G48+'ม.ค.-มี.ค.'!G48+'เม.ย.-มิ.ย.'!G48+'ก.ค.-ก.ย.'!G48</f>
        <v>0</v>
      </c>
      <c r="H48" s="459">
        <f>+'ต.ค.-ธ.ค.'!H48+'ม.ค.-มี.ค.'!H48+'เม.ย.-มิ.ย.'!H48+'ก.ค.-ก.ย.'!H48</f>
        <v>17650</v>
      </c>
      <c r="I48" s="459">
        <f>+'ต.ค.-ธ.ค.'!I48+'ม.ค.-มี.ค.'!I48+'เม.ย.-มิ.ย.'!I48+'ก.ค.-ก.ย.'!I48</f>
        <v>0</v>
      </c>
      <c r="J48" s="459">
        <f>+'ต.ค.-ธ.ค.'!J48+'ม.ค.-มี.ค.'!J48+'เม.ย.-มิ.ย.'!J48+'ก.ค.-ก.ย.'!J48</f>
        <v>0</v>
      </c>
      <c r="K48" s="459">
        <f>+'ต.ค.-ธ.ค.'!K48+'ม.ค.-มี.ค.'!K48+'เม.ย.-มิ.ย.'!K48+'ก.ค.-ก.ย.'!K48</f>
        <v>0</v>
      </c>
      <c r="L48" s="459">
        <f>+'ต.ค.-ธ.ค.'!L48+'ม.ค.-มี.ค.'!L48+'เม.ย.-มิ.ย.'!L48+'ก.ค.-ก.ย.'!L48</f>
        <v>0</v>
      </c>
      <c r="M48" s="459">
        <f>+'ต.ค.-ธ.ค.'!M48+'ม.ค.-มี.ค.'!M48+'เม.ย.-มิ.ย.'!M48+'ก.ค.-ก.ย.'!M48</f>
        <v>0</v>
      </c>
      <c r="N48" s="459">
        <f>+'ต.ค.-ธ.ค.'!N48+'ม.ค.-มี.ค.'!N48+'เม.ย.-มิ.ย.'!N48+'ก.ค.-ก.ย.'!N48</f>
        <v>0</v>
      </c>
      <c r="O48" s="459">
        <f>+'ต.ค.-ธ.ค.'!O48+'ม.ค.-มี.ค.'!O48+'เม.ย.-มิ.ย.'!O48+'ก.ค.-ก.ย.'!O48</f>
        <v>0</v>
      </c>
      <c r="P48" s="459">
        <f>+'ต.ค.-ธ.ค.'!P48+'ม.ค.-มี.ค.'!P48+'เม.ย.-มิ.ย.'!P48+'ก.ค.-ก.ย.'!P48</f>
        <v>0</v>
      </c>
      <c r="Q48" s="459">
        <f>+'ต.ค.-ธ.ค.'!Q48+'ม.ค.-มี.ค.'!Q48+'เม.ย.-มิ.ย.'!Q48+'ก.ค.-ก.ย.'!Q48</f>
        <v>0</v>
      </c>
      <c r="R48" s="459">
        <f>+'ต.ค.-ธ.ค.'!R48+'ม.ค.-มี.ค.'!R48+'เม.ย.-มิ.ย.'!R48+'ก.ค.-ก.ย.'!R48</f>
        <v>0</v>
      </c>
      <c r="S48" s="459">
        <f>+'ต.ค.-ธ.ค.'!S48+'ม.ค.-มี.ค.'!S48+'เม.ย.-มิ.ย.'!S48+'ก.ค.-ก.ย.'!S48</f>
        <v>0</v>
      </c>
      <c r="T48" s="459">
        <f>+'ต.ค.-ธ.ค.'!T48+'ม.ค.-มี.ค.'!T48+'เม.ย.-มิ.ย.'!T48+'ก.ค.-ก.ย.'!T48</f>
        <v>0</v>
      </c>
      <c r="U48" s="459">
        <f>+'ต.ค.-ธ.ค.'!U48+'ม.ค.-มี.ค.'!U48+'เม.ย.-มิ.ย.'!U48+'ก.ค.-ก.ย.'!U48</f>
        <v>0</v>
      </c>
      <c r="V48" s="459">
        <f>+'ต.ค.-ธ.ค.'!V48+'ม.ค.-มี.ค.'!V48+'เม.ย.-มิ.ย.'!V48+'ก.ค.-ก.ย.'!V48</f>
        <v>0</v>
      </c>
    </row>
    <row r="49" spans="1:24" ht="25.5" customHeight="1" thickBot="1">
      <c r="A49" s="46"/>
      <c r="B49" s="47" t="s">
        <v>5</v>
      </c>
      <c r="C49" s="414">
        <f>SUM(C41:C48)</f>
        <v>474700</v>
      </c>
      <c r="D49" s="466">
        <f>SUM(D41:D48)</f>
        <v>0</v>
      </c>
      <c r="E49" s="467">
        <f>SUM(E41:E48)</f>
        <v>161680</v>
      </c>
      <c r="F49" s="467">
        <f>SUM(F41:F48)</f>
        <v>51000</v>
      </c>
      <c r="G49" s="467">
        <f t="shared" ref="G49:V49" si="3">SUM(G41:G48)</f>
        <v>0</v>
      </c>
      <c r="H49" s="467">
        <f>SUM(H41:H48)</f>
        <v>131950</v>
      </c>
      <c r="I49" s="466">
        <f t="shared" si="3"/>
        <v>0</v>
      </c>
      <c r="J49" s="466">
        <f t="shared" si="3"/>
        <v>0</v>
      </c>
      <c r="K49" s="466">
        <f t="shared" si="3"/>
        <v>0</v>
      </c>
      <c r="L49" s="466">
        <f t="shared" si="3"/>
        <v>0</v>
      </c>
      <c r="M49" s="467">
        <f>SUM(M41:M48)</f>
        <v>78000</v>
      </c>
      <c r="N49" s="466">
        <f t="shared" si="3"/>
        <v>0</v>
      </c>
      <c r="O49" s="466">
        <f t="shared" si="3"/>
        <v>0</v>
      </c>
      <c r="P49" s="466">
        <f t="shared" si="3"/>
        <v>0</v>
      </c>
      <c r="Q49" s="466">
        <f t="shared" si="3"/>
        <v>0</v>
      </c>
      <c r="R49" s="466">
        <f t="shared" si="3"/>
        <v>0</v>
      </c>
      <c r="S49" s="466">
        <f t="shared" si="3"/>
        <v>0</v>
      </c>
      <c r="T49" s="466"/>
      <c r="U49" s="466">
        <f t="shared" si="3"/>
        <v>0</v>
      </c>
      <c r="V49" s="466">
        <f t="shared" si="3"/>
        <v>0</v>
      </c>
      <c r="W49" s="583">
        <f>SUM(D49:V49)</f>
        <v>422630</v>
      </c>
    </row>
    <row r="50" spans="1:24" ht="25.5" customHeight="1" thickTop="1">
      <c r="A50" s="5" t="s">
        <v>99</v>
      </c>
      <c r="B50" s="6"/>
      <c r="C50" s="412"/>
      <c r="D50" s="458"/>
      <c r="E50" s="459"/>
      <c r="F50" s="460"/>
      <c r="G50" s="460"/>
      <c r="H50" s="460"/>
      <c r="I50" s="458"/>
      <c r="J50" s="458"/>
      <c r="K50" s="458"/>
      <c r="L50" s="458"/>
      <c r="M50" s="460"/>
      <c r="N50" s="458"/>
      <c r="O50" s="458"/>
      <c r="P50" s="458"/>
      <c r="Q50" s="458"/>
      <c r="R50" s="538"/>
      <c r="S50" s="539"/>
      <c r="T50" s="542"/>
      <c r="U50" s="543"/>
      <c r="V50" s="543"/>
    </row>
    <row r="51" spans="1:24" s="310" customFormat="1" ht="25.5" customHeight="1">
      <c r="A51" s="5"/>
      <c r="B51" s="130" t="s">
        <v>100</v>
      </c>
      <c r="C51" s="416">
        <f>15000+7000+20000+15000</f>
        <v>57000</v>
      </c>
      <c r="D51" s="458"/>
      <c r="E51" s="459">
        <f>+'ต.ค.-ธ.ค.'!E52+'ม.ค.-มี.ค.'!E51+'เม.ย.-มิ.ย.'!E51+'ก.ค.-ก.ย.'!E51</f>
        <v>7433</v>
      </c>
      <c r="F51" s="459">
        <f>+'ต.ค.-ธ.ค.'!F52+'ม.ค.-มี.ค.'!F51+'เม.ย.-มิ.ย.'!F51+'ก.ค.-ก.ย.'!F51</f>
        <v>0</v>
      </c>
      <c r="G51" s="459">
        <f>+'ต.ค.-ธ.ค.'!G52+'ม.ค.-มี.ค.'!G51+'เม.ย.-มิ.ย.'!G51+'ก.ค.-ก.ย.'!G51</f>
        <v>0</v>
      </c>
      <c r="H51" s="459">
        <f>+'ต.ค.-ธ.ค.'!H52+'ม.ค.-มี.ค.'!H51+'เม.ย.-มิ.ย.'!H51+'ก.ค.-ก.ย.'!H51</f>
        <v>36107</v>
      </c>
      <c r="I51" s="459">
        <f>+'ต.ค.-ธ.ค.'!I52+'ม.ค.-มี.ค.'!I51+'เม.ย.-มิ.ย.'!I51+'ก.ค.-ก.ย.'!I51</f>
        <v>0</v>
      </c>
      <c r="J51" s="459">
        <f>+'ต.ค.-ธ.ค.'!J52+'ม.ค.-มี.ค.'!J51+'เม.ย.-มิ.ย.'!J51+'ก.ค.-ก.ย.'!J51</f>
        <v>0</v>
      </c>
      <c r="K51" s="459">
        <f>+'ต.ค.-ธ.ค.'!K52+'ม.ค.-มี.ค.'!K51+'เม.ย.-มิ.ย.'!K51+'ก.ค.-ก.ย.'!K51</f>
        <v>0</v>
      </c>
      <c r="L51" s="459">
        <f>+'ต.ค.-ธ.ค.'!L52+'ม.ค.-มี.ค.'!L51+'เม.ย.-มิ.ย.'!L51+'ก.ค.-ก.ย.'!L51</f>
        <v>0</v>
      </c>
      <c r="M51" s="459">
        <f>+'ต.ค.-ธ.ค.'!M52+'ม.ค.-มี.ค.'!M51+'เม.ย.-มิ.ย.'!M51+'ก.ค.-ก.ย.'!M51</f>
        <v>0</v>
      </c>
      <c r="N51" s="459">
        <f>+'ต.ค.-ธ.ค.'!N52+'ม.ค.-มี.ค.'!N51+'เม.ย.-มิ.ย.'!N51+'ก.ค.-ก.ย.'!N51</f>
        <v>0</v>
      </c>
      <c r="O51" s="459">
        <f>+'ต.ค.-ธ.ค.'!O52+'ม.ค.-มี.ค.'!O51+'เม.ย.-มิ.ย.'!O51+'ก.ค.-ก.ย.'!O51</f>
        <v>0</v>
      </c>
      <c r="P51" s="459">
        <f>+'ต.ค.-ธ.ค.'!P52+'ม.ค.-มี.ค.'!P51+'เม.ย.-มิ.ย.'!P51+'ก.ค.-ก.ย.'!P51</f>
        <v>0</v>
      </c>
      <c r="Q51" s="459">
        <f>+'ต.ค.-ธ.ค.'!Q52+'ม.ค.-มี.ค.'!Q51+'เม.ย.-มิ.ย.'!Q51+'ก.ค.-ก.ย.'!Q51</f>
        <v>0</v>
      </c>
      <c r="R51" s="459">
        <f>+'ต.ค.-ธ.ค.'!R52+'ม.ค.-มี.ค.'!R51+'เม.ย.-มิ.ย.'!R51+'ก.ค.-ก.ย.'!R51</f>
        <v>0</v>
      </c>
      <c r="S51" s="459">
        <f>+'ต.ค.-ธ.ค.'!S52+'ม.ค.-มี.ค.'!S51+'เม.ย.-มิ.ย.'!S51+'ก.ค.-ก.ย.'!S51</f>
        <v>0</v>
      </c>
      <c r="T51" s="459">
        <f>+'ต.ค.-ธ.ค.'!T52+'ม.ค.-มี.ค.'!T51+'เม.ย.-มิ.ย.'!T51+'ก.ค.-ก.ย.'!T51</f>
        <v>0</v>
      </c>
      <c r="U51" s="459">
        <f>+'ต.ค.-ธ.ค.'!U52+'ม.ค.-มี.ค.'!U51+'เม.ย.-มิ.ย.'!U51+'ก.ค.-ก.ย.'!U51</f>
        <v>0</v>
      </c>
      <c r="V51" s="459">
        <f>+'ต.ค.-ธ.ค.'!V52+'ม.ค.-มี.ค.'!V51+'เม.ย.-มิ.ย.'!V51+'ก.ค.-ก.ย.'!V51</f>
        <v>0</v>
      </c>
      <c r="W51" s="579"/>
      <c r="X51" s="364"/>
    </row>
    <row r="52" spans="1:24" s="310" customFormat="1" ht="25.5" customHeight="1">
      <c r="A52" s="5"/>
      <c r="B52" s="130" t="s">
        <v>226</v>
      </c>
      <c r="C52" s="416">
        <f>1044000+124000+384000+296000-47000+10000+156000+65000+50000+64500-15000+20000+48300+53200+5700+9400+10000+15500+10000+6400</f>
        <v>2310000</v>
      </c>
      <c r="D52" s="458"/>
      <c r="E52" s="459">
        <f>+'ต.ค.-ธ.ค.'!E53+'ม.ค.-มี.ค.'!E52+'เม.ย.-มิ.ย.'!E52+'ก.ค.-ก.ย.'!E52</f>
        <v>1552873</v>
      </c>
      <c r="F52" s="459">
        <f>+'ต.ค.-ธ.ค.'!F53+'ม.ค.-มี.ค.'!F52+'เม.ย.-มิ.ย.'!F52+'ก.ค.-ก.ย.'!F52</f>
        <v>107998</v>
      </c>
      <c r="G52" s="459">
        <f>+'ต.ค.-ธ.ค.'!G53+'ม.ค.-มี.ค.'!G52+'เม.ย.-มิ.ย.'!G52+'ก.ค.-ก.ย.'!G52</f>
        <v>0</v>
      </c>
      <c r="H52" s="459">
        <f>+'ต.ค.-ธ.ค.'!H53+'ม.ค.-มี.ค.'!H52+'เม.ย.-มิ.ย.'!H52+'ก.ค.-ก.ย.'!H52</f>
        <v>618718</v>
      </c>
      <c r="I52" s="459">
        <f>+'ต.ค.-ธ.ค.'!I53+'ม.ค.-มี.ค.'!I52+'เม.ย.-มิ.ย.'!I52+'ก.ค.-ก.ย.'!I52</f>
        <v>0</v>
      </c>
      <c r="J52" s="459">
        <f>+'ต.ค.-ธ.ค.'!J53+'ม.ค.-มี.ค.'!J52+'เม.ย.-มิ.ย.'!J52+'ก.ค.-ก.ย.'!J52</f>
        <v>0</v>
      </c>
      <c r="K52" s="459">
        <f>+'ต.ค.-ธ.ค.'!K53+'ม.ค.-มี.ค.'!K52+'เม.ย.-มิ.ย.'!K52+'ก.ค.-ก.ย.'!K52</f>
        <v>0</v>
      </c>
      <c r="L52" s="459">
        <f>+'ต.ค.-ธ.ค.'!L53+'ม.ค.-มี.ค.'!L52+'เม.ย.-มิ.ย.'!L52+'ก.ค.-ก.ย.'!L52</f>
        <v>0</v>
      </c>
      <c r="M52" s="459">
        <f>+'ต.ค.-ธ.ค.'!M53+'ม.ค.-มี.ค.'!M52+'เม.ย.-มิ.ย.'!M52+'ก.ค.-ก.ย.'!M52</f>
        <v>435452</v>
      </c>
      <c r="N52" s="459">
        <f>+'ต.ค.-ธ.ค.'!N53+'ม.ค.-มี.ค.'!N52+'เม.ย.-มิ.ย.'!N52+'ก.ค.-ก.ย.'!N52</f>
        <v>0</v>
      </c>
      <c r="O52" s="459">
        <f>+'ต.ค.-ธ.ค.'!O53+'ม.ค.-มี.ค.'!O52+'เม.ย.-มิ.ย.'!O52+'ก.ค.-ก.ย.'!O52</f>
        <v>0</v>
      </c>
      <c r="P52" s="459">
        <f>+'ต.ค.-ธ.ค.'!P53+'ม.ค.-มี.ค.'!P52+'เม.ย.-มิ.ย.'!P52+'ก.ค.-ก.ย.'!P52</f>
        <v>0</v>
      </c>
      <c r="Q52" s="459">
        <f>+'ต.ค.-ธ.ค.'!Q53+'ม.ค.-มี.ค.'!Q52+'เม.ย.-มิ.ย.'!Q52+'ก.ค.-ก.ย.'!Q52</f>
        <v>0</v>
      </c>
      <c r="R52" s="459">
        <f>+'ต.ค.-ธ.ค.'!R53+'ม.ค.-มี.ค.'!R52+'เม.ย.-มิ.ย.'!R52+'ก.ค.-ก.ย.'!R52</f>
        <v>0</v>
      </c>
      <c r="S52" s="459">
        <f>+'ต.ค.-ธ.ค.'!S53+'ม.ค.-มี.ค.'!S52+'เม.ย.-มิ.ย.'!S52+'ก.ค.-ก.ย.'!S52</f>
        <v>0</v>
      </c>
      <c r="T52" s="459">
        <f>+'ต.ค.-ธ.ค.'!T53+'ม.ค.-มี.ค.'!T52+'เม.ย.-มิ.ย.'!T52+'ก.ค.-ก.ย.'!T52</f>
        <v>0</v>
      </c>
      <c r="U52" s="459">
        <f>+'ต.ค.-ธ.ค.'!U53+'ม.ค.-มี.ค.'!U52+'เม.ย.-มิ.ย.'!U52+'ก.ค.-ก.ย.'!U52</f>
        <v>0</v>
      </c>
      <c r="V52" s="459">
        <f>+'ต.ค.-ธ.ค.'!V53+'ม.ค.-มี.ค.'!V52+'เม.ย.-มิ.ย.'!V52+'ก.ค.-ก.ย.'!V52</f>
        <v>0</v>
      </c>
      <c r="W52" s="579"/>
      <c r="X52" s="364"/>
    </row>
    <row r="53" spans="1:24" s="310" customFormat="1" ht="25.5" customHeight="1">
      <c r="A53" s="5"/>
      <c r="B53" s="130" t="s">
        <v>223</v>
      </c>
      <c r="C53" s="416">
        <v>200000</v>
      </c>
      <c r="D53" s="458"/>
      <c r="E53" s="459">
        <f>+'ต.ค.-ธ.ค.'!E54+'ม.ค.-มี.ค.'!E53+'เม.ย.-มิ.ย.'!E53+'ก.ค.-ก.ย.'!E53</f>
        <v>200000</v>
      </c>
      <c r="F53" s="459">
        <f>+'ต.ค.-ธ.ค.'!F54+'ม.ค.-มี.ค.'!F53+'เม.ย.-มิ.ย.'!F53+'ก.ค.-ก.ย.'!F53</f>
        <v>0</v>
      </c>
      <c r="G53" s="459">
        <f>+'ต.ค.-ธ.ค.'!G54+'ม.ค.-มี.ค.'!G53+'เม.ย.-มิ.ย.'!G53+'ก.ค.-ก.ย.'!G53</f>
        <v>0</v>
      </c>
      <c r="H53" s="459">
        <f>+'ต.ค.-ธ.ค.'!H54+'ม.ค.-มี.ค.'!H53+'เม.ย.-มิ.ย.'!H53+'ก.ค.-ก.ย.'!H53</f>
        <v>0</v>
      </c>
      <c r="I53" s="459">
        <f>+'ต.ค.-ธ.ค.'!I54+'ม.ค.-มี.ค.'!I53+'เม.ย.-มิ.ย.'!I53+'ก.ค.-ก.ย.'!I53</f>
        <v>0</v>
      </c>
      <c r="J53" s="459">
        <f>+'ต.ค.-ธ.ค.'!J54+'ม.ค.-มี.ค.'!J53+'เม.ย.-มิ.ย.'!J53+'ก.ค.-ก.ย.'!J53</f>
        <v>0</v>
      </c>
      <c r="K53" s="459">
        <f>+'ต.ค.-ธ.ค.'!K54+'ม.ค.-มี.ค.'!K53+'เม.ย.-มิ.ย.'!K53+'ก.ค.-ก.ย.'!K53</f>
        <v>0</v>
      </c>
      <c r="L53" s="459">
        <f>+'ต.ค.-ธ.ค.'!L54+'ม.ค.-มี.ค.'!L53+'เม.ย.-มิ.ย.'!L53+'ก.ค.-ก.ย.'!L53</f>
        <v>0</v>
      </c>
      <c r="M53" s="459">
        <f>+'ต.ค.-ธ.ค.'!M54+'ม.ค.-มี.ค.'!M53+'เม.ย.-มิ.ย.'!M53+'ก.ค.-ก.ย.'!M53</f>
        <v>0</v>
      </c>
      <c r="N53" s="459">
        <f>+'ต.ค.-ธ.ค.'!N54+'ม.ค.-มี.ค.'!N53+'เม.ย.-มิ.ย.'!N53+'ก.ค.-ก.ย.'!N53</f>
        <v>0</v>
      </c>
      <c r="O53" s="459">
        <f>+'ต.ค.-ธ.ค.'!O54+'ม.ค.-มี.ค.'!O53+'เม.ย.-มิ.ย.'!O53+'ก.ค.-ก.ย.'!O53</f>
        <v>0</v>
      </c>
      <c r="P53" s="459">
        <f>+'ต.ค.-ธ.ค.'!P54+'ม.ค.-มี.ค.'!P53+'เม.ย.-มิ.ย.'!P53+'ก.ค.-ก.ย.'!P53</f>
        <v>0</v>
      </c>
      <c r="Q53" s="459">
        <f>+'ต.ค.-ธ.ค.'!Q54+'ม.ค.-มี.ค.'!Q53+'เม.ย.-มิ.ย.'!Q53+'ก.ค.-ก.ย.'!Q53</f>
        <v>0</v>
      </c>
      <c r="R53" s="459">
        <f>+'ต.ค.-ธ.ค.'!R54+'ม.ค.-มี.ค.'!R53+'เม.ย.-มิ.ย.'!R53+'ก.ค.-ก.ย.'!R53</f>
        <v>0</v>
      </c>
      <c r="S53" s="459">
        <f>+'ต.ค.-ธ.ค.'!S54+'ม.ค.-มี.ค.'!S53+'เม.ย.-มิ.ย.'!S53+'ก.ค.-ก.ย.'!S53</f>
        <v>0</v>
      </c>
      <c r="T53" s="459">
        <f>+'ต.ค.-ธ.ค.'!T54+'ม.ค.-มี.ค.'!T53+'เม.ย.-มิ.ย.'!T53+'ก.ค.-ก.ย.'!T53</f>
        <v>0</v>
      </c>
      <c r="U53" s="459">
        <f>+'ต.ค.-ธ.ค.'!U54+'ม.ค.-มี.ค.'!U53+'เม.ย.-มิ.ย.'!U53+'ก.ค.-ก.ย.'!U53</f>
        <v>0</v>
      </c>
      <c r="V53" s="459">
        <f>+'ต.ค.-ธ.ค.'!V54+'ม.ค.-มี.ค.'!V53+'เม.ย.-มิ.ย.'!V53+'ก.ค.-ก.ย.'!V53</f>
        <v>0</v>
      </c>
      <c r="W53" s="579"/>
      <c r="X53" s="364"/>
    </row>
    <row r="54" spans="1:24" s="310" customFormat="1" ht="25.5" customHeight="1">
      <c r="A54" s="5"/>
      <c r="B54" s="130" t="s">
        <v>224</v>
      </c>
      <c r="C54" s="416">
        <v>20000</v>
      </c>
      <c r="D54" s="458"/>
      <c r="E54" s="459">
        <f>+'ต.ค.-ธ.ค.'!E55+'ม.ค.-มี.ค.'!E54+'เม.ย.-มิ.ย.'!E54+'ก.ค.-ก.ย.'!E54</f>
        <v>7500</v>
      </c>
      <c r="F54" s="459">
        <f>+'ต.ค.-ธ.ค.'!F55+'ม.ค.-มี.ค.'!F54+'เม.ย.-มิ.ย.'!F54+'ก.ค.-ก.ย.'!F54</f>
        <v>0</v>
      </c>
      <c r="G54" s="459">
        <f>+'ต.ค.-ธ.ค.'!G55+'ม.ค.-มี.ค.'!G54+'เม.ย.-มิ.ย.'!G54+'ก.ค.-ก.ย.'!G54</f>
        <v>0</v>
      </c>
      <c r="H54" s="459">
        <f>+'ต.ค.-ธ.ค.'!H55+'ม.ค.-มี.ค.'!H54+'เม.ย.-มิ.ย.'!H54+'ก.ค.-ก.ย.'!H54</f>
        <v>0</v>
      </c>
      <c r="I54" s="459">
        <f>+'ต.ค.-ธ.ค.'!I55+'ม.ค.-มี.ค.'!I54+'เม.ย.-มิ.ย.'!I54+'ก.ค.-ก.ย.'!I54</f>
        <v>0</v>
      </c>
      <c r="J54" s="459">
        <f>+'ต.ค.-ธ.ค.'!J55+'ม.ค.-มี.ค.'!J54+'เม.ย.-มิ.ย.'!J54+'ก.ค.-ก.ย.'!J54</f>
        <v>0</v>
      </c>
      <c r="K54" s="459">
        <f>+'ต.ค.-ธ.ค.'!K55+'ม.ค.-มี.ค.'!K54+'เม.ย.-มิ.ย.'!K54+'ก.ค.-ก.ย.'!K54</f>
        <v>0</v>
      </c>
      <c r="L54" s="459">
        <f>+'ต.ค.-ธ.ค.'!L55+'ม.ค.-มี.ค.'!L54+'เม.ย.-มิ.ย.'!L54+'ก.ค.-ก.ย.'!L54</f>
        <v>0</v>
      </c>
      <c r="M54" s="459">
        <f>+'ต.ค.-ธ.ค.'!M55+'ม.ค.-มี.ค.'!M54+'เม.ย.-มิ.ย.'!M54+'ก.ค.-ก.ย.'!M54</f>
        <v>0</v>
      </c>
      <c r="N54" s="459">
        <f>+'ต.ค.-ธ.ค.'!N55+'ม.ค.-มี.ค.'!N54+'เม.ย.-มิ.ย.'!N54+'ก.ค.-ก.ย.'!N54</f>
        <v>0</v>
      </c>
      <c r="O54" s="459">
        <f>+'ต.ค.-ธ.ค.'!O55+'ม.ค.-มี.ค.'!O54+'เม.ย.-มิ.ย.'!O54+'ก.ค.-ก.ย.'!O54</f>
        <v>0</v>
      </c>
      <c r="P54" s="459">
        <f>+'ต.ค.-ธ.ค.'!P55+'ม.ค.-มี.ค.'!P54+'เม.ย.-มิ.ย.'!P54+'ก.ค.-ก.ย.'!P54</f>
        <v>0</v>
      </c>
      <c r="Q54" s="459">
        <f>+'ต.ค.-ธ.ค.'!Q55+'ม.ค.-มี.ค.'!Q54+'เม.ย.-มิ.ย.'!Q54+'ก.ค.-ก.ย.'!Q54</f>
        <v>0</v>
      </c>
      <c r="R54" s="459">
        <f>+'ต.ค.-ธ.ค.'!R55+'ม.ค.-มี.ค.'!R54+'เม.ย.-มิ.ย.'!R54+'ก.ค.-ก.ย.'!R54</f>
        <v>0</v>
      </c>
      <c r="S54" s="459">
        <f>+'ต.ค.-ธ.ค.'!S55+'ม.ค.-มี.ค.'!S54+'เม.ย.-มิ.ย.'!S54+'ก.ค.-ก.ย.'!S54</f>
        <v>0</v>
      </c>
      <c r="T54" s="459">
        <f>+'ต.ค.-ธ.ค.'!T55+'ม.ค.-มี.ค.'!T54+'เม.ย.-มิ.ย.'!T54+'ก.ค.-ก.ย.'!T54</f>
        <v>0</v>
      </c>
      <c r="U54" s="459">
        <f>+'ต.ค.-ธ.ค.'!U55+'ม.ค.-มี.ค.'!U54+'เม.ย.-มิ.ย.'!U54+'ก.ค.-ก.ย.'!U54</f>
        <v>0</v>
      </c>
      <c r="V54" s="459">
        <f>+'ต.ค.-ธ.ค.'!V55+'ม.ค.-มี.ค.'!V54+'เม.ย.-มิ.ย.'!V54+'ก.ค.-ก.ย.'!V54</f>
        <v>0</v>
      </c>
      <c r="W54" s="579"/>
      <c r="X54" s="364"/>
    </row>
    <row r="55" spans="1:24" s="310" customFormat="1" ht="25.5" customHeight="1">
      <c r="A55" s="5"/>
      <c r="B55" s="130" t="s">
        <v>225</v>
      </c>
      <c r="C55" s="416">
        <f>10000+14000</f>
        <v>24000</v>
      </c>
      <c r="D55" s="458"/>
      <c r="E55" s="459">
        <f>+'ต.ค.-ธ.ค.'!E56+'ม.ค.-มี.ค.'!E55+'เม.ย.-มิ.ย.'!E55+'ก.ค.-ก.ย.'!E55</f>
        <v>20510</v>
      </c>
      <c r="F55" s="459">
        <f>+'ต.ค.-ธ.ค.'!F56+'ม.ค.-มี.ค.'!F55+'เม.ย.-มิ.ย.'!F55+'ก.ค.-ก.ย.'!F55</f>
        <v>0</v>
      </c>
      <c r="G55" s="459">
        <f>+'ต.ค.-ธ.ค.'!G56+'ม.ค.-มี.ค.'!G55+'เม.ย.-มิ.ย.'!G55+'ก.ค.-ก.ย.'!G55</f>
        <v>0</v>
      </c>
      <c r="H55" s="459">
        <f>+'ต.ค.-ธ.ค.'!H56+'ม.ค.-มี.ค.'!H55+'เม.ย.-มิ.ย.'!H55+'ก.ค.-ก.ย.'!H55</f>
        <v>0</v>
      </c>
      <c r="I55" s="459">
        <f>+'ต.ค.-ธ.ค.'!I56+'ม.ค.-มี.ค.'!I55+'เม.ย.-มิ.ย.'!I55+'ก.ค.-ก.ย.'!I55</f>
        <v>0</v>
      </c>
      <c r="J55" s="459">
        <f>+'ต.ค.-ธ.ค.'!J56+'ม.ค.-มี.ค.'!J55+'เม.ย.-มิ.ย.'!J55+'ก.ค.-ก.ย.'!J55</f>
        <v>0</v>
      </c>
      <c r="K55" s="459">
        <f>+'ต.ค.-ธ.ค.'!K56+'ม.ค.-มี.ค.'!K55+'เม.ย.-มิ.ย.'!K55+'ก.ค.-ก.ย.'!K55</f>
        <v>0</v>
      </c>
      <c r="L55" s="459">
        <f>+'ต.ค.-ธ.ค.'!L56+'ม.ค.-มี.ค.'!L55+'เม.ย.-มิ.ย.'!L55+'ก.ค.-ก.ย.'!L55</f>
        <v>0</v>
      </c>
      <c r="M55" s="459">
        <f>+'ต.ค.-ธ.ค.'!M56+'ม.ค.-มี.ค.'!M55+'เม.ย.-มิ.ย.'!M55+'ก.ค.-ก.ย.'!M55</f>
        <v>0</v>
      </c>
      <c r="N55" s="459">
        <f>+'ต.ค.-ธ.ค.'!N56+'ม.ค.-มี.ค.'!N55+'เม.ย.-มิ.ย.'!N55+'ก.ค.-ก.ย.'!N55</f>
        <v>0</v>
      </c>
      <c r="O55" s="459">
        <f>+'ต.ค.-ธ.ค.'!O56+'ม.ค.-มี.ค.'!O55+'เม.ย.-มิ.ย.'!O55+'ก.ค.-ก.ย.'!O55</f>
        <v>0</v>
      </c>
      <c r="P55" s="459">
        <f>+'ต.ค.-ธ.ค.'!P56+'ม.ค.-มี.ค.'!P55+'เม.ย.-มิ.ย.'!P55+'ก.ค.-ก.ย.'!P55</f>
        <v>0</v>
      </c>
      <c r="Q55" s="459">
        <f>+'ต.ค.-ธ.ค.'!Q56+'ม.ค.-มี.ค.'!Q55+'เม.ย.-มิ.ย.'!Q55+'ก.ค.-ก.ย.'!Q55</f>
        <v>0</v>
      </c>
      <c r="R55" s="459">
        <f>+'ต.ค.-ธ.ค.'!R56+'ม.ค.-มี.ค.'!R55+'เม.ย.-มิ.ย.'!R55+'ก.ค.-ก.ย.'!R55</f>
        <v>0</v>
      </c>
      <c r="S55" s="459">
        <f>+'ต.ค.-ธ.ค.'!S56+'ม.ค.-มี.ค.'!S55+'เม.ย.-มิ.ย.'!S55+'ก.ค.-ก.ย.'!S55</f>
        <v>0</v>
      </c>
      <c r="T55" s="459">
        <f>+'ต.ค.-ธ.ค.'!T56+'ม.ค.-มี.ค.'!T55+'เม.ย.-มิ.ย.'!T55+'ก.ค.-ก.ย.'!T55</f>
        <v>0</v>
      </c>
      <c r="U55" s="459">
        <f>+'ต.ค.-ธ.ค.'!U56+'ม.ค.-มี.ค.'!U55+'เม.ย.-มิ.ย.'!U55+'ก.ค.-ก.ย.'!U55</f>
        <v>0</v>
      </c>
      <c r="V55" s="459">
        <f>+'ต.ค.-ธ.ค.'!V56+'ม.ค.-มี.ค.'!V55+'เม.ย.-มิ.ย.'!V55+'ก.ค.-ก.ย.'!V55</f>
        <v>0</v>
      </c>
      <c r="W55" s="579"/>
      <c r="X55" s="364"/>
    </row>
    <row r="56" spans="1:24" s="310" customFormat="1" ht="25.5" customHeight="1">
      <c r="A56" s="5"/>
      <c r="B56" s="130" t="s">
        <v>227</v>
      </c>
      <c r="C56" s="416">
        <v>40000</v>
      </c>
      <c r="D56" s="458"/>
      <c r="E56" s="459">
        <f>+'ต.ค.-ธ.ค.'!E57+'ม.ค.-มี.ค.'!E56+'เม.ย.-มิ.ย.'!E56+'ก.ค.-ก.ย.'!E56</f>
        <v>0</v>
      </c>
      <c r="F56" s="459">
        <f>+'ต.ค.-ธ.ค.'!F57+'ม.ค.-มี.ค.'!F56+'เม.ย.-มิ.ย.'!F56+'ก.ค.-ก.ย.'!F56</f>
        <v>0</v>
      </c>
      <c r="G56" s="459">
        <f>+'ต.ค.-ธ.ค.'!G57+'ม.ค.-มี.ค.'!G56+'เม.ย.-มิ.ย.'!G56+'ก.ค.-ก.ย.'!G56</f>
        <v>0</v>
      </c>
      <c r="H56" s="459">
        <f>+'ต.ค.-ธ.ค.'!H57+'ม.ค.-มี.ค.'!H56+'เม.ย.-มิ.ย.'!H56+'ก.ค.-ก.ย.'!H56</f>
        <v>0</v>
      </c>
      <c r="I56" s="459">
        <f>+'ต.ค.-ธ.ค.'!I57+'ม.ค.-มี.ค.'!I56+'เม.ย.-มิ.ย.'!I56+'ก.ค.-ก.ย.'!I56</f>
        <v>0</v>
      </c>
      <c r="J56" s="459">
        <f>+'ต.ค.-ธ.ค.'!J57+'ม.ค.-มี.ค.'!J56+'เม.ย.-มิ.ย.'!J56+'ก.ค.-ก.ย.'!J56</f>
        <v>0</v>
      </c>
      <c r="K56" s="459">
        <f>+'ต.ค.-ธ.ค.'!K57+'ม.ค.-มี.ค.'!K56+'เม.ย.-มิ.ย.'!K56+'ก.ค.-ก.ย.'!K56</f>
        <v>0</v>
      </c>
      <c r="L56" s="459">
        <f>+'ต.ค.-ธ.ค.'!L57+'ม.ค.-มี.ค.'!L56+'เม.ย.-มิ.ย.'!L56+'ก.ค.-ก.ย.'!L56</f>
        <v>0</v>
      </c>
      <c r="M56" s="459">
        <f>+'ต.ค.-ธ.ค.'!M57+'ม.ค.-มี.ค.'!M56+'เม.ย.-มิ.ย.'!M56+'ก.ค.-ก.ย.'!M56</f>
        <v>0</v>
      </c>
      <c r="N56" s="459">
        <f>+'ต.ค.-ธ.ค.'!N57+'ม.ค.-มี.ค.'!N56+'เม.ย.-มิ.ย.'!N56+'ก.ค.-ก.ย.'!N56</f>
        <v>0</v>
      </c>
      <c r="O56" s="459">
        <f>+'ต.ค.-ธ.ค.'!O57+'ม.ค.-มี.ค.'!O56+'เม.ย.-มิ.ย.'!O56+'ก.ค.-ก.ย.'!O56</f>
        <v>0</v>
      </c>
      <c r="P56" s="459">
        <f>+'ต.ค.-ธ.ค.'!P57+'ม.ค.-มี.ค.'!P56+'เม.ย.-มิ.ย.'!P56+'ก.ค.-ก.ย.'!P56</f>
        <v>0</v>
      </c>
      <c r="Q56" s="459">
        <f>+'ต.ค.-ธ.ค.'!Q57+'ม.ค.-มี.ค.'!Q56+'เม.ย.-มิ.ย.'!Q56+'ก.ค.-ก.ย.'!Q56</f>
        <v>0</v>
      </c>
      <c r="R56" s="459">
        <f>+'ต.ค.-ธ.ค.'!R57+'ม.ค.-มี.ค.'!R56+'เม.ย.-มิ.ย.'!R56+'ก.ค.-ก.ย.'!R56</f>
        <v>0</v>
      </c>
      <c r="S56" s="459">
        <f>+'ต.ค.-ธ.ค.'!S57+'ม.ค.-มี.ค.'!S56+'เม.ย.-มิ.ย.'!S56+'ก.ค.-ก.ย.'!S56</f>
        <v>0</v>
      </c>
      <c r="T56" s="459">
        <f>+'ต.ค.-ธ.ค.'!T57+'ม.ค.-มี.ค.'!T56+'เม.ย.-มิ.ย.'!T56+'ก.ค.-ก.ย.'!T56</f>
        <v>0</v>
      </c>
      <c r="U56" s="459">
        <f>+'ต.ค.-ธ.ค.'!U57+'ม.ค.-มี.ค.'!U56+'เม.ย.-มิ.ย.'!U56+'ก.ค.-ก.ย.'!U56</f>
        <v>0</v>
      </c>
      <c r="V56" s="459">
        <f>+'ต.ค.-ธ.ค.'!V57+'ม.ค.-มี.ค.'!V56+'เม.ย.-มิ.ย.'!V56+'ก.ค.-ก.ย.'!V56</f>
        <v>0</v>
      </c>
      <c r="W56" s="579"/>
      <c r="X56" s="364"/>
    </row>
    <row r="57" spans="1:24" s="310" customFormat="1" ht="25.5" customHeight="1">
      <c r="A57" s="5"/>
      <c r="B57" s="130" t="s">
        <v>228</v>
      </c>
      <c r="C57" s="416">
        <v>9000</v>
      </c>
      <c r="D57" s="458"/>
      <c r="E57" s="459">
        <f>+'ต.ค.-ธ.ค.'!E58+'ม.ค.-มี.ค.'!E57+'เม.ย.-มิ.ย.'!E57+'ก.ค.-ก.ย.'!E57</f>
        <v>0</v>
      </c>
      <c r="F57" s="459">
        <f>+'ต.ค.-ธ.ค.'!F58+'ม.ค.-มี.ค.'!F57+'เม.ย.-มิ.ย.'!F57+'ก.ค.-ก.ย.'!F57</f>
        <v>0</v>
      </c>
      <c r="G57" s="459">
        <f>+'ต.ค.-ธ.ค.'!G58+'ม.ค.-มี.ค.'!G57+'เม.ย.-มิ.ย.'!G57+'ก.ค.-ก.ย.'!G57</f>
        <v>0</v>
      </c>
      <c r="H57" s="459">
        <f>+'ต.ค.-ธ.ค.'!H58+'ม.ค.-มี.ค.'!H57+'เม.ย.-มิ.ย.'!H57+'ก.ค.-ก.ย.'!H57</f>
        <v>0</v>
      </c>
      <c r="I57" s="459">
        <f>+'ต.ค.-ธ.ค.'!I58+'ม.ค.-มี.ค.'!I57+'เม.ย.-มิ.ย.'!I57+'ก.ค.-ก.ย.'!I57</f>
        <v>0</v>
      </c>
      <c r="J57" s="459">
        <f>+'ต.ค.-ธ.ค.'!J58+'ม.ค.-มี.ค.'!J57+'เม.ย.-มิ.ย.'!J57+'ก.ค.-ก.ย.'!J57</f>
        <v>0</v>
      </c>
      <c r="K57" s="459">
        <f>+'ต.ค.-ธ.ค.'!K58+'ม.ค.-มี.ค.'!K57+'เม.ย.-มิ.ย.'!K57+'ก.ค.-ก.ย.'!K57</f>
        <v>0</v>
      </c>
      <c r="L57" s="459">
        <f>+'ต.ค.-ธ.ค.'!L58+'ม.ค.-มี.ค.'!L57+'เม.ย.-มิ.ย.'!L57+'ก.ค.-ก.ย.'!L57</f>
        <v>0</v>
      </c>
      <c r="M57" s="459">
        <f>+'ต.ค.-ธ.ค.'!M58+'ม.ค.-มี.ค.'!M57+'เม.ย.-มิ.ย.'!M57+'ก.ค.-ก.ย.'!M57</f>
        <v>0</v>
      </c>
      <c r="N57" s="459">
        <f>+'ต.ค.-ธ.ค.'!N58+'ม.ค.-มี.ค.'!N57+'เม.ย.-มิ.ย.'!N57+'ก.ค.-ก.ย.'!N57</f>
        <v>0</v>
      </c>
      <c r="O57" s="459">
        <f>+'ต.ค.-ธ.ค.'!O58+'ม.ค.-มี.ค.'!O57+'เม.ย.-มิ.ย.'!O57+'ก.ค.-ก.ย.'!O57</f>
        <v>0</v>
      </c>
      <c r="P57" s="459">
        <f>+'ต.ค.-ธ.ค.'!P58+'ม.ค.-มี.ค.'!P57+'เม.ย.-มิ.ย.'!P57+'ก.ค.-ก.ย.'!P57</f>
        <v>0</v>
      </c>
      <c r="Q57" s="459">
        <f>+'ต.ค.-ธ.ค.'!Q58+'ม.ค.-มี.ค.'!Q57+'เม.ย.-มิ.ย.'!Q57+'ก.ค.-ก.ย.'!Q57</f>
        <v>0</v>
      </c>
      <c r="R57" s="459">
        <f>+'ต.ค.-ธ.ค.'!R58+'ม.ค.-มี.ค.'!R57+'เม.ย.-มิ.ย.'!R57+'ก.ค.-ก.ย.'!R57</f>
        <v>0</v>
      </c>
      <c r="S57" s="459">
        <f>+'ต.ค.-ธ.ค.'!S58+'ม.ค.-มี.ค.'!S57+'เม.ย.-มิ.ย.'!S57+'ก.ค.-ก.ย.'!S57</f>
        <v>0</v>
      </c>
      <c r="T57" s="459">
        <f>+'ต.ค.-ธ.ค.'!T58+'ม.ค.-มี.ค.'!T57+'เม.ย.-มิ.ย.'!T57+'ก.ค.-ก.ย.'!T57</f>
        <v>0</v>
      </c>
      <c r="U57" s="459">
        <f>+'ต.ค.-ธ.ค.'!U58+'ม.ค.-มี.ค.'!U57+'เม.ย.-มิ.ย.'!U57+'ก.ค.-ก.ย.'!U57</f>
        <v>0</v>
      </c>
      <c r="V57" s="459">
        <f>+'ต.ค.-ธ.ค.'!V58+'ม.ค.-มี.ค.'!V57+'เม.ย.-มิ.ย.'!V57+'ก.ค.-ก.ย.'!V57</f>
        <v>0</v>
      </c>
      <c r="W57" s="579"/>
      <c r="X57" s="364"/>
    </row>
    <row r="58" spans="1:24" s="310" customFormat="1" ht="25.5" customHeight="1">
      <c r="A58" s="5"/>
      <c r="B58" s="130" t="s">
        <v>11</v>
      </c>
      <c r="C58" s="416">
        <f>10000+60000+20000</f>
        <v>90000</v>
      </c>
      <c r="D58" s="458"/>
      <c r="E58" s="459">
        <f>+'ต.ค.-ธ.ค.'!E59+'ม.ค.-มี.ค.'!E58+'เม.ย.-มิ.ย.'!E58+'ก.ค.-ก.ย.'!E58</f>
        <v>37278</v>
      </c>
      <c r="F58" s="459">
        <f>+'ต.ค.-ธ.ค.'!F59+'ม.ค.-มี.ค.'!F58+'เม.ย.-มิ.ย.'!F58+'ก.ค.-ก.ย.'!F58</f>
        <v>0</v>
      </c>
      <c r="G58" s="459">
        <f>+'ต.ค.-ธ.ค.'!G59+'ม.ค.-มี.ค.'!G58+'เม.ย.-มิ.ย.'!G58+'ก.ค.-ก.ย.'!G58</f>
        <v>0</v>
      </c>
      <c r="H58" s="459">
        <f>+'ต.ค.-ธ.ค.'!H59+'ม.ค.-มี.ค.'!H58+'เม.ย.-มิ.ย.'!H58+'ก.ค.-ก.ย.'!H58</f>
        <v>0</v>
      </c>
      <c r="I58" s="459">
        <f>+'ต.ค.-ธ.ค.'!I59+'ม.ค.-มี.ค.'!I58+'เม.ย.-มิ.ย.'!I58+'ก.ค.-ก.ย.'!I58</f>
        <v>0</v>
      </c>
      <c r="J58" s="459">
        <f>+'ต.ค.-ธ.ค.'!J59+'ม.ค.-มี.ค.'!J58+'เม.ย.-มิ.ย.'!J58+'ก.ค.-ก.ย.'!J58</f>
        <v>0</v>
      </c>
      <c r="K58" s="459">
        <f>+'ต.ค.-ธ.ค.'!K59+'ม.ค.-มี.ค.'!K58+'เม.ย.-มิ.ย.'!K58+'ก.ค.-ก.ย.'!K58</f>
        <v>0</v>
      </c>
      <c r="L58" s="459">
        <f>+'ต.ค.-ธ.ค.'!L59+'ม.ค.-มี.ค.'!L58+'เม.ย.-มิ.ย.'!L58+'ก.ค.-ก.ย.'!L58</f>
        <v>0</v>
      </c>
      <c r="M58" s="459">
        <f>+'ต.ค.-ธ.ค.'!M59+'ม.ค.-มี.ค.'!M58+'เม.ย.-มิ.ย.'!M58+'ก.ค.-ก.ย.'!M58</f>
        <v>0</v>
      </c>
      <c r="N58" s="459">
        <f>+'ต.ค.-ธ.ค.'!N59+'ม.ค.-มี.ค.'!N58+'เม.ย.-มิ.ย.'!N58+'ก.ค.-ก.ย.'!N58</f>
        <v>0</v>
      </c>
      <c r="O58" s="459">
        <f>+'ต.ค.-ธ.ค.'!O59+'ม.ค.-มี.ค.'!O58+'เม.ย.-มิ.ย.'!O58+'ก.ค.-ก.ย.'!O58</f>
        <v>0</v>
      </c>
      <c r="P58" s="459">
        <f>+'ต.ค.-ธ.ค.'!P59+'ม.ค.-มี.ค.'!P58+'เม.ย.-มิ.ย.'!P58+'ก.ค.-ก.ย.'!P58</f>
        <v>0</v>
      </c>
      <c r="Q58" s="459">
        <f>+'ต.ค.-ธ.ค.'!Q59+'ม.ค.-มี.ค.'!Q58+'เม.ย.-มิ.ย.'!Q58+'ก.ค.-ก.ย.'!Q58</f>
        <v>0</v>
      </c>
      <c r="R58" s="459">
        <f>+'ต.ค.-ธ.ค.'!R59+'ม.ค.-มี.ค.'!R58+'เม.ย.-มิ.ย.'!R58+'ก.ค.-ก.ย.'!R58</f>
        <v>0</v>
      </c>
      <c r="S58" s="459">
        <f>+'ต.ค.-ธ.ค.'!S59+'ม.ค.-มี.ค.'!S58+'เม.ย.-มิ.ย.'!S58+'ก.ค.-ก.ย.'!S58</f>
        <v>0</v>
      </c>
      <c r="T58" s="459">
        <f>+'ต.ค.-ธ.ค.'!T59+'ม.ค.-มี.ค.'!T58+'เม.ย.-มิ.ย.'!T58+'ก.ค.-ก.ย.'!T58</f>
        <v>0</v>
      </c>
      <c r="U58" s="459">
        <f>+'ต.ค.-ธ.ค.'!U59+'ม.ค.-มี.ค.'!U58+'เม.ย.-มิ.ย.'!U58+'ก.ค.-ก.ย.'!U58</f>
        <v>0</v>
      </c>
      <c r="V58" s="459">
        <f>+'ต.ค.-ธ.ค.'!V59+'ม.ค.-มี.ค.'!V58+'เม.ย.-มิ.ย.'!V58+'ก.ค.-ก.ย.'!V58</f>
        <v>0</v>
      </c>
      <c r="W58" s="579"/>
      <c r="X58" s="364"/>
    </row>
    <row r="59" spans="1:24" s="310" customFormat="1" ht="25.5" customHeight="1">
      <c r="A59" s="5"/>
      <c r="B59" s="130" t="s">
        <v>229</v>
      </c>
      <c r="C59" s="416">
        <v>10000</v>
      </c>
      <c r="D59" s="458"/>
      <c r="E59" s="459">
        <f>+'ต.ค.-ธ.ค.'!E60+'ม.ค.-มี.ค.'!E59+'เม.ย.-มิ.ย.'!E59+'ก.ค.-ก.ย.'!E59</f>
        <v>19842</v>
      </c>
      <c r="F59" s="459">
        <f>+'ต.ค.-ธ.ค.'!F60+'ม.ค.-มี.ค.'!F59+'เม.ย.-มิ.ย.'!F59+'ก.ค.-ก.ย.'!F59</f>
        <v>0</v>
      </c>
      <c r="G59" s="459">
        <f>+'ต.ค.-ธ.ค.'!G60+'ม.ค.-มี.ค.'!G59+'เม.ย.-มิ.ย.'!G59+'ก.ค.-ก.ย.'!G59</f>
        <v>0</v>
      </c>
      <c r="H59" s="459">
        <f>+'ต.ค.-ธ.ค.'!H60+'ม.ค.-มี.ค.'!H59+'เม.ย.-มิ.ย.'!H59+'ก.ค.-ก.ย.'!H59</f>
        <v>0</v>
      </c>
      <c r="I59" s="459">
        <f>+'ต.ค.-ธ.ค.'!I60+'ม.ค.-มี.ค.'!I59+'เม.ย.-มิ.ย.'!I59+'ก.ค.-ก.ย.'!I59</f>
        <v>0</v>
      </c>
      <c r="J59" s="459">
        <f>+'ต.ค.-ธ.ค.'!J60+'ม.ค.-มี.ค.'!J59+'เม.ย.-มิ.ย.'!J59+'ก.ค.-ก.ย.'!J59</f>
        <v>0</v>
      </c>
      <c r="K59" s="459">
        <f>+'ต.ค.-ธ.ค.'!K60+'ม.ค.-มี.ค.'!K59+'เม.ย.-มิ.ย.'!K59+'ก.ค.-ก.ย.'!K59</f>
        <v>0</v>
      </c>
      <c r="L59" s="459">
        <f>+'ต.ค.-ธ.ค.'!L60+'ม.ค.-มี.ค.'!L59+'เม.ย.-มิ.ย.'!L59+'ก.ค.-ก.ย.'!L59</f>
        <v>0</v>
      </c>
      <c r="M59" s="459">
        <f>+'ต.ค.-ธ.ค.'!M60+'ม.ค.-มี.ค.'!M59+'เม.ย.-มิ.ย.'!M59+'ก.ค.-ก.ย.'!M59</f>
        <v>0</v>
      </c>
      <c r="N59" s="459">
        <f>+'ต.ค.-ธ.ค.'!N60+'ม.ค.-มี.ค.'!N59+'เม.ย.-มิ.ย.'!N59+'ก.ค.-ก.ย.'!N59</f>
        <v>0</v>
      </c>
      <c r="O59" s="459">
        <f>+'ต.ค.-ธ.ค.'!O60+'ม.ค.-มี.ค.'!O59+'เม.ย.-มิ.ย.'!O59+'ก.ค.-ก.ย.'!O59</f>
        <v>0</v>
      </c>
      <c r="P59" s="459">
        <f>+'ต.ค.-ธ.ค.'!P60+'ม.ค.-มี.ค.'!P59+'เม.ย.-มิ.ย.'!P59+'ก.ค.-ก.ย.'!P59</f>
        <v>0</v>
      </c>
      <c r="Q59" s="459">
        <f>+'ต.ค.-ธ.ค.'!Q60+'ม.ค.-มี.ค.'!Q59+'เม.ย.-มิ.ย.'!Q59+'ก.ค.-ก.ย.'!Q59</f>
        <v>0</v>
      </c>
      <c r="R59" s="459">
        <f>+'ต.ค.-ธ.ค.'!R60+'ม.ค.-มี.ค.'!R59+'เม.ย.-มิ.ย.'!R59+'ก.ค.-ก.ย.'!R59</f>
        <v>0</v>
      </c>
      <c r="S59" s="459">
        <f>+'ต.ค.-ธ.ค.'!S60+'ม.ค.-มี.ค.'!S59+'เม.ย.-มิ.ย.'!S59+'ก.ค.-ก.ย.'!S59</f>
        <v>0</v>
      </c>
      <c r="T59" s="459">
        <f>+'ต.ค.-ธ.ค.'!T60+'ม.ค.-มี.ค.'!T59+'เม.ย.-มิ.ย.'!T59+'ก.ค.-ก.ย.'!T59</f>
        <v>0</v>
      </c>
      <c r="U59" s="459">
        <f>+'ต.ค.-ธ.ค.'!U60+'ม.ค.-มี.ค.'!U59+'เม.ย.-มิ.ย.'!U59+'ก.ค.-ก.ย.'!U59</f>
        <v>0</v>
      </c>
      <c r="V59" s="459">
        <f>+'ต.ค.-ธ.ค.'!V60+'ม.ค.-มี.ค.'!V59+'เม.ย.-มิ.ย.'!V59+'ก.ค.-ก.ย.'!V59</f>
        <v>0</v>
      </c>
      <c r="W59" s="579"/>
      <c r="X59" s="364"/>
    </row>
    <row r="60" spans="1:24" s="310" customFormat="1" ht="25.5" customHeight="1">
      <c r="A60" s="5"/>
      <c r="B60" s="130" t="s">
        <v>230</v>
      </c>
      <c r="C60" s="416">
        <v>20000</v>
      </c>
      <c r="D60" s="458"/>
      <c r="E60" s="459">
        <f>+'ต.ค.-ธ.ค.'!E61+'ม.ค.-มี.ค.'!E60+'เม.ย.-มิ.ย.'!E60+'ก.ค.-ก.ย.'!E60</f>
        <v>68699</v>
      </c>
      <c r="F60" s="459">
        <f>+'ต.ค.-ธ.ค.'!F61+'ม.ค.-มี.ค.'!F60+'เม.ย.-มิ.ย.'!F60+'ก.ค.-ก.ย.'!F60</f>
        <v>0</v>
      </c>
      <c r="G60" s="459">
        <f>+'ต.ค.-ธ.ค.'!G61+'ม.ค.-มี.ค.'!G60+'เม.ย.-มิ.ย.'!G60+'ก.ค.-ก.ย.'!G60</f>
        <v>0</v>
      </c>
      <c r="H60" s="459">
        <f>+'ต.ค.-ธ.ค.'!H61+'ม.ค.-มี.ค.'!H60+'เม.ย.-มิ.ย.'!H60+'ก.ค.-ก.ย.'!H60</f>
        <v>0</v>
      </c>
      <c r="I60" s="459">
        <f>+'ต.ค.-ธ.ค.'!I61+'ม.ค.-มี.ค.'!I60+'เม.ย.-มิ.ย.'!I60+'ก.ค.-ก.ย.'!I60</f>
        <v>0</v>
      </c>
      <c r="J60" s="459">
        <f>+'ต.ค.-ธ.ค.'!J61+'ม.ค.-มี.ค.'!J60+'เม.ย.-มิ.ย.'!J60+'ก.ค.-ก.ย.'!J60</f>
        <v>0</v>
      </c>
      <c r="K60" s="459">
        <f>+'ต.ค.-ธ.ค.'!K61+'ม.ค.-มี.ค.'!K60+'เม.ย.-มิ.ย.'!K60+'ก.ค.-ก.ย.'!K60</f>
        <v>0</v>
      </c>
      <c r="L60" s="459">
        <f>+'ต.ค.-ธ.ค.'!L61+'ม.ค.-มี.ค.'!L60+'เม.ย.-มิ.ย.'!L60+'ก.ค.-ก.ย.'!L60</f>
        <v>0</v>
      </c>
      <c r="M60" s="459">
        <f>+'ต.ค.-ธ.ค.'!M61+'ม.ค.-มี.ค.'!M60+'เม.ย.-มิ.ย.'!M60+'ก.ค.-ก.ย.'!M60</f>
        <v>0</v>
      </c>
      <c r="N60" s="459">
        <f>+'ต.ค.-ธ.ค.'!N61+'ม.ค.-มี.ค.'!N60+'เม.ย.-มิ.ย.'!N60+'ก.ค.-ก.ย.'!N60</f>
        <v>0</v>
      </c>
      <c r="O60" s="459">
        <f>+'ต.ค.-ธ.ค.'!O61+'ม.ค.-มี.ค.'!O60+'เม.ย.-มิ.ย.'!O60+'ก.ค.-ก.ย.'!O60</f>
        <v>0</v>
      </c>
      <c r="P60" s="459">
        <f>+'ต.ค.-ธ.ค.'!P61+'ม.ค.-มี.ค.'!P60+'เม.ย.-มิ.ย.'!P60+'ก.ค.-ก.ย.'!P60</f>
        <v>0</v>
      </c>
      <c r="Q60" s="459">
        <f>+'ต.ค.-ธ.ค.'!Q61+'ม.ค.-มี.ค.'!Q60+'เม.ย.-มิ.ย.'!Q60+'ก.ค.-ก.ย.'!Q60</f>
        <v>0</v>
      </c>
      <c r="R60" s="459">
        <f>+'ต.ค.-ธ.ค.'!R61+'ม.ค.-มี.ค.'!R60+'เม.ย.-มิ.ย.'!R60+'ก.ค.-ก.ย.'!R60</f>
        <v>0</v>
      </c>
      <c r="S60" s="459">
        <f>+'ต.ค.-ธ.ค.'!S61+'ม.ค.-มี.ค.'!S60+'เม.ย.-มิ.ย.'!S60+'ก.ค.-ก.ย.'!S60</f>
        <v>0</v>
      </c>
      <c r="T60" s="459">
        <f>+'ต.ค.-ธ.ค.'!T61+'ม.ค.-มี.ค.'!T60+'เม.ย.-มิ.ย.'!T60+'ก.ค.-ก.ย.'!T60</f>
        <v>0</v>
      </c>
      <c r="U60" s="459">
        <f>+'ต.ค.-ธ.ค.'!U61+'ม.ค.-มี.ค.'!U60+'เม.ย.-มิ.ย.'!U60+'ก.ค.-ก.ย.'!U60</f>
        <v>0</v>
      </c>
      <c r="V60" s="459">
        <f>+'ต.ค.-ธ.ค.'!V61+'ม.ค.-มี.ค.'!V60+'เม.ย.-มิ.ย.'!V60+'ก.ค.-ก.ย.'!V60</f>
        <v>0</v>
      </c>
      <c r="W60" s="579"/>
      <c r="X60" s="364"/>
    </row>
    <row r="61" spans="1:24" s="310" customFormat="1" ht="25.5" customHeight="1">
      <c r="A61" s="9"/>
      <c r="B61" s="130" t="s">
        <v>50</v>
      </c>
      <c r="C61" s="417">
        <f>10000-10000</f>
        <v>0</v>
      </c>
      <c r="D61" s="458"/>
      <c r="E61" s="459">
        <f>+'ต.ค.-ธ.ค.'!E62+'ม.ค.-มี.ค.'!E61+'เม.ย.-มิ.ย.'!E61+'ก.ค.-ก.ย.'!E61</f>
        <v>0</v>
      </c>
      <c r="F61" s="459">
        <f>+'ต.ค.-ธ.ค.'!F62+'ม.ค.-มี.ค.'!F61+'เม.ย.-มิ.ย.'!F61+'ก.ค.-ก.ย.'!F61</f>
        <v>0</v>
      </c>
      <c r="G61" s="459">
        <f>+'ต.ค.-ธ.ค.'!G62+'ม.ค.-มี.ค.'!G61+'เม.ย.-มิ.ย.'!G61+'ก.ค.-ก.ย.'!G61</f>
        <v>0</v>
      </c>
      <c r="H61" s="459">
        <f>+'ต.ค.-ธ.ค.'!H62+'ม.ค.-มี.ค.'!H61+'เม.ย.-มิ.ย.'!H61+'ก.ค.-ก.ย.'!H61</f>
        <v>0</v>
      </c>
      <c r="I61" s="459">
        <f>+'ต.ค.-ธ.ค.'!I62+'ม.ค.-มี.ค.'!I61+'เม.ย.-มิ.ย.'!I61+'ก.ค.-ก.ย.'!I61</f>
        <v>0</v>
      </c>
      <c r="J61" s="459">
        <f>+'ต.ค.-ธ.ค.'!J62+'ม.ค.-มี.ค.'!J61+'เม.ย.-มิ.ย.'!J61+'ก.ค.-ก.ย.'!J61</f>
        <v>0</v>
      </c>
      <c r="K61" s="459">
        <f>+'ต.ค.-ธ.ค.'!K62+'ม.ค.-มี.ค.'!K61+'เม.ย.-มิ.ย.'!K61+'ก.ค.-ก.ย.'!K61</f>
        <v>0</v>
      </c>
      <c r="L61" s="459">
        <f>+'ต.ค.-ธ.ค.'!L62+'ม.ค.-มี.ค.'!L61+'เม.ย.-มิ.ย.'!L61+'ก.ค.-ก.ย.'!L61</f>
        <v>0</v>
      </c>
      <c r="M61" s="459">
        <f>+'ต.ค.-ธ.ค.'!M62+'ม.ค.-มี.ค.'!M61+'เม.ย.-มิ.ย.'!M61+'ก.ค.-ก.ย.'!M61</f>
        <v>0</v>
      </c>
      <c r="N61" s="459">
        <f>+'ต.ค.-ธ.ค.'!N62+'ม.ค.-มี.ค.'!N61+'เม.ย.-มิ.ย.'!N61+'ก.ค.-ก.ย.'!N61</f>
        <v>0</v>
      </c>
      <c r="O61" s="459">
        <f>+'ต.ค.-ธ.ค.'!O62+'ม.ค.-มี.ค.'!O61+'เม.ย.-มิ.ย.'!O61+'ก.ค.-ก.ย.'!O61</f>
        <v>0</v>
      </c>
      <c r="P61" s="459">
        <f>+'ต.ค.-ธ.ค.'!P62+'ม.ค.-มี.ค.'!P61+'เม.ย.-มิ.ย.'!P61+'ก.ค.-ก.ย.'!P61</f>
        <v>0</v>
      </c>
      <c r="Q61" s="459">
        <f>+'ต.ค.-ธ.ค.'!Q62+'ม.ค.-มี.ค.'!Q61+'เม.ย.-มิ.ย.'!Q61+'ก.ค.-ก.ย.'!Q61</f>
        <v>0</v>
      </c>
      <c r="R61" s="459">
        <f>+'ต.ค.-ธ.ค.'!R62+'ม.ค.-มี.ค.'!R61+'เม.ย.-มิ.ย.'!R61+'ก.ค.-ก.ย.'!R61</f>
        <v>0</v>
      </c>
      <c r="S61" s="459">
        <f>+'ต.ค.-ธ.ค.'!S62+'ม.ค.-มี.ค.'!S61+'เม.ย.-มิ.ย.'!S61+'ก.ค.-ก.ย.'!S61</f>
        <v>0</v>
      </c>
      <c r="T61" s="459">
        <f>+'ต.ค.-ธ.ค.'!T62+'ม.ค.-มี.ค.'!T61+'เม.ย.-มิ.ย.'!T61+'ก.ค.-ก.ย.'!T61</f>
        <v>0</v>
      </c>
      <c r="U61" s="459">
        <f>+'ต.ค.-ธ.ค.'!U62+'ม.ค.-มี.ค.'!U61+'เม.ย.-มิ.ย.'!U61+'ก.ค.-ก.ย.'!U61</f>
        <v>0</v>
      </c>
      <c r="V61" s="459">
        <f>+'ต.ค.-ธ.ค.'!V62+'ม.ค.-มี.ค.'!V61+'เม.ย.-มิ.ย.'!V61+'ก.ค.-ก.ย.'!V61</f>
        <v>0</v>
      </c>
      <c r="W61" s="579"/>
      <c r="X61" s="364"/>
    </row>
    <row r="62" spans="1:24" s="310" customFormat="1" ht="25.5" customHeight="1">
      <c r="A62" s="9"/>
      <c r="B62" s="130" t="s">
        <v>103</v>
      </c>
      <c r="C62" s="417">
        <v>10000</v>
      </c>
      <c r="D62" s="442"/>
      <c r="E62" s="459">
        <f>+'ต.ค.-ธ.ค.'!E63+'ม.ค.-มี.ค.'!E62+'เม.ย.-มิ.ย.'!E62+'ก.ค.-ก.ย.'!E62</f>
        <v>0</v>
      </c>
      <c r="F62" s="459">
        <f>+'ต.ค.-ธ.ค.'!F63+'ม.ค.-มี.ค.'!F62+'เม.ย.-มิ.ย.'!F62+'ก.ค.-ก.ย.'!F62</f>
        <v>0</v>
      </c>
      <c r="G62" s="459">
        <f>+'ต.ค.-ธ.ค.'!G63+'ม.ค.-มี.ค.'!G62+'เม.ย.-มิ.ย.'!G62+'ก.ค.-ก.ย.'!G62</f>
        <v>0</v>
      </c>
      <c r="H62" s="459">
        <f>+'ต.ค.-ธ.ค.'!H63+'ม.ค.-มี.ค.'!H62+'เม.ย.-มิ.ย.'!H62+'ก.ค.-ก.ย.'!H62</f>
        <v>0</v>
      </c>
      <c r="I62" s="459">
        <f>+'ต.ค.-ธ.ค.'!I63+'ม.ค.-มี.ค.'!I62+'เม.ย.-มิ.ย.'!I62+'ก.ค.-ก.ย.'!I62</f>
        <v>0</v>
      </c>
      <c r="J62" s="459">
        <f>+'ต.ค.-ธ.ค.'!J63+'ม.ค.-มี.ค.'!J62+'เม.ย.-มิ.ย.'!J62+'ก.ค.-ก.ย.'!J62</f>
        <v>0</v>
      </c>
      <c r="K62" s="459">
        <f>+'ต.ค.-ธ.ค.'!K63+'ม.ค.-มี.ค.'!K62+'เม.ย.-มิ.ย.'!K62+'ก.ค.-ก.ย.'!K62</f>
        <v>0</v>
      </c>
      <c r="L62" s="459">
        <f>+'ต.ค.-ธ.ค.'!L63+'ม.ค.-มี.ค.'!L62+'เม.ย.-มิ.ย.'!L62+'ก.ค.-ก.ย.'!L62</f>
        <v>0</v>
      </c>
      <c r="M62" s="459">
        <f>+'ต.ค.-ธ.ค.'!M63+'ม.ค.-มี.ค.'!M62+'เม.ย.-มิ.ย.'!M62+'ก.ค.-ก.ย.'!M62</f>
        <v>0</v>
      </c>
      <c r="N62" s="459">
        <f>+'ต.ค.-ธ.ค.'!N63+'ม.ค.-มี.ค.'!N62+'เม.ย.-มิ.ย.'!N62+'ก.ค.-ก.ย.'!N62</f>
        <v>0</v>
      </c>
      <c r="O62" s="459">
        <f>+'ต.ค.-ธ.ค.'!O63+'ม.ค.-มี.ค.'!O62+'เม.ย.-มิ.ย.'!O62+'ก.ค.-ก.ย.'!O62</f>
        <v>0</v>
      </c>
      <c r="P62" s="459">
        <f>+'ต.ค.-ธ.ค.'!P63+'ม.ค.-มี.ค.'!P62+'เม.ย.-มิ.ย.'!P62+'ก.ค.-ก.ย.'!P62</f>
        <v>0</v>
      </c>
      <c r="Q62" s="459">
        <f>+'ต.ค.-ธ.ค.'!Q63+'ม.ค.-มี.ค.'!Q62+'เม.ย.-มิ.ย.'!Q62+'ก.ค.-ก.ย.'!Q62</f>
        <v>0</v>
      </c>
      <c r="R62" s="459">
        <f>+'ต.ค.-ธ.ค.'!R63+'ม.ค.-มี.ค.'!R62+'เม.ย.-มิ.ย.'!R62+'ก.ค.-ก.ย.'!R62</f>
        <v>0</v>
      </c>
      <c r="S62" s="459">
        <f>+'ต.ค.-ธ.ค.'!S63+'ม.ค.-มี.ค.'!S62+'เม.ย.-มิ.ย.'!S62+'ก.ค.-ก.ย.'!S62</f>
        <v>0</v>
      </c>
      <c r="T62" s="459">
        <f>+'ต.ค.-ธ.ค.'!T63+'ม.ค.-มี.ค.'!T62+'เม.ย.-มิ.ย.'!T62+'ก.ค.-ก.ย.'!T62</f>
        <v>0</v>
      </c>
      <c r="U62" s="459">
        <f>+'ต.ค.-ธ.ค.'!U63+'ม.ค.-มี.ค.'!U62+'เม.ย.-มิ.ย.'!U62+'ก.ค.-ก.ย.'!U62</f>
        <v>0</v>
      </c>
      <c r="V62" s="459">
        <f>+'ต.ค.-ธ.ค.'!V63+'ม.ค.-มี.ค.'!V62+'เม.ย.-มิ.ย.'!V62+'ก.ค.-ก.ย.'!V62</f>
        <v>0</v>
      </c>
      <c r="W62" s="579"/>
      <c r="X62" s="364"/>
    </row>
    <row r="63" spans="1:24" s="310" customFormat="1" ht="25.5" customHeight="1">
      <c r="A63" s="9"/>
      <c r="B63" s="187" t="s">
        <v>106</v>
      </c>
      <c r="C63" s="418">
        <f>200000+30000+30000+80000+19000+1000+10000+2500+2500+2500+2500+20000+15000+5000</f>
        <v>420000</v>
      </c>
      <c r="D63" s="442"/>
      <c r="E63" s="459">
        <f>+'ต.ค.-ธ.ค.'!E64+'ม.ค.-มี.ค.'!E63+'เม.ย.-มิ.ย.'!E63+'ก.ค.-ก.ย.'!E63</f>
        <v>239345</v>
      </c>
      <c r="F63" s="459">
        <f>+'ต.ค.-ธ.ค.'!F64+'ม.ค.-มี.ค.'!F63+'เม.ย.-มิ.ย.'!F63+'ก.ค.-ก.ย.'!F63</f>
        <v>43952</v>
      </c>
      <c r="G63" s="459">
        <f>+'ต.ค.-ธ.ค.'!G64+'ม.ค.-มี.ค.'!G63+'เม.ย.-มิ.ย.'!G63+'ก.ค.-ก.ย.'!G63</f>
        <v>0</v>
      </c>
      <c r="H63" s="459">
        <f>+'ต.ค.-ธ.ค.'!H64+'ม.ค.-มี.ค.'!H63+'เม.ย.-มิ.ย.'!H63+'ก.ค.-ก.ย.'!H63</f>
        <v>149465</v>
      </c>
      <c r="I63" s="459">
        <f>+'ต.ค.-ธ.ค.'!I64+'ม.ค.-มี.ค.'!I63+'เม.ย.-มิ.ย.'!I63+'ก.ค.-ก.ย.'!I63</f>
        <v>0</v>
      </c>
      <c r="J63" s="459">
        <f>+'ต.ค.-ธ.ค.'!J64+'ม.ค.-มี.ค.'!J63+'เม.ย.-มิ.ย.'!J63+'ก.ค.-ก.ย.'!J63</f>
        <v>0</v>
      </c>
      <c r="K63" s="459">
        <f>+'ต.ค.-ธ.ค.'!K64+'ม.ค.-มี.ค.'!K63+'เม.ย.-มิ.ย.'!K63+'ก.ค.-ก.ย.'!K63</f>
        <v>0</v>
      </c>
      <c r="L63" s="459">
        <f>+'ต.ค.-ธ.ค.'!L64+'ม.ค.-มี.ค.'!L63+'เม.ย.-มิ.ย.'!L63+'ก.ค.-ก.ย.'!L63</f>
        <v>0</v>
      </c>
      <c r="M63" s="459">
        <f>+'ต.ค.-ธ.ค.'!M64+'ม.ค.-มี.ค.'!M63+'เม.ย.-มิ.ย.'!M63+'ก.ค.-ก.ย.'!M63</f>
        <v>11560</v>
      </c>
      <c r="N63" s="459">
        <f>+'ต.ค.-ธ.ค.'!N64+'ม.ค.-มี.ค.'!N63+'เม.ย.-มิ.ย.'!N63+'ก.ค.-ก.ย.'!N63</f>
        <v>0</v>
      </c>
      <c r="O63" s="459">
        <f>+'ต.ค.-ธ.ค.'!O64+'ม.ค.-มี.ค.'!O63+'เม.ย.-มิ.ย.'!O63+'ก.ค.-ก.ย.'!O63</f>
        <v>0</v>
      </c>
      <c r="P63" s="459">
        <f>+'ต.ค.-ธ.ค.'!P64+'ม.ค.-มี.ค.'!P63+'เม.ย.-มิ.ย.'!P63+'ก.ค.-ก.ย.'!P63</f>
        <v>0</v>
      </c>
      <c r="Q63" s="459">
        <f>+'ต.ค.-ธ.ค.'!Q64+'ม.ค.-มี.ค.'!Q63+'เม.ย.-มิ.ย.'!Q63+'ก.ค.-ก.ย.'!Q63</f>
        <v>0</v>
      </c>
      <c r="R63" s="459">
        <f>+'ต.ค.-ธ.ค.'!R64+'ม.ค.-มี.ค.'!R63+'เม.ย.-มิ.ย.'!R63+'ก.ค.-ก.ย.'!R63</f>
        <v>0</v>
      </c>
      <c r="S63" s="459">
        <f>+'ต.ค.-ธ.ค.'!S64+'ม.ค.-มี.ค.'!S63+'เม.ย.-มิ.ย.'!S63+'ก.ค.-ก.ย.'!S63</f>
        <v>0</v>
      </c>
      <c r="T63" s="459">
        <f>+'ต.ค.-ธ.ค.'!T64+'ม.ค.-มี.ค.'!T63+'เม.ย.-มิ.ย.'!T63+'ก.ค.-ก.ย.'!T63</f>
        <v>0</v>
      </c>
      <c r="U63" s="459">
        <f>+'ต.ค.-ธ.ค.'!U64+'ม.ค.-มี.ค.'!U63+'เม.ย.-มิ.ย.'!U63+'ก.ค.-ก.ย.'!U63</f>
        <v>0</v>
      </c>
      <c r="V63" s="459">
        <f>+'ต.ค.-ธ.ค.'!V64+'ม.ค.-มี.ค.'!V63+'เม.ย.-มิ.ย.'!V63+'ก.ค.-ก.ย.'!V63</f>
        <v>0</v>
      </c>
      <c r="W63" s="579"/>
      <c r="X63" s="364"/>
    </row>
    <row r="64" spans="1:24" s="310" customFormat="1" ht="25.5" customHeight="1">
      <c r="A64" s="9"/>
      <c r="B64" s="187" t="s">
        <v>231</v>
      </c>
      <c r="C64" s="418">
        <f>5000+8900</f>
        <v>13900</v>
      </c>
      <c r="D64" s="442"/>
      <c r="E64" s="459">
        <f>+'ต.ค.-ธ.ค.'!E65+'ม.ค.-มี.ค.'!E64+'เม.ย.-มิ.ย.'!E64+'ก.ค.-ก.ย.'!E64</f>
        <v>8600</v>
      </c>
      <c r="F64" s="459">
        <f>+'ต.ค.-ธ.ค.'!F65+'ม.ค.-มี.ค.'!F64+'เม.ย.-มิ.ย.'!F64+'ก.ค.-ก.ย.'!F64</f>
        <v>0</v>
      </c>
      <c r="G64" s="459">
        <f>+'ต.ค.-ธ.ค.'!G65+'ม.ค.-มี.ค.'!G64+'เม.ย.-มิ.ย.'!G64+'ก.ค.-ก.ย.'!G64</f>
        <v>0</v>
      </c>
      <c r="H64" s="459">
        <f>+'ต.ค.-ธ.ค.'!H65+'ม.ค.-มี.ค.'!H64+'เม.ย.-มิ.ย.'!H64+'ก.ค.-ก.ย.'!H64</f>
        <v>0</v>
      </c>
      <c r="I64" s="459">
        <f>+'ต.ค.-ธ.ค.'!I65+'ม.ค.-มี.ค.'!I64+'เม.ย.-มิ.ย.'!I64+'ก.ค.-ก.ย.'!I64</f>
        <v>0</v>
      </c>
      <c r="J64" s="459">
        <f>+'ต.ค.-ธ.ค.'!J65+'ม.ค.-มี.ค.'!J64+'เม.ย.-มิ.ย.'!J64+'ก.ค.-ก.ย.'!J64</f>
        <v>0</v>
      </c>
      <c r="K64" s="459">
        <f>+'ต.ค.-ธ.ค.'!K65+'ม.ค.-มี.ค.'!K64+'เม.ย.-มิ.ย.'!K64+'ก.ค.-ก.ย.'!K64</f>
        <v>0</v>
      </c>
      <c r="L64" s="459">
        <f>+'ต.ค.-ธ.ค.'!L65+'ม.ค.-มี.ค.'!L64+'เม.ย.-มิ.ย.'!L64+'ก.ค.-ก.ย.'!L64</f>
        <v>0</v>
      </c>
      <c r="M64" s="459">
        <f>+'ต.ค.-ธ.ค.'!M65+'ม.ค.-มี.ค.'!M64+'เม.ย.-มิ.ย.'!M64+'ก.ค.-ก.ย.'!M64</f>
        <v>0</v>
      </c>
      <c r="N64" s="459">
        <f>+'ต.ค.-ธ.ค.'!N65+'ม.ค.-มี.ค.'!N64+'เม.ย.-มิ.ย.'!N64+'ก.ค.-ก.ย.'!N64</f>
        <v>0</v>
      </c>
      <c r="O64" s="459">
        <f>+'ต.ค.-ธ.ค.'!O65+'ม.ค.-มี.ค.'!O64+'เม.ย.-มิ.ย.'!O64+'ก.ค.-ก.ย.'!O64</f>
        <v>0</v>
      </c>
      <c r="P64" s="459">
        <f>+'ต.ค.-ธ.ค.'!P65+'ม.ค.-มี.ค.'!P64+'เม.ย.-มิ.ย.'!P64+'ก.ค.-ก.ย.'!P64</f>
        <v>0</v>
      </c>
      <c r="Q64" s="459">
        <f>+'ต.ค.-ธ.ค.'!Q65+'ม.ค.-มี.ค.'!Q64+'เม.ย.-มิ.ย.'!Q64+'ก.ค.-ก.ย.'!Q64</f>
        <v>0</v>
      </c>
      <c r="R64" s="459">
        <f>+'ต.ค.-ธ.ค.'!R65+'ม.ค.-มี.ค.'!R64+'เม.ย.-มิ.ย.'!R64+'ก.ค.-ก.ย.'!R64</f>
        <v>0</v>
      </c>
      <c r="S64" s="459">
        <f>+'ต.ค.-ธ.ค.'!S65+'ม.ค.-มี.ค.'!S64+'เม.ย.-มิ.ย.'!S64+'ก.ค.-ก.ย.'!S64</f>
        <v>0</v>
      </c>
      <c r="T64" s="459">
        <f>+'ต.ค.-ธ.ค.'!T65+'ม.ค.-มี.ค.'!T64+'เม.ย.-มิ.ย.'!T64+'ก.ค.-ก.ย.'!T64</f>
        <v>0</v>
      </c>
      <c r="U64" s="459">
        <f>+'ต.ค.-ธ.ค.'!U65+'ม.ค.-มี.ค.'!U64+'เม.ย.-มิ.ย.'!U64+'ก.ค.-ก.ย.'!U64</f>
        <v>0</v>
      </c>
      <c r="V64" s="459">
        <f>+'ต.ค.-ธ.ค.'!V65+'ม.ค.-มี.ค.'!V64+'เม.ย.-มิ.ย.'!V64+'ก.ค.-ก.ย.'!V64</f>
        <v>0</v>
      </c>
      <c r="W64" s="579"/>
      <c r="X64" s="364"/>
    </row>
    <row r="65" spans="1:24" s="310" customFormat="1" ht="25.5" customHeight="1">
      <c r="A65" s="9"/>
      <c r="B65" s="187" t="s">
        <v>204</v>
      </c>
      <c r="C65" s="418">
        <v>5000</v>
      </c>
      <c r="D65" s="442"/>
      <c r="E65" s="459">
        <f>+'ต.ค.-ธ.ค.'!E66+'ม.ค.-มี.ค.'!E65+'เม.ย.-มิ.ย.'!E65+'ก.ค.-ก.ย.'!E65</f>
        <v>0</v>
      </c>
      <c r="F65" s="459">
        <f>+'ต.ค.-ธ.ค.'!F66+'ม.ค.-มี.ค.'!F65+'เม.ย.-มิ.ย.'!F65+'ก.ค.-ก.ย.'!F65</f>
        <v>0</v>
      </c>
      <c r="G65" s="459">
        <f>+'ต.ค.-ธ.ค.'!G66+'ม.ค.-มี.ค.'!G65+'เม.ย.-มิ.ย.'!G65+'ก.ค.-ก.ย.'!G65</f>
        <v>0</v>
      </c>
      <c r="H65" s="459">
        <f>+'ต.ค.-ธ.ค.'!H66+'ม.ค.-มี.ค.'!H65+'เม.ย.-มิ.ย.'!H65+'ก.ค.-ก.ย.'!H65</f>
        <v>0</v>
      </c>
      <c r="I65" s="459">
        <f>+'ต.ค.-ธ.ค.'!I66+'ม.ค.-มี.ค.'!I65+'เม.ย.-มิ.ย.'!I65+'ก.ค.-ก.ย.'!I65</f>
        <v>0</v>
      </c>
      <c r="J65" s="459">
        <f>+'ต.ค.-ธ.ค.'!J66+'ม.ค.-มี.ค.'!J65+'เม.ย.-มิ.ย.'!J65+'ก.ค.-ก.ย.'!J65</f>
        <v>0</v>
      </c>
      <c r="K65" s="459">
        <f>+'ต.ค.-ธ.ค.'!K66+'ม.ค.-มี.ค.'!K65+'เม.ย.-มิ.ย.'!K65+'ก.ค.-ก.ย.'!K65</f>
        <v>0</v>
      </c>
      <c r="L65" s="459">
        <f>+'ต.ค.-ธ.ค.'!L66+'ม.ค.-มี.ค.'!L65+'เม.ย.-มิ.ย.'!L65+'ก.ค.-ก.ย.'!L65</f>
        <v>0</v>
      </c>
      <c r="M65" s="459">
        <f>+'ต.ค.-ธ.ค.'!M66+'ม.ค.-มี.ค.'!M65+'เม.ย.-มิ.ย.'!M65+'ก.ค.-ก.ย.'!M65</f>
        <v>0</v>
      </c>
      <c r="N65" s="459">
        <f>+'ต.ค.-ธ.ค.'!N66+'ม.ค.-มี.ค.'!N65+'เม.ย.-มิ.ย.'!N65+'ก.ค.-ก.ย.'!N65</f>
        <v>0</v>
      </c>
      <c r="O65" s="459">
        <f>+'ต.ค.-ธ.ค.'!O66+'ม.ค.-มี.ค.'!O65+'เม.ย.-มิ.ย.'!O65+'ก.ค.-ก.ย.'!O65</f>
        <v>0</v>
      </c>
      <c r="P65" s="459">
        <f>+'ต.ค.-ธ.ค.'!P66+'ม.ค.-มี.ค.'!P65+'เม.ย.-มิ.ย.'!P65+'ก.ค.-ก.ย.'!P65</f>
        <v>0</v>
      </c>
      <c r="Q65" s="459">
        <f>+'ต.ค.-ธ.ค.'!Q66+'ม.ค.-มี.ค.'!Q65+'เม.ย.-มิ.ย.'!Q65+'ก.ค.-ก.ย.'!Q65</f>
        <v>0</v>
      </c>
      <c r="R65" s="459">
        <f>+'ต.ค.-ธ.ค.'!R66+'ม.ค.-มี.ค.'!R65+'เม.ย.-มิ.ย.'!R65+'ก.ค.-ก.ย.'!R65</f>
        <v>0</v>
      </c>
      <c r="S65" s="459">
        <f>+'ต.ค.-ธ.ค.'!S66+'ม.ค.-มี.ค.'!S65+'เม.ย.-มิ.ย.'!S65+'ก.ค.-ก.ย.'!S65</f>
        <v>0</v>
      </c>
      <c r="T65" s="459">
        <f>+'ต.ค.-ธ.ค.'!T66+'ม.ค.-มี.ค.'!T65+'เม.ย.-มิ.ย.'!T65+'ก.ค.-ก.ย.'!T65</f>
        <v>0</v>
      </c>
      <c r="U65" s="459">
        <f>+'ต.ค.-ธ.ค.'!U66+'ม.ค.-มี.ค.'!U65+'เม.ย.-มิ.ย.'!U65+'ก.ค.-ก.ย.'!U65</f>
        <v>0</v>
      </c>
      <c r="V65" s="459">
        <f>+'ต.ค.-ธ.ค.'!V66+'ม.ค.-มี.ค.'!V65+'เม.ย.-มิ.ย.'!V65+'ก.ค.-ก.ย.'!V65</f>
        <v>0</v>
      </c>
      <c r="W65" s="579"/>
      <c r="X65" s="364"/>
    </row>
    <row r="66" spans="1:24" s="310" customFormat="1" ht="25.5" customHeight="1">
      <c r="A66" s="9"/>
      <c r="B66" s="187" t="s">
        <v>232</v>
      </c>
      <c r="C66" s="418">
        <f>120000+100000-6400</f>
        <v>213600</v>
      </c>
      <c r="D66" s="442"/>
      <c r="E66" s="459">
        <f>+'ต.ค.-ธ.ค.'!E67+'ม.ค.-มี.ค.'!E66+'เม.ย.-มิ.ย.'!E66+'ก.ค.-ก.ย.'!E66</f>
        <v>213600</v>
      </c>
      <c r="F66" s="459">
        <f>+'ต.ค.-ธ.ค.'!F67+'ม.ค.-มี.ค.'!F66+'เม.ย.-มิ.ย.'!F66+'ก.ค.-ก.ย.'!F66</f>
        <v>0</v>
      </c>
      <c r="G66" s="459">
        <f>+'ต.ค.-ธ.ค.'!G67+'ม.ค.-มี.ค.'!G66+'เม.ย.-มิ.ย.'!G66+'ก.ค.-ก.ย.'!G66</f>
        <v>0</v>
      </c>
      <c r="H66" s="459">
        <f>+'ต.ค.-ธ.ค.'!H67+'ม.ค.-มี.ค.'!H66+'เม.ย.-มิ.ย.'!H66+'ก.ค.-ก.ย.'!H66</f>
        <v>0</v>
      </c>
      <c r="I66" s="459">
        <f>+'ต.ค.-ธ.ค.'!I67+'ม.ค.-มี.ค.'!I66+'เม.ย.-มิ.ย.'!I66+'ก.ค.-ก.ย.'!I66</f>
        <v>0</v>
      </c>
      <c r="J66" s="459">
        <f>+'ต.ค.-ธ.ค.'!J67+'ม.ค.-มี.ค.'!J66+'เม.ย.-มิ.ย.'!J66+'ก.ค.-ก.ย.'!J66</f>
        <v>0</v>
      </c>
      <c r="K66" s="459">
        <f>+'ต.ค.-ธ.ค.'!K67+'ม.ค.-มี.ค.'!K66+'เม.ย.-มิ.ย.'!K66+'ก.ค.-ก.ย.'!K66</f>
        <v>0</v>
      </c>
      <c r="L66" s="459">
        <f>+'ต.ค.-ธ.ค.'!L67+'ม.ค.-มี.ค.'!L66+'เม.ย.-มิ.ย.'!L66+'ก.ค.-ก.ย.'!L66</f>
        <v>0</v>
      </c>
      <c r="M66" s="459">
        <f>+'ต.ค.-ธ.ค.'!M67+'ม.ค.-มี.ค.'!M66+'เม.ย.-มิ.ย.'!M66+'ก.ค.-ก.ย.'!M66</f>
        <v>0</v>
      </c>
      <c r="N66" s="459">
        <f>+'ต.ค.-ธ.ค.'!N67+'ม.ค.-มี.ค.'!N66+'เม.ย.-มิ.ย.'!N66+'ก.ค.-ก.ย.'!N66</f>
        <v>0</v>
      </c>
      <c r="O66" s="459">
        <f>+'ต.ค.-ธ.ค.'!O67+'ม.ค.-มี.ค.'!O66+'เม.ย.-มิ.ย.'!O66+'ก.ค.-ก.ย.'!O66</f>
        <v>0</v>
      </c>
      <c r="P66" s="459">
        <f>+'ต.ค.-ธ.ค.'!P67+'ม.ค.-มี.ค.'!P66+'เม.ย.-มิ.ย.'!P66+'ก.ค.-ก.ย.'!P66</f>
        <v>0</v>
      </c>
      <c r="Q66" s="459">
        <f>+'ต.ค.-ธ.ค.'!Q67+'ม.ค.-มี.ค.'!Q66+'เม.ย.-มิ.ย.'!Q66+'ก.ค.-ก.ย.'!Q66</f>
        <v>0</v>
      </c>
      <c r="R66" s="459">
        <f>+'ต.ค.-ธ.ค.'!R67+'ม.ค.-มี.ค.'!R66+'เม.ย.-มิ.ย.'!R66+'ก.ค.-ก.ย.'!R66</f>
        <v>0</v>
      </c>
      <c r="S66" s="459">
        <f>+'ต.ค.-ธ.ค.'!S67+'ม.ค.-มี.ค.'!S66+'เม.ย.-มิ.ย.'!S66+'ก.ค.-ก.ย.'!S66</f>
        <v>0</v>
      </c>
      <c r="T66" s="459">
        <f>+'ต.ค.-ธ.ค.'!T67+'ม.ค.-มี.ค.'!T66+'เม.ย.-มิ.ย.'!T66+'ก.ค.-ก.ย.'!T66</f>
        <v>0</v>
      </c>
      <c r="U66" s="459">
        <f>+'ต.ค.-ธ.ค.'!U67+'ม.ค.-มี.ค.'!U66+'เม.ย.-มิ.ย.'!U66+'ก.ค.-ก.ย.'!U66</f>
        <v>0</v>
      </c>
      <c r="V66" s="459">
        <f>+'ต.ค.-ธ.ค.'!V67+'ม.ค.-มี.ค.'!V66+'เม.ย.-มิ.ย.'!V66+'ก.ค.-ก.ย.'!V66</f>
        <v>0</v>
      </c>
      <c r="W66" s="579"/>
      <c r="X66" s="364"/>
    </row>
    <row r="67" spans="1:24" s="310" customFormat="1" ht="25.5" customHeight="1">
      <c r="A67" s="9"/>
      <c r="B67" s="187" t="s">
        <v>233</v>
      </c>
      <c r="C67" s="418">
        <f>125000-8900-16100</f>
        <v>100000</v>
      </c>
      <c r="D67" s="442"/>
      <c r="E67" s="459">
        <f>+'ต.ค.-ธ.ค.'!E68+'ม.ค.-มี.ค.'!E67+'เม.ย.-มิ.ย.'!E67+'ก.ค.-ก.ย.'!E67</f>
        <v>0</v>
      </c>
      <c r="F67" s="459">
        <f>+'ต.ค.-ธ.ค.'!F68+'ม.ค.-มี.ค.'!F67+'เม.ย.-มิ.ย.'!F67+'ก.ค.-ก.ย.'!F67</f>
        <v>0</v>
      </c>
      <c r="G67" s="459">
        <f>+'ต.ค.-ธ.ค.'!G68+'ม.ค.-มี.ค.'!G67+'เม.ย.-มิ.ย.'!G67+'ก.ค.-ก.ย.'!G67</f>
        <v>0</v>
      </c>
      <c r="H67" s="459">
        <f>+'ต.ค.-ธ.ค.'!H68+'ม.ค.-มี.ค.'!H67+'เม.ย.-มิ.ย.'!H67+'ก.ค.-ก.ย.'!H67</f>
        <v>0</v>
      </c>
      <c r="I67" s="459">
        <f>+'ต.ค.-ธ.ค.'!I68+'ม.ค.-มี.ค.'!I67+'เม.ย.-มิ.ย.'!I67+'ก.ค.-ก.ย.'!I67</f>
        <v>0</v>
      </c>
      <c r="J67" s="459">
        <f>+'ต.ค.-ธ.ค.'!J68+'ม.ค.-มี.ค.'!J67+'เม.ย.-มิ.ย.'!J67+'ก.ค.-ก.ย.'!J67</f>
        <v>0</v>
      </c>
      <c r="K67" s="459">
        <f>+'ต.ค.-ธ.ค.'!K68+'ม.ค.-มี.ค.'!K67+'เม.ย.-มิ.ย.'!K67+'ก.ค.-ก.ย.'!K67</f>
        <v>0</v>
      </c>
      <c r="L67" s="459">
        <f>+'ต.ค.-ธ.ค.'!L68+'ม.ค.-มี.ค.'!L67+'เม.ย.-มิ.ย.'!L67+'ก.ค.-ก.ย.'!L67</f>
        <v>0</v>
      </c>
      <c r="M67" s="459">
        <f>+'ต.ค.-ธ.ค.'!M68+'ม.ค.-มี.ค.'!M67+'เม.ย.-มิ.ย.'!M67+'ก.ค.-ก.ย.'!M67</f>
        <v>0</v>
      </c>
      <c r="N67" s="459">
        <f>+'ต.ค.-ธ.ค.'!N68+'ม.ค.-มี.ค.'!N67+'เม.ย.-มิ.ย.'!N67+'ก.ค.-ก.ย.'!N67</f>
        <v>0</v>
      </c>
      <c r="O67" s="459">
        <f>+'ต.ค.-ธ.ค.'!O68+'ม.ค.-มี.ค.'!O67+'เม.ย.-มิ.ย.'!O67+'ก.ค.-ก.ย.'!O67</f>
        <v>0</v>
      </c>
      <c r="P67" s="459">
        <f>+'ต.ค.-ธ.ค.'!P68+'ม.ค.-มี.ค.'!P67+'เม.ย.-มิ.ย.'!P67+'ก.ค.-ก.ย.'!P67</f>
        <v>0</v>
      </c>
      <c r="Q67" s="459">
        <f>+'ต.ค.-ธ.ค.'!Q68+'ม.ค.-มี.ค.'!Q67+'เม.ย.-มิ.ย.'!Q67+'ก.ค.-ก.ย.'!Q67</f>
        <v>0</v>
      </c>
      <c r="R67" s="459">
        <f>+'ต.ค.-ธ.ค.'!R68+'ม.ค.-มี.ค.'!R67+'เม.ย.-มิ.ย.'!R67+'ก.ค.-ก.ย.'!R67</f>
        <v>0</v>
      </c>
      <c r="S67" s="459">
        <f>+'ต.ค.-ธ.ค.'!S68+'ม.ค.-มี.ค.'!S67+'เม.ย.-มิ.ย.'!S67+'ก.ค.-ก.ย.'!S67</f>
        <v>0</v>
      </c>
      <c r="T67" s="459">
        <f>+'ต.ค.-ธ.ค.'!T68+'ม.ค.-มี.ค.'!T67+'เม.ย.-มิ.ย.'!T67+'ก.ค.-ก.ย.'!T67</f>
        <v>0</v>
      </c>
      <c r="U67" s="459">
        <f>+'ต.ค.-ธ.ค.'!U68+'ม.ค.-มี.ค.'!U67+'เม.ย.-มิ.ย.'!U67+'ก.ค.-ก.ย.'!U67</f>
        <v>0</v>
      </c>
      <c r="V67" s="459">
        <f>+'ต.ค.-ธ.ค.'!V68+'ม.ค.-มี.ค.'!V67+'เม.ย.-มิ.ย.'!V67+'ก.ค.-ก.ย.'!V67</f>
        <v>0</v>
      </c>
      <c r="W67" s="579"/>
      <c r="X67" s="364"/>
    </row>
    <row r="68" spans="1:24" s="310" customFormat="1" ht="25.5" customHeight="1">
      <c r="A68" s="9"/>
      <c r="B68" s="187" t="s">
        <v>234</v>
      </c>
      <c r="C68" s="418">
        <v>5000</v>
      </c>
      <c r="D68" s="442"/>
      <c r="E68" s="459">
        <f>+'ต.ค.-ธ.ค.'!E69+'ม.ค.-มี.ค.'!E68+'เม.ย.-มิ.ย.'!E68+'ก.ค.-ก.ย.'!E68</f>
        <v>0</v>
      </c>
      <c r="F68" s="459">
        <f>+'ต.ค.-ธ.ค.'!F69+'ม.ค.-มี.ค.'!F68+'เม.ย.-มิ.ย.'!F68+'ก.ค.-ก.ย.'!F68</f>
        <v>0</v>
      </c>
      <c r="G68" s="459">
        <f>+'ต.ค.-ธ.ค.'!G69+'ม.ค.-มี.ค.'!G68+'เม.ย.-มิ.ย.'!G68+'ก.ค.-ก.ย.'!G68</f>
        <v>0</v>
      </c>
      <c r="H68" s="459">
        <f>+'ต.ค.-ธ.ค.'!H69+'ม.ค.-มี.ค.'!H68+'เม.ย.-มิ.ย.'!H68+'ก.ค.-ก.ย.'!H68</f>
        <v>0</v>
      </c>
      <c r="I68" s="459">
        <f>+'ต.ค.-ธ.ค.'!I69+'ม.ค.-มี.ค.'!I68+'เม.ย.-มิ.ย.'!I68+'ก.ค.-ก.ย.'!I68</f>
        <v>0</v>
      </c>
      <c r="J68" s="459">
        <f>+'ต.ค.-ธ.ค.'!J69+'ม.ค.-มี.ค.'!J68+'เม.ย.-มิ.ย.'!J68+'ก.ค.-ก.ย.'!J68</f>
        <v>0</v>
      </c>
      <c r="K68" s="459">
        <f>+'ต.ค.-ธ.ค.'!K69+'ม.ค.-มี.ค.'!K68+'เม.ย.-มิ.ย.'!K68+'ก.ค.-ก.ย.'!K68</f>
        <v>0</v>
      </c>
      <c r="L68" s="459">
        <f>+'ต.ค.-ธ.ค.'!L69+'ม.ค.-มี.ค.'!L68+'เม.ย.-มิ.ย.'!L68+'ก.ค.-ก.ย.'!L68</f>
        <v>0</v>
      </c>
      <c r="M68" s="459">
        <f>+'ต.ค.-ธ.ค.'!M69+'ม.ค.-มี.ค.'!M68+'เม.ย.-มิ.ย.'!M68+'ก.ค.-ก.ย.'!M68</f>
        <v>0</v>
      </c>
      <c r="N68" s="459">
        <f>+'ต.ค.-ธ.ค.'!N69+'ม.ค.-มี.ค.'!N68+'เม.ย.-มิ.ย.'!N68+'ก.ค.-ก.ย.'!N68</f>
        <v>0</v>
      </c>
      <c r="O68" s="459">
        <f>+'ต.ค.-ธ.ค.'!O69+'ม.ค.-มี.ค.'!O68+'เม.ย.-มิ.ย.'!O68+'ก.ค.-ก.ย.'!O68</f>
        <v>0</v>
      </c>
      <c r="P68" s="459">
        <f>+'ต.ค.-ธ.ค.'!P69+'ม.ค.-มี.ค.'!P68+'เม.ย.-มิ.ย.'!P68+'ก.ค.-ก.ย.'!P68</f>
        <v>0</v>
      </c>
      <c r="Q68" s="459">
        <f>+'ต.ค.-ธ.ค.'!Q69+'ม.ค.-มี.ค.'!Q68+'เม.ย.-มิ.ย.'!Q68+'ก.ค.-ก.ย.'!Q68</f>
        <v>0</v>
      </c>
      <c r="R68" s="459">
        <f>+'ต.ค.-ธ.ค.'!R69+'ม.ค.-มี.ค.'!R68+'เม.ย.-มิ.ย.'!R68+'ก.ค.-ก.ย.'!R68</f>
        <v>0</v>
      </c>
      <c r="S68" s="459">
        <f>+'ต.ค.-ธ.ค.'!S69+'ม.ค.-มี.ค.'!S68+'เม.ย.-มิ.ย.'!S68+'ก.ค.-ก.ย.'!S68</f>
        <v>0</v>
      </c>
      <c r="T68" s="459">
        <f>+'ต.ค.-ธ.ค.'!T69+'ม.ค.-มี.ค.'!T68+'เม.ย.-มิ.ย.'!T68+'ก.ค.-ก.ย.'!T68</f>
        <v>0</v>
      </c>
      <c r="U68" s="459">
        <f>+'ต.ค.-ธ.ค.'!U69+'ม.ค.-มี.ค.'!U68+'เม.ย.-มิ.ย.'!U68+'ก.ค.-ก.ย.'!U68</f>
        <v>0</v>
      </c>
      <c r="V68" s="459">
        <f>+'ต.ค.-ธ.ค.'!V69+'ม.ค.-มี.ค.'!V68+'เม.ย.-มิ.ย.'!V68+'ก.ค.-ก.ย.'!V68</f>
        <v>0</v>
      </c>
      <c r="W68" s="579"/>
      <c r="X68" s="364"/>
    </row>
    <row r="69" spans="1:24" s="310" customFormat="1" ht="25.5" customHeight="1">
      <c r="A69" s="9"/>
      <c r="B69" s="187" t="s">
        <v>235</v>
      </c>
      <c r="C69" s="418">
        <v>90000</v>
      </c>
      <c r="D69" s="442"/>
      <c r="E69" s="459">
        <f>+'ต.ค.-ธ.ค.'!E70+'ม.ค.-มี.ค.'!E69+'เม.ย.-มิ.ย.'!E69+'ก.ค.-ก.ย.'!E69</f>
        <v>59500</v>
      </c>
      <c r="F69" s="459">
        <f>+'ต.ค.-ธ.ค.'!F70+'ม.ค.-มี.ค.'!F69+'เม.ย.-มิ.ย.'!F69+'ก.ค.-ก.ย.'!F69</f>
        <v>0</v>
      </c>
      <c r="G69" s="459">
        <f>+'ต.ค.-ธ.ค.'!G70+'ม.ค.-มี.ค.'!G69+'เม.ย.-มิ.ย.'!G69+'ก.ค.-ก.ย.'!G69</f>
        <v>0</v>
      </c>
      <c r="H69" s="459">
        <f>+'ต.ค.-ธ.ค.'!H70+'ม.ค.-มี.ค.'!H69+'เม.ย.-มิ.ย.'!H69+'ก.ค.-ก.ย.'!H69</f>
        <v>0</v>
      </c>
      <c r="I69" s="459">
        <f>+'ต.ค.-ธ.ค.'!I70+'ม.ค.-มี.ค.'!I69+'เม.ย.-มิ.ย.'!I69+'ก.ค.-ก.ย.'!I69</f>
        <v>0</v>
      </c>
      <c r="J69" s="459">
        <f>+'ต.ค.-ธ.ค.'!J70+'ม.ค.-มี.ค.'!J69+'เม.ย.-มิ.ย.'!J69+'ก.ค.-ก.ย.'!J69</f>
        <v>0</v>
      </c>
      <c r="K69" s="459">
        <f>+'ต.ค.-ธ.ค.'!K70+'ม.ค.-มี.ค.'!K69+'เม.ย.-มิ.ย.'!K69+'ก.ค.-ก.ย.'!K69</f>
        <v>0</v>
      </c>
      <c r="L69" s="459">
        <f>+'ต.ค.-ธ.ค.'!L70+'ม.ค.-มี.ค.'!L69+'เม.ย.-มิ.ย.'!L69+'ก.ค.-ก.ย.'!L69</f>
        <v>0</v>
      </c>
      <c r="M69" s="459">
        <f>+'ต.ค.-ธ.ค.'!M70+'ม.ค.-มี.ค.'!M69+'เม.ย.-มิ.ย.'!M69+'ก.ค.-ก.ย.'!M69</f>
        <v>0</v>
      </c>
      <c r="N69" s="459">
        <f>+'ต.ค.-ธ.ค.'!N70+'ม.ค.-มี.ค.'!N69+'เม.ย.-มิ.ย.'!N69+'ก.ค.-ก.ย.'!N69</f>
        <v>0</v>
      </c>
      <c r="O69" s="459">
        <f>+'ต.ค.-ธ.ค.'!O70+'ม.ค.-มี.ค.'!O69+'เม.ย.-มิ.ย.'!O69+'ก.ค.-ก.ย.'!O69</f>
        <v>0</v>
      </c>
      <c r="P69" s="459">
        <f>+'ต.ค.-ธ.ค.'!P70+'ม.ค.-มี.ค.'!P69+'เม.ย.-มิ.ย.'!P69+'ก.ค.-ก.ย.'!P69</f>
        <v>0</v>
      </c>
      <c r="Q69" s="459">
        <f>+'ต.ค.-ธ.ค.'!Q70+'ม.ค.-มี.ค.'!Q69+'เม.ย.-มิ.ย.'!Q69+'ก.ค.-ก.ย.'!Q69</f>
        <v>0</v>
      </c>
      <c r="R69" s="459">
        <f>+'ต.ค.-ธ.ค.'!R70+'ม.ค.-มี.ค.'!R69+'เม.ย.-มิ.ย.'!R69+'ก.ค.-ก.ย.'!R69</f>
        <v>0</v>
      </c>
      <c r="S69" s="459">
        <f>+'ต.ค.-ธ.ค.'!S70+'ม.ค.-มี.ค.'!S69+'เม.ย.-มิ.ย.'!S69+'ก.ค.-ก.ย.'!S69</f>
        <v>0</v>
      </c>
      <c r="T69" s="459">
        <f>+'ต.ค.-ธ.ค.'!T70+'ม.ค.-มี.ค.'!T69+'เม.ย.-มิ.ย.'!T69+'ก.ค.-ก.ย.'!T69</f>
        <v>0</v>
      </c>
      <c r="U69" s="459">
        <f>+'ต.ค.-ธ.ค.'!U70+'ม.ค.-มี.ค.'!U69+'เม.ย.-มิ.ย.'!U69+'ก.ค.-ก.ย.'!U69</f>
        <v>0</v>
      </c>
      <c r="V69" s="459">
        <f>+'ต.ค.-ธ.ค.'!V70+'ม.ค.-มี.ค.'!V69+'เม.ย.-มิ.ย.'!V69+'ก.ค.-ก.ย.'!V69</f>
        <v>0</v>
      </c>
      <c r="W69" s="579"/>
      <c r="X69" s="364"/>
    </row>
    <row r="70" spans="1:24" s="310" customFormat="1" ht="25.5" customHeight="1">
      <c r="A70" s="9"/>
      <c r="B70" s="187" t="s">
        <v>236</v>
      </c>
      <c r="C70" s="418">
        <v>5000</v>
      </c>
      <c r="D70" s="442"/>
      <c r="E70" s="459">
        <f>+'ต.ค.-ธ.ค.'!E71+'ม.ค.-มี.ค.'!E70+'เม.ย.-มิ.ย.'!E70+'ก.ค.-ก.ย.'!E70</f>
        <v>0</v>
      </c>
      <c r="F70" s="459">
        <f>+'ต.ค.-ธ.ค.'!F71+'ม.ค.-มี.ค.'!F70+'เม.ย.-มิ.ย.'!F70+'ก.ค.-ก.ย.'!F70</f>
        <v>0</v>
      </c>
      <c r="G70" s="459">
        <f>+'ต.ค.-ธ.ค.'!G71+'ม.ค.-มี.ค.'!G70+'เม.ย.-มิ.ย.'!G70+'ก.ค.-ก.ย.'!G70</f>
        <v>0</v>
      </c>
      <c r="H70" s="459">
        <f>+'ต.ค.-ธ.ค.'!H71+'ม.ค.-มี.ค.'!H70+'เม.ย.-มิ.ย.'!H70+'ก.ค.-ก.ย.'!H70</f>
        <v>0</v>
      </c>
      <c r="I70" s="459">
        <f>+'ต.ค.-ธ.ค.'!I71+'ม.ค.-มี.ค.'!I70+'เม.ย.-มิ.ย.'!I70+'ก.ค.-ก.ย.'!I70</f>
        <v>0</v>
      </c>
      <c r="J70" s="459">
        <f>+'ต.ค.-ธ.ค.'!J71+'ม.ค.-มี.ค.'!J70+'เม.ย.-มิ.ย.'!J70+'ก.ค.-ก.ย.'!J70</f>
        <v>0</v>
      </c>
      <c r="K70" s="459">
        <f>+'ต.ค.-ธ.ค.'!K71+'ม.ค.-มี.ค.'!K70+'เม.ย.-มิ.ย.'!K70+'ก.ค.-ก.ย.'!K70</f>
        <v>0</v>
      </c>
      <c r="L70" s="459">
        <f>+'ต.ค.-ธ.ค.'!L71+'ม.ค.-มี.ค.'!L70+'เม.ย.-มิ.ย.'!L70+'ก.ค.-ก.ย.'!L70</f>
        <v>0</v>
      </c>
      <c r="M70" s="459">
        <f>+'ต.ค.-ธ.ค.'!M71+'ม.ค.-มี.ค.'!M70+'เม.ย.-มิ.ย.'!M70+'ก.ค.-ก.ย.'!M70</f>
        <v>0</v>
      </c>
      <c r="N70" s="459">
        <f>+'ต.ค.-ธ.ค.'!N71+'ม.ค.-มี.ค.'!N70+'เม.ย.-มิ.ย.'!N70+'ก.ค.-ก.ย.'!N70</f>
        <v>0</v>
      </c>
      <c r="O70" s="459">
        <f>+'ต.ค.-ธ.ค.'!O71+'ม.ค.-มี.ค.'!O70+'เม.ย.-มิ.ย.'!O70+'ก.ค.-ก.ย.'!O70</f>
        <v>0</v>
      </c>
      <c r="P70" s="459">
        <f>+'ต.ค.-ธ.ค.'!P71+'ม.ค.-มี.ค.'!P70+'เม.ย.-มิ.ย.'!P70+'ก.ค.-ก.ย.'!P70</f>
        <v>0</v>
      </c>
      <c r="Q70" s="459">
        <f>+'ต.ค.-ธ.ค.'!Q71+'ม.ค.-มี.ค.'!Q70+'เม.ย.-มิ.ย.'!Q70+'ก.ค.-ก.ย.'!Q70</f>
        <v>0</v>
      </c>
      <c r="R70" s="459">
        <f>+'ต.ค.-ธ.ค.'!R71+'ม.ค.-มี.ค.'!R70+'เม.ย.-มิ.ย.'!R70+'ก.ค.-ก.ย.'!R70</f>
        <v>0</v>
      </c>
      <c r="S70" s="459">
        <f>+'ต.ค.-ธ.ค.'!S71+'ม.ค.-มี.ค.'!S70+'เม.ย.-มิ.ย.'!S70+'ก.ค.-ก.ย.'!S70</f>
        <v>0</v>
      </c>
      <c r="T70" s="459">
        <f>+'ต.ค.-ธ.ค.'!T71+'ม.ค.-มี.ค.'!T70+'เม.ย.-มิ.ย.'!T70+'ก.ค.-ก.ย.'!T70</f>
        <v>0</v>
      </c>
      <c r="U70" s="459">
        <f>+'ต.ค.-ธ.ค.'!U71+'ม.ค.-มี.ค.'!U70+'เม.ย.-มิ.ย.'!U70+'ก.ค.-ก.ย.'!U70</f>
        <v>0</v>
      </c>
      <c r="V70" s="459">
        <f>+'ต.ค.-ธ.ค.'!V71+'ม.ค.-มี.ค.'!V70+'เม.ย.-มิ.ย.'!V70+'ก.ค.-ก.ย.'!V70</f>
        <v>0</v>
      </c>
      <c r="W70" s="579"/>
      <c r="X70" s="364"/>
    </row>
    <row r="71" spans="1:24" s="310" customFormat="1" ht="25.5" customHeight="1">
      <c r="A71" s="9"/>
      <c r="B71" s="187" t="s">
        <v>237</v>
      </c>
      <c r="C71" s="418">
        <v>5000</v>
      </c>
      <c r="D71" s="442"/>
      <c r="E71" s="459">
        <f>+'ต.ค.-ธ.ค.'!E72+'ม.ค.-มี.ค.'!E71+'เม.ย.-มิ.ย.'!E71+'ก.ค.-ก.ย.'!E71</f>
        <v>0</v>
      </c>
      <c r="F71" s="459">
        <f>+'ต.ค.-ธ.ค.'!F72+'ม.ค.-มี.ค.'!F71+'เม.ย.-มิ.ย.'!F71+'ก.ค.-ก.ย.'!F71</f>
        <v>0</v>
      </c>
      <c r="G71" s="459">
        <f>+'ต.ค.-ธ.ค.'!G72+'ม.ค.-มี.ค.'!G71+'เม.ย.-มิ.ย.'!G71+'ก.ค.-ก.ย.'!G71</f>
        <v>0</v>
      </c>
      <c r="H71" s="459">
        <f>+'ต.ค.-ธ.ค.'!H72+'ม.ค.-มี.ค.'!H71+'เม.ย.-มิ.ย.'!H71+'ก.ค.-ก.ย.'!H71</f>
        <v>0</v>
      </c>
      <c r="I71" s="459">
        <f>+'ต.ค.-ธ.ค.'!I72+'ม.ค.-มี.ค.'!I71+'เม.ย.-มิ.ย.'!I71+'ก.ค.-ก.ย.'!I71</f>
        <v>0</v>
      </c>
      <c r="J71" s="459">
        <f>+'ต.ค.-ธ.ค.'!J72+'ม.ค.-มี.ค.'!J71+'เม.ย.-มิ.ย.'!J71+'ก.ค.-ก.ย.'!J71</f>
        <v>0</v>
      </c>
      <c r="K71" s="459">
        <f>+'ต.ค.-ธ.ค.'!K72+'ม.ค.-มี.ค.'!K71+'เม.ย.-มิ.ย.'!K71+'ก.ค.-ก.ย.'!K71</f>
        <v>0</v>
      </c>
      <c r="L71" s="459">
        <f>+'ต.ค.-ธ.ค.'!L72+'ม.ค.-มี.ค.'!L71+'เม.ย.-มิ.ย.'!L71+'ก.ค.-ก.ย.'!L71</f>
        <v>0</v>
      </c>
      <c r="M71" s="459">
        <f>+'ต.ค.-ธ.ค.'!M72+'ม.ค.-มี.ค.'!M71+'เม.ย.-มิ.ย.'!M71+'ก.ค.-ก.ย.'!M71</f>
        <v>0</v>
      </c>
      <c r="N71" s="459">
        <f>+'ต.ค.-ธ.ค.'!N72+'ม.ค.-มี.ค.'!N71+'เม.ย.-มิ.ย.'!N71+'ก.ค.-ก.ย.'!N71</f>
        <v>0</v>
      </c>
      <c r="O71" s="459">
        <f>+'ต.ค.-ธ.ค.'!O72+'ม.ค.-มี.ค.'!O71+'เม.ย.-มิ.ย.'!O71+'ก.ค.-ก.ย.'!O71</f>
        <v>0</v>
      </c>
      <c r="P71" s="459">
        <f>+'ต.ค.-ธ.ค.'!P72+'ม.ค.-มี.ค.'!P71+'เม.ย.-มิ.ย.'!P71+'ก.ค.-ก.ย.'!P71</f>
        <v>0</v>
      </c>
      <c r="Q71" s="459">
        <f>+'ต.ค.-ธ.ค.'!Q72+'ม.ค.-มี.ค.'!Q71+'เม.ย.-มิ.ย.'!Q71+'ก.ค.-ก.ย.'!Q71</f>
        <v>0</v>
      </c>
      <c r="R71" s="459">
        <f>+'ต.ค.-ธ.ค.'!R72+'ม.ค.-มี.ค.'!R71+'เม.ย.-มิ.ย.'!R71+'ก.ค.-ก.ย.'!R71</f>
        <v>0</v>
      </c>
      <c r="S71" s="459">
        <f>+'ต.ค.-ธ.ค.'!S72+'ม.ค.-มี.ค.'!S71+'เม.ย.-มิ.ย.'!S71+'ก.ค.-ก.ย.'!S71</f>
        <v>0</v>
      </c>
      <c r="T71" s="459">
        <f>+'ต.ค.-ธ.ค.'!T72+'ม.ค.-มี.ค.'!T71+'เม.ย.-มิ.ย.'!T71+'ก.ค.-ก.ย.'!T71</f>
        <v>0</v>
      </c>
      <c r="U71" s="459">
        <f>+'ต.ค.-ธ.ค.'!U72+'ม.ค.-มี.ค.'!U71+'เม.ย.-มิ.ย.'!U71+'ก.ค.-ก.ย.'!U71</f>
        <v>0</v>
      </c>
      <c r="V71" s="459">
        <f>+'ต.ค.-ธ.ค.'!V72+'ม.ค.-มี.ค.'!V71+'เม.ย.-มิ.ย.'!V71+'ก.ค.-ก.ย.'!V71</f>
        <v>0</v>
      </c>
      <c r="W71" s="579"/>
      <c r="X71" s="364"/>
    </row>
    <row r="72" spans="1:24" s="310" customFormat="1" ht="25.5" customHeight="1">
      <c r="A72" s="165"/>
      <c r="B72" s="226" t="s">
        <v>277</v>
      </c>
      <c r="C72" s="419">
        <v>5000</v>
      </c>
      <c r="D72" s="442"/>
      <c r="E72" s="459">
        <f>+'ต.ค.-ธ.ค.'!E73+'ม.ค.-มี.ค.'!E72+'เม.ย.-มิ.ย.'!E72+'ก.ค.-ก.ย.'!E72</f>
        <v>0</v>
      </c>
      <c r="F72" s="459">
        <f>+'ต.ค.-ธ.ค.'!F73+'ม.ค.-มี.ค.'!F72+'เม.ย.-มิ.ย.'!F72+'ก.ค.-ก.ย.'!F72</f>
        <v>0</v>
      </c>
      <c r="G72" s="459">
        <f>+'ต.ค.-ธ.ค.'!G73+'ม.ค.-มี.ค.'!G72+'เม.ย.-มิ.ย.'!G72+'ก.ค.-ก.ย.'!G72</f>
        <v>0</v>
      </c>
      <c r="H72" s="459">
        <f>+'ต.ค.-ธ.ค.'!H73+'ม.ค.-มี.ค.'!H72+'เม.ย.-มิ.ย.'!H72+'ก.ค.-ก.ย.'!H72</f>
        <v>0</v>
      </c>
      <c r="I72" s="459">
        <f>+'ต.ค.-ธ.ค.'!I73+'ม.ค.-มี.ค.'!I72+'เม.ย.-มิ.ย.'!I72+'ก.ค.-ก.ย.'!I72</f>
        <v>0</v>
      </c>
      <c r="J72" s="459">
        <f>+'ต.ค.-ธ.ค.'!J73+'ม.ค.-มี.ค.'!J72+'เม.ย.-มิ.ย.'!J72+'ก.ค.-ก.ย.'!J72</f>
        <v>0</v>
      </c>
      <c r="K72" s="459">
        <f>+'ต.ค.-ธ.ค.'!K73+'ม.ค.-มี.ค.'!K72+'เม.ย.-มิ.ย.'!K72+'ก.ค.-ก.ย.'!K72</f>
        <v>0</v>
      </c>
      <c r="L72" s="459">
        <f>+'ต.ค.-ธ.ค.'!L73+'ม.ค.-มี.ค.'!L72+'เม.ย.-มิ.ย.'!L72+'ก.ค.-ก.ย.'!L72</f>
        <v>0</v>
      </c>
      <c r="M72" s="459">
        <f>+'ต.ค.-ธ.ค.'!M73+'ม.ค.-มี.ค.'!M72+'เม.ย.-มิ.ย.'!M72+'ก.ค.-ก.ย.'!M72</f>
        <v>0</v>
      </c>
      <c r="N72" s="459">
        <f>+'ต.ค.-ธ.ค.'!N73+'ม.ค.-มี.ค.'!N72+'เม.ย.-มิ.ย.'!N72+'ก.ค.-ก.ย.'!N72</f>
        <v>0</v>
      </c>
      <c r="O72" s="459">
        <f>+'ต.ค.-ธ.ค.'!O73+'ม.ค.-มี.ค.'!O72+'เม.ย.-มิ.ย.'!O72+'ก.ค.-ก.ย.'!O72</f>
        <v>0</v>
      </c>
      <c r="P72" s="459">
        <f>+'ต.ค.-ธ.ค.'!P73+'ม.ค.-มี.ค.'!P72+'เม.ย.-มิ.ย.'!P72+'ก.ค.-ก.ย.'!P72</f>
        <v>0</v>
      </c>
      <c r="Q72" s="459">
        <f>+'ต.ค.-ธ.ค.'!Q73+'ม.ค.-มี.ค.'!Q72+'เม.ย.-มิ.ย.'!Q72+'ก.ค.-ก.ย.'!Q72</f>
        <v>0</v>
      </c>
      <c r="R72" s="459">
        <f>+'ต.ค.-ธ.ค.'!R73+'ม.ค.-มี.ค.'!R72+'เม.ย.-มิ.ย.'!R72+'ก.ค.-ก.ย.'!R72</f>
        <v>0</v>
      </c>
      <c r="S72" s="459">
        <f>+'ต.ค.-ธ.ค.'!S73+'ม.ค.-มี.ค.'!S72+'เม.ย.-มิ.ย.'!S72+'ก.ค.-ก.ย.'!S72</f>
        <v>0</v>
      </c>
      <c r="T72" s="459">
        <f>+'ต.ค.-ธ.ค.'!T73+'ม.ค.-มี.ค.'!T72+'เม.ย.-มิ.ย.'!T72+'ก.ค.-ก.ย.'!T72</f>
        <v>0</v>
      </c>
      <c r="U72" s="459">
        <f>+'ต.ค.-ธ.ค.'!U73+'ม.ค.-มี.ค.'!U72+'เม.ย.-มิ.ย.'!U72+'ก.ค.-ก.ย.'!U72</f>
        <v>0</v>
      </c>
      <c r="V72" s="459">
        <f>+'ต.ค.-ธ.ค.'!V73+'ม.ค.-มี.ค.'!V72+'เม.ย.-มิ.ย.'!V72+'ก.ค.-ก.ย.'!V72</f>
        <v>0</v>
      </c>
      <c r="W72" s="579"/>
      <c r="X72" s="364"/>
    </row>
    <row r="73" spans="1:24" s="310" customFormat="1" ht="25.5" customHeight="1">
      <c r="A73" s="165"/>
      <c r="B73" s="226" t="s">
        <v>107</v>
      </c>
      <c r="C73" s="419">
        <v>10000</v>
      </c>
      <c r="D73" s="442"/>
      <c r="E73" s="459">
        <f>+'ต.ค.-ธ.ค.'!E74+'ม.ค.-มี.ค.'!E73+'เม.ย.-มิ.ย.'!E73+'ก.ค.-ก.ย.'!E73</f>
        <v>0</v>
      </c>
      <c r="F73" s="459">
        <f>+'ต.ค.-ธ.ค.'!F74+'ม.ค.-มี.ค.'!F73+'เม.ย.-มิ.ย.'!F73+'ก.ค.-ก.ย.'!F73</f>
        <v>0</v>
      </c>
      <c r="G73" s="459">
        <f>+'ต.ค.-ธ.ค.'!G74+'ม.ค.-มี.ค.'!G73+'เม.ย.-มิ.ย.'!G73+'ก.ค.-ก.ย.'!G73</f>
        <v>0</v>
      </c>
      <c r="H73" s="459">
        <f>+'ต.ค.-ธ.ค.'!H74+'ม.ค.-มี.ค.'!H73+'เม.ย.-มิ.ย.'!H73+'ก.ค.-ก.ย.'!H73</f>
        <v>0</v>
      </c>
      <c r="I73" s="459">
        <f>+'ต.ค.-ธ.ค.'!I74+'ม.ค.-มี.ค.'!I73+'เม.ย.-มิ.ย.'!I73+'ก.ค.-ก.ย.'!I73</f>
        <v>0</v>
      </c>
      <c r="J73" s="459">
        <f>+'ต.ค.-ธ.ค.'!J74+'ม.ค.-มี.ค.'!J73+'เม.ย.-มิ.ย.'!J73+'ก.ค.-ก.ย.'!J73</f>
        <v>0</v>
      </c>
      <c r="K73" s="459">
        <f>+'ต.ค.-ธ.ค.'!K74+'ม.ค.-มี.ค.'!K73+'เม.ย.-มิ.ย.'!K73+'ก.ค.-ก.ย.'!K73</f>
        <v>0</v>
      </c>
      <c r="L73" s="459">
        <f>+'ต.ค.-ธ.ค.'!L74+'ม.ค.-มี.ค.'!L73+'เม.ย.-มิ.ย.'!L73+'ก.ค.-ก.ย.'!L73</f>
        <v>0</v>
      </c>
      <c r="M73" s="459">
        <f>+'ต.ค.-ธ.ค.'!M74+'ม.ค.-มี.ค.'!M73+'เม.ย.-มิ.ย.'!M73+'ก.ค.-ก.ย.'!M73</f>
        <v>0</v>
      </c>
      <c r="N73" s="459">
        <f>+'ต.ค.-ธ.ค.'!N74+'ม.ค.-มี.ค.'!N73+'เม.ย.-มิ.ย.'!N73+'ก.ค.-ก.ย.'!N73</f>
        <v>0</v>
      </c>
      <c r="O73" s="459">
        <f>+'ต.ค.-ธ.ค.'!O74+'ม.ค.-มี.ค.'!O73+'เม.ย.-มิ.ย.'!O73+'ก.ค.-ก.ย.'!O73</f>
        <v>0</v>
      </c>
      <c r="P73" s="459">
        <f>+'ต.ค.-ธ.ค.'!P74+'ม.ค.-มี.ค.'!P73+'เม.ย.-มิ.ย.'!P73+'ก.ค.-ก.ย.'!P73</f>
        <v>0</v>
      </c>
      <c r="Q73" s="459">
        <f>+'ต.ค.-ธ.ค.'!Q74+'ม.ค.-มี.ค.'!Q73+'เม.ย.-มิ.ย.'!Q73+'ก.ค.-ก.ย.'!Q73</f>
        <v>0</v>
      </c>
      <c r="R73" s="459">
        <f>+'ต.ค.-ธ.ค.'!R74+'ม.ค.-มี.ค.'!R73+'เม.ย.-มิ.ย.'!R73+'ก.ค.-ก.ย.'!R73</f>
        <v>0</v>
      </c>
      <c r="S73" s="459">
        <f>+'ต.ค.-ธ.ค.'!S74+'ม.ค.-มี.ค.'!S73+'เม.ย.-มิ.ย.'!S73+'ก.ค.-ก.ย.'!S73</f>
        <v>0</v>
      </c>
      <c r="T73" s="459">
        <f>+'ต.ค.-ธ.ค.'!T74+'ม.ค.-มี.ค.'!T73+'เม.ย.-มิ.ย.'!T73+'ก.ค.-ก.ย.'!T73</f>
        <v>0</v>
      </c>
      <c r="U73" s="459">
        <f>+'ต.ค.-ธ.ค.'!U74+'ม.ค.-มี.ค.'!U73+'เม.ย.-มิ.ย.'!U73+'ก.ค.-ก.ย.'!U73</f>
        <v>0</v>
      </c>
      <c r="V73" s="459">
        <f>+'ต.ค.-ธ.ค.'!V74+'ม.ค.-มี.ค.'!V73+'เม.ย.-มิ.ย.'!V73+'ก.ค.-ก.ย.'!V73</f>
        <v>0</v>
      </c>
      <c r="W73" s="579"/>
      <c r="X73" s="364"/>
    </row>
    <row r="74" spans="1:24" s="310" customFormat="1" ht="25.5" customHeight="1">
      <c r="A74" s="9"/>
      <c r="B74" s="226" t="s">
        <v>278</v>
      </c>
      <c r="C74" s="419">
        <v>10000</v>
      </c>
      <c r="D74" s="450"/>
      <c r="E74" s="459">
        <f>+'ต.ค.-ธ.ค.'!E75+'ม.ค.-มี.ค.'!E74+'เม.ย.-มิ.ย.'!E74+'ก.ค.-ก.ย.'!E74</f>
        <v>0</v>
      </c>
      <c r="F74" s="459">
        <f>+'ต.ค.-ธ.ค.'!F75+'ม.ค.-มี.ค.'!F74+'เม.ย.-มิ.ย.'!F74+'ก.ค.-ก.ย.'!F74</f>
        <v>0</v>
      </c>
      <c r="G74" s="459">
        <f>+'ต.ค.-ธ.ค.'!G75+'ม.ค.-มี.ค.'!G74+'เม.ย.-มิ.ย.'!G74+'ก.ค.-ก.ย.'!G74</f>
        <v>0</v>
      </c>
      <c r="H74" s="459">
        <f>+'ต.ค.-ธ.ค.'!H75+'ม.ค.-มี.ค.'!H74+'เม.ย.-มิ.ย.'!H74+'ก.ค.-ก.ย.'!H74</f>
        <v>0</v>
      </c>
      <c r="I74" s="459">
        <f>+'ต.ค.-ธ.ค.'!I75+'ม.ค.-มี.ค.'!I74+'เม.ย.-มิ.ย.'!I74+'ก.ค.-ก.ย.'!I74</f>
        <v>0</v>
      </c>
      <c r="J74" s="459">
        <f>+'ต.ค.-ธ.ค.'!J75+'ม.ค.-มี.ค.'!J74+'เม.ย.-มิ.ย.'!J74+'ก.ค.-ก.ย.'!J74</f>
        <v>0</v>
      </c>
      <c r="K74" s="459">
        <f>+'ต.ค.-ธ.ค.'!K75+'ม.ค.-มี.ค.'!K74+'เม.ย.-มิ.ย.'!K74+'ก.ค.-ก.ย.'!K74</f>
        <v>0</v>
      </c>
      <c r="L74" s="459">
        <f>+'ต.ค.-ธ.ค.'!L75+'ม.ค.-มี.ค.'!L74+'เม.ย.-มิ.ย.'!L74+'ก.ค.-ก.ย.'!L74</f>
        <v>0</v>
      </c>
      <c r="M74" s="459">
        <f>+'ต.ค.-ธ.ค.'!M75+'ม.ค.-มี.ค.'!M74+'เม.ย.-มิ.ย.'!M74+'ก.ค.-ก.ย.'!M74</f>
        <v>0</v>
      </c>
      <c r="N74" s="459">
        <f>+'ต.ค.-ธ.ค.'!N75+'ม.ค.-มี.ค.'!N74+'เม.ย.-มิ.ย.'!N74+'ก.ค.-ก.ย.'!N74</f>
        <v>0</v>
      </c>
      <c r="O74" s="459">
        <f>+'ต.ค.-ธ.ค.'!O75+'ม.ค.-มี.ค.'!O74+'เม.ย.-มิ.ย.'!O74+'ก.ค.-ก.ย.'!O74</f>
        <v>0</v>
      </c>
      <c r="P74" s="459">
        <f>+'ต.ค.-ธ.ค.'!P75+'ม.ค.-มี.ค.'!P74+'เม.ย.-มิ.ย.'!P74+'ก.ค.-ก.ย.'!P74</f>
        <v>0</v>
      </c>
      <c r="Q74" s="459">
        <f>+'ต.ค.-ธ.ค.'!Q75+'ม.ค.-มี.ค.'!Q74+'เม.ย.-มิ.ย.'!Q74+'ก.ค.-ก.ย.'!Q74</f>
        <v>0</v>
      </c>
      <c r="R74" s="459">
        <f>+'ต.ค.-ธ.ค.'!R75+'ม.ค.-มี.ค.'!R74+'เม.ย.-มิ.ย.'!R74+'ก.ค.-ก.ย.'!R74</f>
        <v>0</v>
      </c>
      <c r="S74" s="459">
        <f>+'ต.ค.-ธ.ค.'!S75+'ม.ค.-มี.ค.'!S74+'เม.ย.-มิ.ย.'!S74+'ก.ค.-ก.ย.'!S74</f>
        <v>0</v>
      </c>
      <c r="T74" s="459">
        <f>+'ต.ค.-ธ.ค.'!T75+'ม.ค.-มี.ค.'!T74+'เม.ย.-มิ.ย.'!T74+'ก.ค.-ก.ย.'!T74</f>
        <v>0</v>
      </c>
      <c r="U74" s="459">
        <f>+'ต.ค.-ธ.ค.'!U75+'ม.ค.-มี.ค.'!U74+'เม.ย.-มิ.ย.'!U74+'ก.ค.-ก.ย.'!U74</f>
        <v>0</v>
      </c>
      <c r="V74" s="459">
        <f>+'ต.ค.-ธ.ค.'!V75+'ม.ค.-มี.ค.'!V74+'เม.ย.-มิ.ย.'!V74+'ก.ค.-ก.ย.'!V74</f>
        <v>0</v>
      </c>
      <c r="W74" s="579"/>
      <c r="X74" s="364"/>
    </row>
    <row r="75" spans="1:24" s="310" customFormat="1" ht="25.5" customHeight="1">
      <c r="A75" s="165"/>
      <c r="B75" s="226" t="s">
        <v>279</v>
      </c>
      <c r="C75" s="419">
        <v>10000</v>
      </c>
      <c r="D75" s="450"/>
      <c r="E75" s="459">
        <f>+'ต.ค.-ธ.ค.'!E76+'ม.ค.-มี.ค.'!E75+'เม.ย.-มิ.ย.'!E75+'ก.ค.-ก.ย.'!E75</f>
        <v>0</v>
      </c>
      <c r="F75" s="459">
        <f>+'ต.ค.-ธ.ค.'!F76+'ม.ค.-มี.ค.'!F75+'เม.ย.-มิ.ย.'!F75+'ก.ค.-ก.ย.'!F75</f>
        <v>0</v>
      </c>
      <c r="G75" s="459">
        <f>+'ต.ค.-ธ.ค.'!G76+'ม.ค.-มี.ค.'!G75+'เม.ย.-มิ.ย.'!G75+'ก.ค.-ก.ย.'!G75</f>
        <v>0</v>
      </c>
      <c r="H75" s="459">
        <f>+'ต.ค.-ธ.ค.'!H76+'ม.ค.-มี.ค.'!H75+'เม.ย.-มิ.ย.'!H75+'ก.ค.-ก.ย.'!H75</f>
        <v>0</v>
      </c>
      <c r="I75" s="459">
        <f>+'ต.ค.-ธ.ค.'!I76+'ม.ค.-มี.ค.'!I75+'เม.ย.-มิ.ย.'!I75+'ก.ค.-ก.ย.'!I75</f>
        <v>0</v>
      </c>
      <c r="J75" s="459">
        <f>+'ต.ค.-ธ.ค.'!J76+'ม.ค.-มี.ค.'!J75+'เม.ย.-มิ.ย.'!J75+'ก.ค.-ก.ย.'!J75</f>
        <v>0</v>
      </c>
      <c r="K75" s="459">
        <f>+'ต.ค.-ธ.ค.'!K76+'ม.ค.-มี.ค.'!K75+'เม.ย.-มิ.ย.'!K75+'ก.ค.-ก.ย.'!K75</f>
        <v>0</v>
      </c>
      <c r="L75" s="459">
        <f>+'ต.ค.-ธ.ค.'!L76+'ม.ค.-มี.ค.'!L75+'เม.ย.-มิ.ย.'!L75+'ก.ค.-ก.ย.'!L75</f>
        <v>0</v>
      </c>
      <c r="M75" s="459">
        <f>+'ต.ค.-ธ.ค.'!M76+'ม.ค.-มี.ค.'!M75+'เม.ย.-มิ.ย.'!M75+'ก.ค.-ก.ย.'!M75</f>
        <v>0</v>
      </c>
      <c r="N75" s="459">
        <f>+'ต.ค.-ธ.ค.'!N76+'ม.ค.-มี.ค.'!N75+'เม.ย.-มิ.ย.'!N75+'ก.ค.-ก.ย.'!N75</f>
        <v>0</v>
      </c>
      <c r="O75" s="459">
        <f>+'ต.ค.-ธ.ค.'!O76+'ม.ค.-มี.ค.'!O75+'เม.ย.-มิ.ย.'!O75+'ก.ค.-ก.ย.'!O75</f>
        <v>0</v>
      </c>
      <c r="P75" s="459">
        <f>+'ต.ค.-ธ.ค.'!P76+'ม.ค.-มี.ค.'!P75+'เม.ย.-มิ.ย.'!P75+'ก.ค.-ก.ย.'!P75</f>
        <v>0</v>
      </c>
      <c r="Q75" s="459">
        <f>+'ต.ค.-ธ.ค.'!Q76+'ม.ค.-มี.ค.'!Q75+'เม.ย.-มิ.ย.'!Q75+'ก.ค.-ก.ย.'!Q75</f>
        <v>0</v>
      </c>
      <c r="R75" s="459">
        <f>+'ต.ค.-ธ.ค.'!R76+'ม.ค.-มี.ค.'!R75+'เม.ย.-มิ.ย.'!R75+'ก.ค.-ก.ย.'!R75</f>
        <v>0</v>
      </c>
      <c r="S75" s="459">
        <f>+'ต.ค.-ธ.ค.'!S76+'ม.ค.-มี.ค.'!S75+'เม.ย.-มิ.ย.'!S75+'ก.ค.-ก.ย.'!S75</f>
        <v>0</v>
      </c>
      <c r="T75" s="459">
        <f>+'ต.ค.-ธ.ค.'!T76+'ม.ค.-มี.ค.'!T75+'เม.ย.-มิ.ย.'!T75+'ก.ค.-ก.ย.'!T75</f>
        <v>0</v>
      </c>
      <c r="U75" s="459">
        <f>+'ต.ค.-ธ.ค.'!U76+'ม.ค.-มี.ค.'!U75+'เม.ย.-มิ.ย.'!U75+'ก.ค.-ก.ย.'!U75</f>
        <v>0</v>
      </c>
      <c r="V75" s="459">
        <f>+'ต.ค.-ธ.ค.'!V76+'ม.ค.-มี.ค.'!V75+'เม.ย.-มิ.ย.'!V75+'ก.ค.-ก.ย.'!V75</f>
        <v>0</v>
      </c>
      <c r="W75" s="579"/>
      <c r="X75" s="364"/>
    </row>
    <row r="76" spans="1:24" s="310" customFormat="1" ht="25.5" customHeight="1">
      <c r="A76" s="9"/>
      <c r="B76" s="226" t="s">
        <v>280</v>
      </c>
      <c r="C76" s="419">
        <v>10000</v>
      </c>
      <c r="D76" s="450"/>
      <c r="E76" s="459">
        <f>+'ต.ค.-ธ.ค.'!E77+'ม.ค.-มี.ค.'!E76+'เม.ย.-มิ.ย.'!E76+'ก.ค.-ก.ย.'!E76</f>
        <v>0</v>
      </c>
      <c r="F76" s="459">
        <f>+'ต.ค.-ธ.ค.'!F77+'ม.ค.-มี.ค.'!F76+'เม.ย.-มิ.ย.'!F76+'ก.ค.-ก.ย.'!F76</f>
        <v>0</v>
      </c>
      <c r="G76" s="459">
        <f>+'ต.ค.-ธ.ค.'!G77+'ม.ค.-มี.ค.'!G76+'เม.ย.-มิ.ย.'!G76+'ก.ค.-ก.ย.'!G76</f>
        <v>0</v>
      </c>
      <c r="H76" s="459">
        <f>+'ต.ค.-ธ.ค.'!H77+'ม.ค.-มี.ค.'!H76+'เม.ย.-มิ.ย.'!H76+'ก.ค.-ก.ย.'!H76</f>
        <v>0</v>
      </c>
      <c r="I76" s="459">
        <f>+'ต.ค.-ธ.ค.'!I77+'ม.ค.-มี.ค.'!I76+'เม.ย.-มิ.ย.'!I76+'ก.ค.-ก.ย.'!I76</f>
        <v>0</v>
      </c>
      <c r="J76" s="459">
        <f>+'ต.ค.-ธ.ค.'!J77+'ม.ค.-มี.ค.'!J76+'เม.ย.-มิ.ย.'!J76+'ก.ค.-ก.ย.'!J76</f>
        <v>0</v>
      </c>
      <c r="K76" s="459">
        <f>+'ต.ค.-ธ.ค.'!K77+'ม.ค.-มี.ค.'!K76+'เม.ย.-มิ.ย.'!K76+'ก.ค.-ก.ย.'!K76</f>
        <v>0</v>
      </c>
      <c r="L76" s="459">
        <f>+'ต.ค.-ธ.ค.'!L77+'ม.ค.-มี.ค.'!L76+'เม.ย.-มิ.ย.'!L76+'ก.ค.-ก.ย.'!L76</f>
        <v>0</v>
      </c>
      <c r="M76" s="459">
        <f>+'ต.ค.-ธ.ค.'!M77+'ม.ค.-มี.ค.'!M76+'เม.ย.-มิ.ย.'!M76+'ก.ค.-ก.ย.'!M76</f>
        <v>0</v>
      </c>
      <c r="N76" s="459">
        <f>+'ต.ค.-ธ.ค.'!N77+'ม.ค.-มี.ค.'!N76+'เม.ย.-มิ.ย.'!N76+'ก.ค.-ก.ย.'!N76</f>
        <v>0</v>
      </c>
      <c r="O76" s="459">
        <f>+'ต.ค.-ธ.ค.'!O77+'ม.ค.-มี.ค.'!O76+'เม.ย.-มิ.ย.'!O76+'ก.ค.-ก.ย.'!O76</f>
        <v>0</v>
      </c>
      <c r="P76" s="459">
        <f>+'ต.ค.-ธ.ค.'!P77+'ม.ค.-มี.ค.'!P76+'เม.ย.-มิ.ย.'!P76+'ก.ค.-ก.ย.'!P76</f>
        <v>0</v>
      </c>
      <c r="Q76" s="459">
        <f>+'ต.ค.-ธ.ค.'!Q77+'ม.ค.-มี.ค.'!Q76+'เม.ย.-มิ.ย.'!Q76+'ก.ค.-ก.ย.'!Q76</f>
        <v>0</v>
      </c>
      <c r="R76" s="459">
        <f>+'ต.ค.-ธ.ค.'!R77+'ม.ค.-มี.ค.'!R76+'เม.ย.-มิ.ย.'!R76+'ก.ค.-ก.ย.'!R76</f>
        <v>0</v>
      </c>
      <c r="S76" s="459">
        <f>+'ต.ค.-ธ.ค.'!S77+'ม.ค.-มี.ค.'!S76+'เม.ย.-มิ.ย.'!S76+'ก.ค.-ก.ย.'!S76</f>
        <v>0</v>
      </c>
      <c r="T76" s="459">
        <f>+'ต.ค.-ธ.ค.'!T77+'ม.ค.-มี.ค.'!T76+'เม.ย.-มิ.ย.'!T76+'ก.ค.-ก.ย.'!T76</f>
        <v>0</v>
      </c>
      <c r="U76" s="459">
        <f>+'ต.ค.-ธ.ค.'!U77+'ม.ค.-มี.ค.'!U76+'เม.ย.-มิ.ย.'!U76+'ก.ค.-ก.ย.'!U76</f>
        <v>0</v>
      </c>
      <c r="V76" s="459">
        <f>+'ต.ค.-ธ.ค.'!V77+'ม.ค.-มี.ค.'!V76+'เม.ย.-มิ.ย.'!V76+'ก.ค.-ก.ย.'!V76</f>
        <v>0</v>
      </c>
      <c r="W76" s="579"/>
      <c r="X76" s="364"/>
    </row>
    <row r="77" spans="1:24" s="310" customFormat="1" ht="25.5" customHeight="1">
      <c r="A77" s="9"/>
      <c r="B77" s="226" t="s">
        <v>281</v>
      </c>
      <c r="C77" s="419">
        <v>5000</v>
      </c>
      <c r="D77" s="450"/>
      <c r="E77" s="459">
        <f>+'ต.ค.-ธ.ค.'!E78+'ม.ค.-มี.ค.'!E77+'เม.ย.-มิ.ย.'!E77+'ก.ค.-ก.ย.'!E77</f>
        <v>0</v>
      </c>
      <c r="F77" s="459">
        <f>+'ต.ค.-ธ.ค.'!F78+'ม.ค.-มี.ค.'!F77+'เม.ย.-มิ.ย.'!F77+'ก.ค.-ก.ย.'!F77</f>
        <v>0</v>
      </c>
      <c r="G77" s="459">
        <f>+'ต.ค.-ธ.ค.'!G78+'ม.ค.-มี.ค.'!G77+'เม.ย.-มิ.ย.'!G77+'ก.ค.-ก.ย.'!G77</f>
        <v>0</v>
      </c>
      <c r="H77" s="459">
        <f>+'ต.ค.-ธ.ค.'!H78+'ม.ค.-มี.ค.'!H77+'เม.ย.-มิ.ย.'!H77+'ก.ค.-ก.ย.'!H77</f>
        <v>0</v>
      </c>
      <c r="I77" s="459">
        <f>+'ต.ค.-ธ.ค.'!I78+'ม.ค.-มี.ค.'!I77+'เม.ย.-มิ.ย.'!I77+'ก.ค.-ก.ย.'!I77</f>
        <v>0</v>
      </c>
      <c r="J77" s="459">
        <f>+'ต.ค.-ธ.ค.'!J78+'ม.ค.-มี.ค.'!J77+'เม.ย.-มิ.ย.'!J77+'ก.ค.-ก.ย.'!J77</f>
        <v>0</v>
      </c>
      <c r="K77" s="459">
        <f>+'ต.ค.-ธ.ค.'!K78+'ม.ค.-มี.ค.'!K77+'เม.ย.-มิ.ย.'!K77+'ก.ค.-ก.ย.'!K77</f>
        <v>0</v>
      </c>
      <c r="L77" s="459">
        <f>+'ต.ค.-ธ.ค.'!L78+'ม.ค.-มี.ค.'!L77+'เม.ย.-มิ.ย.'!L77+'ก.ค.-ก.ย.'!L77</f>
        <v>0</v>
      </c>
      <c r="M77" s="459">
        <f>+'ต.ค.-ธ.ค.'!M78+'ม.ค.-มี.ค.'!M77+'เม.ย.-มิ.ย.'!M77+'ก.ค.-ก.ย.'!M77</f>
        <v>0</v>
      </c>
      <c r="N77" s="459">
        <f>+'ต.ค.-ธ.ค.'!N78+'ม.ค.-มี.ค.'!N77+'เม.ย.-มิ.ย.'!N77+'ก.ค.-ก.ย.'!N77</f>
        <v>0</v>
      </c>
      <c r="O77" s="459">
        <f>+'ต.ค.-ธ.ค.'!O78+'ม.ค.-มี.ค.'!O77+'เม.ย.-มิ.ย.'!O77+'ก.ค.-ก.ย.'!O77</f>
        <v>0</v>
      </c>
      <c r="P77" s="459">
        <f>+'ต.ค.-ธ.ค.'!P78+'ม.ค.-มี.ค.'!P77+'เม.ย.-มิ.ย.'!P77+'ก.ค.-ก.ย.'!P77</f>
        <v>0</v>
      </c>
      <c r="Q77" s="459">
        <f>+'ต.ค.-ธ.ค.'!Q78+'ม.ค.-มี.ค.'!Q77+'เม.ย.-มิ.ย.'!Q77+'ก.ค.-ก.ย.'!Q77</f>
        <v>0</v>
      </c>
      <c r="R77" s="459">
        <f>+'ต.ค.-ธ.ค.'!R78+'ม.ค.-มี.ค.'!R77+'เม.ย.-มิ.ย.'!R77+'ก.ค.-ก.ย.'!R77</f>
        <v>0</v>
      </c>
      <c r="S77" s="459">
        <f>+'ต.ค.-ธ.ค.'!S78+'ม.ค.-มี.ค.'!S77+'เม.ย.-มิ.ย.'!S77+'ก.ค.-ก.ย.'!S77</f>
        <v>0</v>
      </c>
      <c r="T77" s="459">
        <f>+'ต.ค.-ธ.ค.'!T78+'ม.ค.-มี.ค.'!T77+'เม.ย.-มิ.ย.'!T77+'ก.ค.-ก.ย.'!T77</f>
        <v>0</v>
      </c>
      <c r="U77" s="459">
        <f>+'ต.ค.-ธ.ค.'!U78+'ม.ค.-มี.ค.'!U77+'เม.ย.-มิ.ย.'!U77+'ก.ค.-ก.ย.'!U77</f>
        <v>0</v>
      </c>
      <c r="V77" s="459">
        <f>+'ต.ค.-ธ.ค.'!V78+'ม.ค.-มี.ค.'!V77+'เม.ย.-มิ.ย.'!V77+'ก.ค.-ก.ย.'!V77</f>
        <v>0</v>
      </c>
      <c r="W77" s="579"/>
      <c r="X77" s="364"/>
    </row>
    <row r="78" spans="1:24" s="310" customFormat="1" ht="25.5" customHeight="1">
      <c r="A78" s="9"/>
      <c r="B78" s="226" t="s">
        <v>282</v>
      </c>
      <c r="C78" s="419">
        <v>5000</v>
      </c>
      <c r="D78" s="450"/>
      <c r="E78" s="459">
        <f>+'ต.ค.-ธ.ค.'!E79+'ม.ค.-มี.ค.'!E78+'เม.ย.-มิ.ย.'!E78+'ก.ค.-ก.ย.'!E78</f>
        <v>0</v>
      </c>
      <c r="F78" s="459">
        <f>+'ต.ค.-ธ.ค.'!F79+'ม.ค.-มี.ค.'!F78+'เม.ย.-มิ.ย.'!F78+'ก.ค.-ก.ย.'!F78</f>
        <v>0</v>
      </c>
      <c r="G78" s="459">
        <f>+'ต.ค.-ธ.ค.'!G79+'ม.ค.-มี.ค.'!G78+'เม.ย.-มิ.ย.'!G78+'ก.ค.-ก.ย.'!G78</f>
        <v>0</v>
      </c>
      <c r="H78" s="459">
        <f>+'ต.ค.-ธ.ค.'!H79+'ม.ค.-มี.ค.'!H78+'เม.ย.-มิ.ย.'!H78+'ก.ค.-ก.ย.'!H78</f>
        <v>0</v>
      </c>
      <c r="I78" s="459">
        <f>+'ต.ค.-ธ.ค.'!I79+'ม.ค.-มี.ค.'!I78+'เม.ย.-มิ.ย.'!I78+'ก.ค.-ก.ย.'!I78</f>
        <v>0</v>
      </c>
      <c r="J78" s="459">
        <f>+'ต.ค.-ธ.ค.'!J79+'ม.ค.-มี.ค.'!J78+'เม.ย.-มิ.ย.'!J78+'ก.ค.-ก.ย.'!J78</f>
        <v>0</v>
      </c>
      <c r="K78" s="459">
        <f>+'ต.ค.-ธ.ค.'!K79+'ม.ค.-มี.ค.'!K78+'เม.ย.-มิ.ย.'!K78+'ก.ค.-ก.ย.'!K78</f>
        <v>0</v>
      </c>
      <c r="L78" s="459">
        <f>+'ต.ค.-ธ.ค.'!L79+'ม.ค.-มี.ค.'!L78+'เม.ย.-มิ.ย.'!L78+'ก.ค.-ก.ย.'!L78</f>
        <v>0</v>
      </c>
      <c r="M78" s="459">
        <f>+'ต.ค.-ธ.ค.'!M79+'ม.ค.-มี.ค.'!M78+'เม.ย.-มิ.ย.'!M78+'ก.ค.-ก.ย.'!M78</f>
        <v>0</v>
      </c>
      <c r="N78" s="459">
        <f>+'ต.ค.-ธ.ค.'!N79+'ม.ค.-มี.ค.'!N78+'เม.ย.-มิ.ย.'!N78+'ก.ค.-ก.ย.'!N78</f>
        <v>0</v>
      </c>
      <c r="O78" s="459">
        <f>+'ต.ค.-ธ.ค.'!O79+'ม.ค.-มี.ค.'!O78+'เม.ย.-มิ.ย.'!O78+'ก.ค.-ก.ย.'!O78</f>
        <v>0</v>
      </c>
      <c r="P78" s="459">
        <f>+'ต.ค.-ธ.ค.'!P79+'ม.ค.-มี.ค.'!P78+'เม.ย.-มิ.ย.'!P78+'ก.ค.-ก.ย.'!P78</f>
        <v>0</v>
      </c>
      <c r="Q78" s="459">
        <f>+'ต.ค.-ธ.ค.'!Q79+'ม.ค.-มี.ค.'!Q78+'เม.ย.-มิ.ย.'!Q78+'ก.ค.-ก.ย.'!Q78</f>
        <v>0</v>
      </c>
      <c r="R78" s="459">
        <f>+'ต.ค.-ธ.ค.'!R79+'ม.ค.-มี.ค.'!R78+'เม.ย.-มิ.ย.'!R78+'ก.ค.-ก.ย.'!R78</f>
        <v>0</v>
      </c>
      <c r="S78" s="459">
        <f>+'ต.ค.-ธ.ค.'!S79+'ม.ค.-มี.ค.'!S78+'เม.ย.-มิ.ย.'!S78+'ก.ค.-ก.ย.'!S78</f>
        <v>0</v>
      </c>
      <c r="T78" s="459">
        <f>+'ต.ค.-ธ.ค.'!T79+'ม.ค.-มี.ค.'!T78+'เม.ย.-มิ.ย.'!T78+'ก.ค.-ก.ย.'!T78</f>
        <v>0</v>
      </c>
      <c r="U78" s="459">
        <f>+'ต.ค.-ธ.ค.'!U79+'ม.ค.-มี.ค.'!U78+'เม.ย.-มิ.ย.'!U78+'ก.ค.-ก.ย.'!U78</f>
        <v>0</v>
      </c>
      <c r="V78" s="459">
        <f>+'ต.ค.-ธ.ค.'!V79+'ม.ค.-มี.ค.'!V78+'เม.ย.-มิ.ย.'!V78+'ก.ค.-ก.ย.'!V78</f>
        <v>0</v>
      </c>
      <c r="W78" s="579"/>
      <c r="X78" s="364"/>
    </row>
    <row r="79" spans="1:24" s="310" customFormat="1" ht="25.5" customHeight="1">
      <c r="A79" s="9"/>
      <c r="B79" s="226" t="s">
        <v>238</v>
      </c>
      <c r="C79" s="419">
        <f>70000+40000+10000+20000+30000+10000+10000</f>
        <v>190000</v>
      </c>
      <c r="D79" s="450"/>
      <c r="E79" s="459">
        <f>+'ต.ค.-ธ.ค.'!E80+'ม.ค.-มี.ค.'!E79+'เม.ย.-มิ.ย.'!E79+'ก.ค.-ก.ย.'!E79</f>
        <v>79547.350000000006</v>
      </c>
      <c r="F79" s="459">
        <f>+'ต.ค.-ธ.ค.'!F80+'ม.ค.-มี.ค.'!F79+'เม.ย.-มิ.ย.'!F79+'ก.ค.-ก.ย.'!F79</f>
        <v>5700</v>
      </c>
      <c r="G79" s="459">
        <f>+'ต.ค.-ธ.ค.'!G80+'ม.ค.-มี.ค.'!G79+'เม.ย.-มิ.ย.'!G79+'ก.ค.-ก.ย.'!G79</f>
        <v>0</v>
      </c>
      <c r="H79" s="459">
        <f>+'ต.ค.-ธ.ค.'!H80+'ม.ค.-มี.ค.'!H79+'เม.ย.-มิ.ย.'!H79+'ก.ค.-ก.ย.'!H79</f>
        <v>81011</v>
      </c>
      <c r="I79" s="459">
        <f>+'ต.ค.-ธ.ค.'!I80+'ม.ค.-มี.ค.'!I79+'เม.ย.-มิ.ย.'!I79+'ก.ค.-ก.ย.'!I79</f>
        <v>0</v>
      </c>
      <c r="J79" s="459">
        <f>+'ต.ค.-ธ.ค.'!J80+'ม.ค.-มี.ค.'!J79+'เม.ย.-มิ.ย.'!J79+'ก.ค.-ก.ย.'!J79</f>
        <v>0</v>
      </c>
      <c r="K79" s="459">
        <f>+'ต.ค.-ธ.ค.'!K80+'ม.ค.-มี.ค.'!K79+'เม.ย.-มิ.ย.'!K79+'ก.ค.-ก.ย.'!K79</f>
        <v>0</v>
      </c>
      <c r="L79" s="459">
        <f>+'ต.ค.-ธ.ค.'!L80+'ม.ค.-มี.ค.'!L79+'เม.ย.-มิ.ย.'!L79+'ก.ค.-ก.ย.'!L79</f>
        <v>0</v>
      </c>
      <c r="M79" s="459">
        <f>+'ต.ค.-ธ.ค.'!M80+'ม.ค.-มี.ค.'!M79+'เม.ย.-มิ.ย.'!M79+'ก.ค.-ก.ย.'!M79</f>
        <v>7450</v>
      </c>
      <c r="N79" s="459">
        <f>+'ต.ค.-ธ.ค.'!N80+'ม.ค.-มี.ค.'!N79+'เม.ย.-มิ.ย.'!N79+'ก.ค.-ก.ย.'!N79</f>
        <v>0</v>
      </c>
      <c r="O79" s="459">
        <f>+'ต.ค.-ธ.ค.'!O80+'ม.ค.-มี.ค.'!O79+'เม.ย.-มิ.ย.'!O79+'ก.ค.-ก.ย.'!O79</f>
        <v>0</v>
      </c>
      <c r="P79" s="459">
        <f>+'ต.ค.-ธ.ค.'!P80+'ม.ค.-มี.ค.'!P79+'เม.ย.-มิ.ย.'!P79+'ก.ค.-ก.ย.'!P79</f>
        <v>0</v>
      </c>
      <c r="Q79" s="459">
        <f>+'ต.ค.-ธ.ค.'!Q80+'ม.ค.-มี.ค.'!Q79+'เม.ย.-มิ.ย.'!Q79+'ก.ค.-ก.ย.'!Q79</f>
        <v>0</v>
      </c>
      <c r="R79" s="459">
        <f>+'ต.ค.-ธ.ค.'!R80+'ม.ค.-มี.ค.'!R79+'เม.ย.-มิ.ย.'!R79+'ก.ค.-ก.ย.'!R79</f>
        <v>0</v>
      </c>
      <c r="S79" s="459">
        <f>+'ต.ค.-ธ.ค.'!S80+'ม.ค.-มี.ค.'!S79+'เม.ย.-มิ.ย.'!S79+'ก.ค.-ก.ย.'!S79</f>
        <v>0</v>
      </c>
      <c r="T79" s="459">
        <f>+'ต.ค.-ธ.ค.'!T80+'ม.ค.-มี.ค.'!T79+'เม.ย.-มิ.ย.'!T79+'ก.ค.-ก.ย.'!T79</f>
        <v>0</v>
      </c>
      <c r="U79" s="459">
        <f>+'ต.ค.-ธ.ค.'!U80+'ม.ค.-มี.ค.'!U79+'เม.ย.-มิ.ย.'!U79+'ก.ค.-ก.ย.'!U79</f>
        <v>0</v>
      </c>
      <c r="V79" s="459">
        <f>+'ต.ค.-ธ.ค.'!V80+'ม.ค.-มี.ค.'!V79+'เม.ย.-มิ.ย.'!V79+'ก.ค.-ก.ย.'!V79</f>
        <v>0</v>
      </c>
      <c r="W79" s="579"/>
      <c r="X79" s="364"/>
    </row>
    <row r="80" spans="1:24" s="310" customFormat="1" ht="25.5" customHeight="1">
      <c r="A80" s="9"/>
      <c r="B80" s="226" t="s">
        <v>121</v>
      </c>
      <c r="C80" s="419">
        <f>100000+47000+3000-140000+40000</f>
        <v>50000</v>
      </c>
      <c r="D80" s="450"/>
      <c r="E80" s="459">
        <f>+'ต.ค.-ธ.ค.'!E81+'ม.ค.-มี.ค.'!E80+'เม.ย.-มิ.ย.'!E80+'ก.ค.-ก.ย.'!E80</f>
        <v>0</v>
      </c>
      <c r="F80" s="459">
        <f>+'ต.ค.-ธ.ค.'!F81+'ม.ค.-มี.ค.'!F80+'เม.ย.-มิ.ย.'!F80+'ก.ค.-ก.ย.'!F80</f>
        <v>23586</v>
      </c>
      <c r="G80" s="459">
        <f>+'ต.ค.-ธ.ค.'!G81+'ม.ค.-มี.ค.'!G80+'เม.ย.-มิ.ย.'!G80+'ก.ค.-ก.ย.'!G80</f>
        <v>0</v>
      </c>
      <c r="H80" s="459">
        <f>+'ต.ค.-ธ.ค.'!H81+'ม.ค.-มี.ค.'!H80+'เม.ย.-มิ.ย.'!H80+'ก.ค.-ก.ย.'!H80</f>
        <v>0</v>
      </c>
      <c r="I80" s="459">
        <f>+'ต.ค.-ธ.ค.'!I81+'ม.ค.-มี.ค.'!I80+'เม.ย.-มิ.ย.'!I80+'ก.ค.-ก.ย.'!I80</f>
        <v>0</v>
      </c>
      <c r="J80" s="459">
        <f>+'ต.ค.-ธ.ค.'!J81+'ม.ค.-มี.ค.'!J80+'เม.ย.-มิ.ย.'!J80+'ก.ค.-ก.ย.'!J80</f>
        <v>0</v>
      </c>
      <c r="K80" s="459">
        <f>+'ต.ค.-ธ.ค.'!K81+'ม.ค.-มี.ค.'!K80+'เม.ย.-มิ.ย.'!K80+'ก.ค.-ก.ย.'!K80</f>
        <v>0</v>
      </c>
      <c r="L80" s="459">
        <f>+'ต.ค.-ธ.ค.'!L81+'ม.ค.-มี.ค.'!L80+'เม.ย.-มิ.ย.'!L80+'ก.ค.-ก.ย.'!L80</f>
        <v>0</v>
      </c>
      <c r="M80" s="459">
        <f>+'ต.ค.-ธ.ค.'!M81+'ม.ค.-มี.ค.'!M80+'เม.ย.-มิ.ย.'!M80+'ก.ค.-ก.ย.'!M80</f>
        <v>0</v>
      </c>
      <c r="N80" s="459">
        <f>+'ต.ค.-ธ.ค.'!N81+'ม.ค.-มี.ค.'!N80+'เม.ย.-มิ.ย.'!N80+'ก.ค.-ก.ย.'!N80</f>
        <v>0</v>
      </c>
      <c r="O80" s="459">
        <f>+'ต.ค.-ธ.ค.'!O81+'ม.ค.-มี.ค.'!O80+'เม.ย.-มิ.ย.'!O80+'ก.ค.-ก.ย.'!O80</f>
        <v>0</v>
      </c>
      <c r="P80" s="459">
        <f>+'ต.ค.-ธ.ค.'!P81+'ม.ค.-มี.ค.'!P80+'เม.ย.-มิ.ย.'!P80+'ก.ค.-ก.ย.'!P80</f>
        <v>0</v>
      </c>
      <c r="Q80" s="459">
        <f>+'ต.ค.-ธ.ค.'!Q81+'ม.ค.-มี.ค.'!Q80+'เม.ย.-มิ.ย.'!Q80+'ก.ค.-ก.ย.'!Q80</f>
        <v>0</v>
      </c>
      <c r="R80" s="459">
        <f>+'ต.ค.-ธ.ค.'!R81+'ม.ค.-มี.ค.'!R80+'เม.ย.-มิ.ย.'!R80+'ก.ค.-ก.ย.'!R80</f>
        <v>0</v>
      </c>
      <c r="S80" s="459">
        <f>+'ต.ค.-ธ.ค.'!S81+'ม.ค.-มี.ค.'!S80+'เม.ย.-มิ.ย.'!S80+'ก.ค.-ก.ย.'!S80</f>
        <v>0</v>
      </c>
      <c r="T80" s="459">
        <f>+'ต.ค.-ธ.ค.'!T81+'ม.ค.-มี.ค.'!T80+'เม.ย.-มิ.ย.'!T80+'ก.ค.-ก.ย.'!T80</f>
        <v>0</v>
      </c>
      <c r="U80" s="459">
        <f>+'ต.ค.-ธ.ค.'!U81+'ม.ค.-มี.ค.'!U80+'เม.ย.-มิ.ย.'!U80+'ก.ค.-ก.ย.'!U80</f>
        <v>0</v>
      </c>
      <c r="V80" s="459">
        <f>+'ต.ค.-ธ.ค.'!V81+'ม.ค.-มี.ค.'!V80+'เม.ย.-มิ.ย.'!V80+'ก.ค.-ก.ย.'!V80</f>
        <v>0</v>
      </c>
      <c r="W80" s="579"/>
      <c r="X80" s="364"/>
    </row>
    <row r="81" spans="1:24" s="310" customFormat="1" ht="25.5" customHeight="1">
      <c r="A81" s="9"/>
      <c r="B81" s="226" t="s">
        <v>295</v>
      </c>
      <c r="C81" s="419">
        <f>40000+50000</f>
        <v>90000</v>
      </c>
      <c r="D81" s="450"/>
      <c r="E81" s="459">
        <f>+'ต.ค.-ธ.ค.'!E82+'ม.ค.-มี.ค.'!E81+'เม.ย.-มิ.ย.'!E81+'ก.ค.-ก.ย.'!E81</f>
        <v>0</v>
      </c>
      <c r="F81" s="459">
        <f>+'ต.ค.-ธ.ค.'!F82+'ม.ค.-มี.ค.'!F81+'เม.ย.-มิ.ย.'!F81+'ก.ค.-ก.ย.'!F81</f>
        <v>0</v>
      </c>
      <c r="G81" s="459">
        <f>+'ต.ค.-ธ.ค.'!G82+'ม.ค.-มี.ค.'!G81+'เม.ย.-มิ.ย.'!G81+'ก.ค.-ก.ย.'!G81</f>
        <v>402629</v>
      </c>
      <c r="H81" s="459">
        <f>+'ต.ค.-ธ.ค.'!H82+'ม.ค.-มี.ค.'!H81+'เม.ย.-มิ.ย.'!H81+'ก.ค.-ก.ย.'!H81</f>
        <v>0</v>
      </c>
      <c r="I81" s="459">
        <f>+'ต.ค.-ธ.ค.'!I82+'ม.ค.-มี.ค.'!I81+'เม.ย.-มิ.ย.'!I81+'ก.ค.-ก.ย.'!I81</f>
        <v>0</v>
      </c>
      <c r="J81" s="459">
        <f>+'ต.ค.-ธ.ค.'!J82+'ม.ค.-มี.ค.'!J81+'เม.ย.-มิ.ย.'!J81+'ก.ค.-ก.ย.'!J81</f>
        <v>0</v>
      </c>
      <c r="K81" s="459">
        <f>+'ต.ค.-ธ.ค.'!K82+'ม.ค.-มี.ค.'!K81+'เม.ย.-มิ.ย.'!K81+'ก.ค.-ก.ย.'!K81</f>
        <v>0</v>
      </c>
      <c r="L81" s="459">
        <f>+'ต.ค.-ธ.ค.'!L82+'ม.ค.-มี.ค.'!L81+'เม.ย.-มิ.ย.'!L81+'ก.ค.-ก.ย.'!L81</f>
        <v>0</v>
      </c>
      <c r="M81" s="459">
        <f>+'ต.ค.-ธ.ค.'!M82+'ม.ค.-มี.ค.'!M81+'เม.ย.-มิ.ย.'!M81+'ก.ค.-ก.ย.'!M81</f>
        <v>0</v>
      </c>
      <c r="N81" s="459">
        <f>+'ต.ค.-ธ.ค.'!N82+'ม.ค.-มี.ค.'!N81+'เม.ย.-มิ.ย.'!N81+'ก.ค.-ก.ย.'!N81</f>
        <v>0</v>
      </c>
      <c r="O81" s="459">
        <f>+'ต.ค.-ธ.ค.'!O82+'ม.ค.-มี.ค.'!O81+'เม.ย.-มิ.ย.'!O81+'ก.ค.-ก.ย.'!O81</f>
        <v>0</v>
      </c>
      <c r="P81" s="459">
        <f>+'ต.ค.-ธ.ค.'!P82+'ม.ค.-มี.ค.'!P81+'เม.ย.-มิ.ย.'!P81+'ก.ค.-ก.ย.'!P81</f>
        <v>0</v>
      </c>
      <c r="Q81" s="459">
        <f>+'ต.ค.-ธ.ค.'!Q82+'ม.ค.-มี.ค.'!Q81+'เม.ย.-มิ.ย.'!Q81+'ก.ค.-ก.ย.'!Q81</f>
        <v>0</v>
      </c>
      <c r="R81" s="459">
        <f>+'ต.ค.-ธ.ค.'!R82+'ม.ค.-มี.ค.'!R81+'เม.ย.-มิ.ย.'!R81+'ก.ค.-ก.ย.'!R81</f>
        <v>0</v>
      </c>
      <c r="S81" s="459">
        <f>+'ต.ค.-ธ.ค.'!S82+'ม.ค.-มี.ค.'!S81+'เม.ย.-มิ.ย.'!S81+'ก.ค.-ก.ย.'!S81</f>
        <v>0</v>
      </c>
      <c r="T81" s="459">
        <f>+'ต.ค.-ธ.ค.'!T82+'ม.ค.-มี.ค.'!T81+'เม.ย.-มิ.ย.'!T81+'ก.ค.-ก.ย.'!T81</f>
        <v>0</v>
      </c>
      <c r="U81" s="459">
        <f>+'ต.ค.-ธ.ค.'!U82+'ม.ค.-มี.ค.'!U81+'เม.ย.-มิ.ย.'!U81+'ก.ค.-ก.ย.'!U81</f>
        <v>0</v>
      </c>
      <c r="V81" s="459">
        <f>+'ต.ค.-ธ.ค.'!V82+'ม.ค.-มี.ค.'!V81+'เม.ย.-มิ.ย.'!V81+'ก.ค.-ก.ย.'!V81</f>
        <v>0</v>
      </c>
      <c r="W81" s="579"/>
      <c r="X81" s="364"/>
    </row>
    <row r="82" spans="1:24" s="310" customFormat="1" ht="25.5" customHeight="1">
      <c r="A82" s="9"/>
      <c r="B82" s="226" t="s">
        <v>296</v>
      </c>
      <c r="C82" s="419">
        <v>30000</v>
      </c>
      <c r="D82" s="450"/>
      <c r="E82" s="459">
        <f>+'ต.ค.-ธ.ค.'!E83+'ม.ค.-มี.ค.'!E82+'เม.ย.-มิ.ย.'!E82+'ก.ค.-ก.ย.'!E82</f>
        <v>0</v>
      </c>
      <c r="F82" s="459">
        <f>+'ต.ค.-ธ.ค.'!F83+'ม.ค.-มี.ค.'!F82+'เม.ย.-มิ.ย.'!F82+'ก.ค.-ก.ย.'!F82</f>
        <v>0</v>
      </c>
      <c r="G82" s="459">
        <f>+'ต.ค.-ธ.ค.'!G83+'ม.ค.-มี.ค.'!G82+'เม.ย.-มิ.ย.'!G82+'ก.ค.-ก.ย.'!G82</f>
        <v>29690</v>
      </c>
      <c r="H82" s="459">
        <f>+'ต.ค.-ธ.ค.'!H83+'ม.ค.-มี.ค.'!H82+'เม.ย.-มิ.ย.'!H82+'ก.ค.-ก.ย.'!H82</f>
        <v>0</v>
      </c>
      <c r="I82" s="459">
        <f>+'ต.ค.-ธ.ค.'!I83+'ม.ค.-มี.ค.'!I82+'เม.ย.-มิ.ย.'!I82+'ก.ค.-ก.ย.'!I82</f>
        <v>0</v>
      </c>
      <c r="J82" s="459">
        <f>+'ต.ค.-ธ.ค.'!J83+'ม.ค.-มี.ค.'!J82+'เม.ย.-มิ.ย.'!J82+'ก.ค.-ก.ย.'!J82</f>
        <v>0</v>
      </c>
      <c r="K82" s="459">
        <f>+'ต.ค.-ธ.ค.'!K83+'ม.ค.-มี.ค.'!K82+'เม.ย.-มิ.ย.'!K82+'ก.ค.-ก.ย.'!K82</f>
        <v>0</v>
      </c>
      <c r="L82" s="459">
        <f>+'ต.ค.-ธ.ค.'!L83+'ม.ค.-มี.ค.'!L82+'เม.ย.-มิ.ย.'!L82+'ก.ค.-ก.ย.'!L82</f>
        <v>0</v>
      </c>
      <c r="M82" s="459">
        <f>+'ต.ค.-ธ.ค.'!M83+'ม.ค.-มี.ค.'!M82+'เม.ย.-มิ.ย.'!M82+'ก.ค.-ก.ย.'!M82</f>
        <v>0</v>
      </c>
      <c r="N82" s="459">
        <f>+'ต.ค.-ธ.ค.'!N83+'ม.ค.-มี.ค.'!N82+'เม.ย.-มิ.ย.'!N82+'ก.ค.-ก.ย.'!N82</f>
        <v>0</v>
      </c>
      <c r="O82" s="459">
        <f>+'ต.ค.-ธ.ค.'!O83+'ม.ค.-มี.ค.'!O82+'เม.ย.-มิ.ย.'!O82+'ก.ค.-ก.ย.'!O82</f>
        <v>0</v>
      </c>
      <c r="P82" s="459">
        <f>+'ต.ค.-ธ.ค.'!P83+'ม.ค.-มี.ค.'!P82+'เม.ย.-มิ.ย.'!P82+'ก.ค.-ก.ย.'!P82</f>
        <v>0</v>
      </c>
      <c r="Q82" s="459">
        <f>+'ต.ค.-ธ.ค.'!Q83+'ม.ค.-มี.ค.'!Q82+'เม.ย.-มิ.ย.'!Q82+'ก.ค.-ก.ย.'!Q82</f>
        <v>0</v>
      </c>
      <c r="R82" s="459">
        <f>+'ต.ค.-ธ.ค.'!R83+'ม.ค.-มี.ค.'!R82+'เม.ย.-มิ.ย.'!R82+'ก.ค.-ก.ย.'!R82</f>
        <v>0</v>
      </c>
      <c r="S82" s="459">
        <f>+'ต.ค.-ธ.ค.'!S83+'ม.ค.-มี.ค.'!S82+'เม.ย.-มิ.ย.'!S82+'ก.ค.-ก.ย.'!S82</f>
        <v>0</v>
      </c>
      <c r="T82" s="459">
        <f>+'ต.ค.-ธ.ค.'!T83+'ม.ค.-มี.ค.'!T82+'เม.ย.-มิ.ย.'!T82+'ก.ค.-ก.ย.'!T82</f>
        <v>0</v>
      </c>
      <c r="U82" s="459">
        <f>+'ต.ค.-ธ.ค.'!U83+'ม.ค.-มี.ค.'!U82+'เม.ย.-มิ.ย.'!U82+'ก.ค.-ก.ย.'!U82</f>
        <v>0</v>
      </c>
      <c r="V82" s="459">
        <f>+'ต.ค.-ธ.ค.'!V83+'ม.ค.-มี.ค.'!V82+'เม.ย.-มิ.ย.'!V82+'ก.ค.-ก.ย.'!V82</f>
        <v>0</v>
      </c>
      <c r="W82" s="579"/>
      <c r="X82" s="364"/>
    </row>
    <row r="83" spans="1:24" s="310" customFormat="1" ht="25.5" customHeight="1">
      <c r="A83" s="9"/>
      <c r="B83" s="226" t="s">
        <v>210</v>
      </c>
      <c r="C83" s="419">
        <v>10000</v>
      </c>
      <c r="D83" s="450"/>
      <c r="E83" s="459">
        <f>+'ต.ค.-ธ.ค.'!E84+'ม.ค.-มี.ค.'!E83+'เม.ย.-มิ.ย.'!E83+'ก.ค.-ก.ย.'!E83</f>
        <v>0</v>
      </c>
      <c r="F83" s="459">
        <f>+'ต.ค.-ธ.ค.'!F84+'ม.ค.-มี.ค.'!F83+'เม.ย.-มิ.ย.'!F83+'ก.ค.-ก.ย.'!F83</f>
        <v>0</v>
      </c>
      <c r="G83" s="459">
        <f>+'ต.ค.-ธ.ค.'!G84+'ม.ค.-มี.ค.'!G83+'เม.ย.-มิ.ย.'!G83+'ก.ค.-ก.ย.'!G83</f>
        <v>0</v>
      </c>
      <c r="H83" s="459">
        <f>+'ต.ค.-ธ.ค.'!H84+'ม.ค.-มี.ค.'!H83+'เม.ย.-มิ.ย.'!H83+'ก.ค.-ก.ย.'!H83</f>
        <v>0</v>
      </c>
      <c r="I83" s="459">
        <f>+'ต.ค.-ธ.ค.'!I84+'ม.ค.-มี.ค.'!I83+'เม.ย.-มิ.ย.'!I83+'ก.ค.-ก.ย.'!I83</f>
        <v>0</v>
      </c>
      <c r="J83" s="459">
        <f>+'ต.ค.-ธ.ค.'!J84+'ม.ค.-มี.ค.'!J83+'เม.ย.-มิ.ย.'!J83+'ก.ค.-ก.ย.'!J83</f>
        <v>0</v>
      </c>
      <c r="K83" s="459">
        <f>+'ต.ค.-ธ.ค.'!K84+'ม.ค.-มี.ค.'!K83+'เม.ย.-มิ.ย.'!K83+'ก.ค.-ก.ย.'!K83</f>
        <v>0</v>
      </c>
      <c r="L83" s="459">
        <f>+'ต.ค.-ธ.ค.'!L84+'ม.ค.-มี.ค.'!L83+'เม.ย.-มิ.ย.'!L83+'ก.ค.-ก.ย.'!L83</f>
        <v>0</v>
      </c>
      <c r="M83" s="459">
        <f>+'ต.ค.-ธ.ค.'!M84+'ม.ค.-มี.ค.'!M83+'เม.ย.-มิ.ย.'!M83+'ก.ค.-ก.ย.'!M83</f>
        <v>0</v>
      </c>
      <c r="N83" s="459">
        <f>+'ต.ค.-ธ.ค.'!N84+'ม.ค.-มี.ค.'!N83+'เม.ย.-มิ.ย.'!N83+'ก.ค.-ก.ย.'!N83</f>
        <v>0</v>
      </c>
      <c r="O83" s="459">
        <f>+'ต.ค.-ธ.ค.'!O84+'ม.ค.-มี.ค.'!O83+'เม.ย.-มิ.ย.'!O83+'ก.ค.-ก.ย.'!O83</f>
        <v>0</v>
      </c>
      <c r="P83" s="459">
        <f>+'ต.ค.-ธ.ค.'!P84+'ม.ค.-มี.ค.'!P83+'เม.ย.-มิ.ย.'!P83+'ก.ค.-ก.ย.'!P83</f>
        <v>0</v>
      </c>
      <c r="Q83" s="459">
        <f>+'ต.ค.-ธ.ค.'!Q84+'ม.ค.-มี.ค.'!Q83+'เม.ย.-มิ.ย.'!Q83+'ก.ค.-ก.ย.'!Q83</f>
        <v>0</v>
      </c>
      <c r="R83" s="459">
        <f>+'ต.ค.-ธ.ค.'!R84+'ม.ค.-มี.ค.'!R83+'เม.ย.-มิ.ย.'!R83+'ก.ค.-ก.ย.'!R83</f>
        <v>0</v>
      </c>
      <c r="S83" s="459">
        <f>+'ต.ค.-ธ.ค.'!S84+'ม.ค.-มี.ค.'!S83+'เม.ย.-มิ.ย.'!S83+'ก.ค.-ก.ย.'!S83</f>
        <v>0</v>
      </c>
      <c r="T83" s="459">
        <f>+'ต.ค.-ธ.ค.'!T84+'ม.ค.-มี.ค.'!T83+'เม.ย.-มิ.ย.'!T83+'ก.ค.-ก.ย.'!T83</f>
        <v>0</v>
      </c>
      <c r="U83" s="459">
        <f>+'ต.ค.-ธ.ค.'!U84+'ม.ค.-มี.ค.'!U83+'เม.ย.-มิ.ย.'!U83+'ก.ค.-ก.ย.'!U83</f>
        <v>0</v>
      </c>
      <c r="V83" s="459">
        <f>+'ต.ค.-ธ.ค.'!V84+'ม.ค.-มี.ค.'!V83+'เม.ย.-มิ.ย.'!V83+'ก.ค.-ก.ย.'!V83</f>
        <v>0</v>
      </c>
      <c r="W83" s="579"/>
      <c r="X83" s="364"/>
    </row>
    <row r="84" spans="1:24" s="310" customFormat="1" ht="25.5" customHeight="1">
      <c r="A84" s="9"/>
      <c r="B84" s="187" t="s">
        <v>297</v>
      </c>
      <c r="C84" s="419">
        <v>20000</v>
      </c>
      <c r="D84" s="450"/>
      <c r="E84" s="459">
        <f>+'ต.ค.-ธ.ค.'!E85+'ม.ค.-มี.ค.'!E84+'เม.ย.-มิ.ย.'!E84+'ก.ค.-ก.ย.'!E84</f>
        <v>0</v>
      </c>
      <c r="F84" s="459">
        <f>+'ต.ค.-ธ.ค.'!F85+'ม.ค.-มี.ค.'!F84+'เม.ย.-มิ.ย.'!F84+'ก.ค.-ก.ย.'!F84</f>
        <v>0</v>
      </c>
      <c r="G84" s="459">
        <f>+'ต.ค.-ธ.ค.'!G85+'ม.ค.-มี.ค.'!G84+'เม.ย.-มิ.ย.'!G84+'ก.ค.-ก.ย.'!G84</f>
        <v>0</v>
      </c>
      <c r="H84" s="459">
        <f>+'ต.ค.-ธ.ค.'!H85+'ม.ค.-มี.ค.'!H84+'เม.ย.-มิ.ย.'!H84+'ก.ค.-ก.ย.'!H84</f>
        <v>0</v>
      </c>
      <c r="I84" s="459">
        <f>+'ต.ค.-ธ.ค.'!I85+'ม.ค.-มี.ค.'!I84+'เม.ย.-มิ.ย.'!I84+'ก.ค.-ก.ย.'!I84</f>
        <v>0</v>
      </c>
      <c r="J84" s="459">
        <f>+'ต.ค.-ธ.ค.'!J85+'ม.ค.-มี.ค.'!J84+'เม.ย.-มิ.ย.'!J84+'ก.ค.-ก.ย.'!J84</f>
        <v>0</v>
      </c>
      <c r="K84" s="459">
        <f>+'ต.ค.-ธ.ค.'!K85+'ม.ค.-มี.ค.'!K84+'เม.ย.-มิ.ย.'!K84+'ก.ค.-ก.ย.'!K84</f>
        <v>0</v>
      </c>
      <c r="L84" s="459">
        <f>+'ต.ค.-ธ.ค.'!L85+'ม.ค.-มี.ค.'!L84+'เม.ย.-มิ.ย.'!L84+'ก.ค.-ก.ย.'!L84</f>
        <v>0</v>
      </c>
      <c r="M84" s="459">
        <f>+'ต.ค.-ธ.ค.'!M85+'ม.ค.-มี.ค.'!M84+'เม.ย.-มิ.ย.'!M84+'ก.ค.-ก.ย.'!M84</f>
        <v>0</v>
      </c>
      <c r="N84" s="459">
        <f>+'ต.ค.-ธ.ค.'!N85+'ม.ค.-มี.ค.'!N84+'เม.ย.-มิ.ย.'!N84+'ก.ค.-ก.ย.'!N84</f>
        <v>0</v>
      </c>
      <c r="O84" s="459">
        <f>+'ต.ค.-ธ.ค.'!O85+'ม.ค.-มี.ค.'!O84+'เม.ย.-มิ.ย.'!O84+'ก.ค.-ก.ย.'!O84</f>
        <v>0</v>
      </c>
      <c r="P84" s="459">
        <f>+'ต.ค.-ธ.ค.'!P85+'ม.ค.-มี.ค.'!P84+'เม.ย.-มิ.ย.'!P84+'ก.ค.-ก.ย.'!P84</f>
        <v>0</v>
      </c>
      <c r="Q84" s="459">
        <f>+'ต.ค.-ธ.ค.'!Q85+'ม.ค.-มี.ค.'!Q84+'เม.ย.-มิ.ย.'!Q84+'ก.ค.-ก.ย.'!Q84</f>
        <v>0</v>
      </c>
      <c r="R84" s="459">
        <f>+'ต.ค.-ธ.ค.'!R85+'ม.ค.-มี.ค.'!R84+'เม.ย.-มิ.ย.'!R84+'ก.ค.-ก.ย.'!R84</f>
        <v>0</v>
      </c>
      <c r="S84" s="459">
        <f>+'ต.ค.-ธ.ค.'!S85+'ม.ค.-มี.ค.'!S84+'เม.ย.-มิ.ย.'!S84+'ก.ค.-ก.ย.'!S84</f>
        <v>0</v>
      </c>
      <c r="T84" s="459">
        <f>+'ต.ค.-ธ.ค.'!T85+'ม.ค.-มี.ค.'!T84+'เม.ย.-มิ.ย.'!T84+'ก.ค.-ก.ย.'!T84</f>
        <v>0</v>
      </c>
      <c r="U84" s="459">
        <f>+'ต.ค.-ธ.ค.'!U85+'ม.ค.-มี.ค.'!U84+'เม.ย.-มิ.ย.'!U84+'ก.ค.-ก.ย.'!U84</f>
        <v>0</v>
      </c>
      <c r="V84" s="459">
        <f>+'ต.ค.-ธ.ค.'!V85+'ม.ค.-มี.ค.'!V84+'เม.ย.-มิ.ย.'!V84+'ก.ค.-ก.ย.'!V84</f>
        <v>0</v>
      </c>
      <c r="W84" s="579"/>
      <c r="X84" s="364"/>
    </row>
    <row r="85" spans="1:24" s="310" customFormat="1" ht="25.5" customHeight="1">
      <c r="A85" s="9"/>
      <c r="B85" s="187" t="s">
        <v>298</v>
      </c>
      <c r="C85" s="419">
        <v>20000</v>
      </c>
      <c r="D85" s="450"/>
      <c r="E85" s="459">
        <f>+'ต.ค.-ธ.ค.'!E86+'ม.ค.-มี.ค.'!E85+'เม.ย.-มิ.ย.'!E85+'ก.ค.-ก.ย.'!E85</f>
        <v>0</v>
      </c>
      <c r="F85" s="459">
        <f>+'ต.ค.-ธ.ค.'!F86+'ม.ค.-มี.ค.'!F85+'เม.ย.-มิ.ย.'!F85+'ก.ค.-ก.ย.'!F85</f>
        <v>0</v>
      </c>
      <c r="G85" s="459">
        <f>+'ต.ค.-ธ.ค.'!G86+'ม.ค.-มี.ค.'!G85+'เม.ย.-มิ.ย.'!G85+'ก.ค.-ก.ย.'!G85</f>
        <v>9825</v>
      </c>
      <c r="H85" s="459">
        <f>+'ต.ค.-ธ.ค.'!H86+'ม.ค.-มี.ค.'!H85+'เม.ย.-มิ.ย.'!H85+'ก.ค.-ก.ย.'!H85</f>
        <v>0</v>
      </c>
      <c r="I85" s="459">
        <f>+'ต.ค.-ธ.ค.'!I86+'ม.ค.-มี.ค.'!I85+'เม.ย.-มิ.ย.'!I85+'ก.ค.-ก.ย.'!I85</f>
        <v>0</v>
      </c>
      <c r="J85" s="459">
        <f>+'ต.ค.-ธ.ค.'!J86+'ม.ค.-มี.ค.'!J85+'เม.ย.-มิ.ย.'!J85+'ก.ค.-ก.ย.'!J85</f>
        <v>0</v>
      </c>
      <c r="K85" s="459">
        <f>+'ต.ค.-ธ.ค.'!K86+'ม.ค.-มี.ค.'!K85+'เม.ย.-มิ.ย.'!K85+'ก.ค.-ก.ย.'!K85</f>
        <v>0</v>
      </c>
      <c r="L85" s="459">
        <f>+'ต.ค.-ธ.ค.'!L86+'ม.ค.-มี.ค.'!L85+'เม.ย.-มิ.ย.'!L85+'ก.ค.-ก.ย.'!L85</f>
        <v>0</v>
      </c>
      <c r="M85" s="459">
        <f>+'ต.ค.-ธ.ค.'!M86+'ม.ค.-มี.ค.'!M85+'เม.ย.-มิ.ย.'!M85+'ก.ค.-ก.ย.'!M85</f>
        <v>0</v>
      </c>
      <c r="N85" s="459">
        <f>+'ต.ค.-ธ.ค.'!N86+'ม.ค.-มี.ค.'!N85+'เม.ย.-มิ.ย.'!N85+'ก.ค.-ก.ย.'!N85</f>
        <v>0</v>
      </c>
      <c r="O85" s="459">
        <f>+'ต.ค.-ธ.ค.'!O86+'ม.ค.-มี.ค.'!O85+'เม.ย.-มิ.ย.'!O85+'ก.ค.-ก.ย.'!O85</f>
        <v>0</v>
      </c>
      <c r="P85" s="459">
        <f>+'ต.ค.-ธ.ค.'!P86+'ม.ค.-มี.ค.'!P85+'เม.ย.-มิ.ย.'!P85+'ก.ค.-ก.ย.'!P85</f>
        <v>0</v>
      </c>
      <c r="Q85" s="459">
        <f>+'ต.ค.-ธ.ค.'!Q86+'ม.ค.-มี.ค.'!Q85+'เม.ย.-มิ.ย.'!Q85+'ก.ค.-ก.ย.'!Q85</f>
        <v>0</v>
      </c>
      <c r="R85" s="459">
        <f>+'ต.ค.-ธ.ค.'!R86+'ม.ค.-มี.ค.'!R85+'เม.ย.-มิ.ย.'!R85+'ก.ค.-ก.ย.'!R85</f>
        <v>0</v>
      </c>
      <c r="S85" s="459">
        <f>+'ต.ค.-ธ.ค.'!S86+'ม.ค.-มี.ค.'!S85+'เม.ย.-มิ.ย.'!S85+'ก.ค.-ก.ย.'!S85</f>
        <v>0</v>
      </c>
      <c r="T85" s="459">
        <f>+'ต.ค.-ธ.ค.'!T86+'ม.ค.-มี.ค.'!T85+'เม.ย.-มิ.ย.'!T85+'ก.ค.-ก.ย.'!T85</f>
        <v>0</v>
      </c>
      <c r="U85" s="459">
        <f>+'ต.ค.-ธ.ค.'!U86+'ม.ค.-มี.ค.'!U85+'เม.ย.-มิ.ย.'!U85+'ก.ค.-ก.ย.'!U85</f>
        <v>0</v>
      </c>
      <c r="V85" s="459">
        <f>+'ต.ค.-ธ.ค.'!V86+'ม.ค.-มี.ค.'!V85+'เม.ย.-มิ.ย.'!V85+'ก.ค.-ก.ย.'!V85</f>
        <v>0</v>
      </c>
      <c r="W85" s="579"/>
      <c r="X85" s="364"/>
    </row>
    <row r="86" spans="1:24" s="310" customFormat="1" ht="25.5" customHeight="1">
      <c r="A86" s="9"/>
      <c r="B86" s="187" t="s">
        <v>299</v>
      </c>
      <c r="C86" s="419">
        <v>15000</v>
      </c>
      <c r="D86" s="450"/>
      <c r="E86" s="459">
        <f>+'ต.ค.-ธ.ค.'!E87+'ม.ค.-มี.ค.'!E86+'เม.ย.-มิ.ย.'!E86+'ก.ค.-ก.ย.'!E86</f>
        <v>0</v>
      </c>
      <c r="F86" s="459">
        <f>+'ต.ค.-ธ.ค.'!F87+'ม.ค.-มี.ค.'!F86+'เม.ย.-มิ.ย.'!F86+'ก.ค.-ก.ย.'!F86</f>
        <v>0</v>
      </c>
      <c r="G86" s="459">
        <f>+'ต.ค.-ธ.ค.'!G87+'ม.ค.-มี.ค.'!G86+'เม.ย.-มิ.ย.'!G86+'ก.ค.-ก.ย.'!G86</f>
        <v>0</v>
      </c>
      <c r="H86" s="459">
        <f>+'ต.ค.-ธ.ค.'!H87+'ม.ค.-มี.ค.'!H86+'เม.ย.-มิ.ย.'!H86+'ก.ค.-ก.ย.'!H86</f>
        <v>15000</v>
      </c>
      <c r="I86" s="459">
        <f>+'ต.ค.-ธ.ค.'!I87+'ม.ค.-มี.ค.'!I86+'เม.ย.-มิ.ย.'!I86+'ก.ค.-ก.ย.'!I86</f>
        <v>0</v>
      </c>
      <c r="J86" s="459">
        <f>+'ต.ค.-ธ.ค.'!J87+'ม.ค.-มี.ค.'!J86+'เม.ย.-มิ.ย.'!J86+'ก.ค.-ก.ย.'!J86</f>
        <v>0</v>
      </c>
      <c r="K86" s="459">
        <f>+'ต.ค.-ธ.ค.'!K87+'ม.ค.-มี.ค.'!K86+'เม.ย.-มิ.ย.'!K86+'ก.ค.-ก.ย.'!K86</f>
        <v>0</v>
      </c>
      <c r="L86" s="459">
        <f>+'ต.ค.-ธ.ค.'!L87+'ม.ค.-มี.ค.'!L86+'เม.ย.-มิ.ย.'!L86+'ก.ค.-ก.ย.'!L86</f>
        <v>0</v>
      </c>
      <c r="M86" s="459">
        <f>+'ต.ค.-ธ.ค.'!M87+'ม.ค.-มี.ค.'!M86+'เม.ย.-มิ.ย.'!M86+'ก.ค.-ก.ย.'!M86</f>
        <v>0</v>
      </c>
      <c r="N86" s="459">
        <f>+'ต.ค.-ธ.ค.'!N87+'ม.ค.-มี.ค.'!N86+'เม.ย.-มิ.ย.'!N86+'ก.ค.-ก.ย.'!N86</f>
        <v>0</v>
      </c>
      <c r="O86" s="459">
        <f>+'ต.ค.-ธ.ค.'!O87+'ม.ค.-มี.ค.'!O86+'เม.ย.-มิ.ย.'!O86+'ก.ค.-ก.ย.'!O86</f>
        <v>0</v>
      </c>
      <c r="P86" s="459">
        <f>+'ต.ค.-ธ.ค.'!P87+'ม.ค.-มี.ค.'!P86+'เม.ย.-มิ.ย.'!P86+'ก.ค.-ก.ย.'!P86</f>
        <v>0</v>
      </c>
      <c r="Q86" s="459">
        <f>+'ต.ค.-ธ.ค.'!Q87+'ม.ค.-มี.ค.'!Q86+'เม.ย.-มิ.ย.'!Q86+'ก.ค.-ก.ย.'!Q86</f>
        <v>0</v>
      </c>
      <c r="R86" s="459">
        <f>+'ต.ค.-ธ.ค.'!R87+'ม.ค.-มี.ค.'!R86+'เม.ย.-มิ.ย.'!R86+'ก.ค.-ก.ย.'!R86</f>
        <v>0</v>
      </c>
      <c r="S86" s="459">
        <f>+'ต.ค.-ธ.ค.'!S87+'ม.ค.-มี.ค.'!S86+'เม.ย.-มิ.ย.'!S86+'ก.ค.-ก.ย.'!S86</f>
        <v>0</v>
      </c>
      <c r="T86" s="459">
        <f>+'ต.ค.-ธ.ค.'!T87+'ม.ค.-มี.ค.'!T86+'เม.ย.-มิ.ย.'!T86+'ก.ค.-ก.ย.'!T86</f>
        <v>0</v>
      </c>
      <c r="U86" s="459">
        <f>+'ต.ค.-ธ.ค.'!U87+'ม.ค.-มี.ค.'!U86+'เม.ย.-มิ.ย.'!U86+'ก.ค.-ก.ย.'!U86</f>
        <v>0</v>
      </c>
      <c r="V86" s="459">
        <f>+'ต.ค.-ธ.ค.'!V87+'ม.ค.-มี.ค.'!V86+'เม.ย.-มิ.ย.'!V86+'ก.ค.-ก.ย.'!V86</f>
        <v>0</v>
      </c>
      <c r="W86" s="579"/>
      <c r="X86" s="364"/>
    </row>
    <row r="87" spans="1:24" s="310" customFormat="1" ht="25.5" customHeight="1">
      <c r="A87" s="9"/>
      <c r="B87" s="187" t="s">
        <v>300</v>
      </c>
      <c r="C87" s="419">
        <v>10000</v>
      </c>
      <c r="D87" s="450"/>
      <c r="E87" s="459">
        <f>+'ต.ค.-ธ.ค.'!E88+'ม.ค.-มี.ค.'!E87+'เม.ย.-มิ.ย.'!E87+'ก.ค.-ก.ย.'!E87</f>
        <v>0</v>
      </c>
      <c r="F87" s="459">
        <f>+'ต.ค.-ธ.ค.'!F88+'ม.ค.-มี.ค.'!F87+'เม.ย.-มิ.ย.'!F87+'ก.ค.-ก.ย.'!F87</f>
        <v>0</v>
      </c>
      <c r="G87" s="459">
        <f>+'ต.ค.-ธ.ค.'!G88+'ม.ค.-มี.ค.'!G87+'เม.ย.-มิ.ย.'!G87+'ก.ค.-ก.ย.'!G87</f>
        <v>0</v>
      </c>
      <c r="H87" s="459">
        <f>+'ต.ค.-ธ.ค.'!H88+'ม.ค.-มี.ค.'!H87+'เม.ย.-มิ.ย.'!H87+'ก.ค.-ก.ย.'!H87</f>
        <v>10000</v>
      </c>
      <c r="I87" s="459">
        <f>+'ต.ค.-ธ.ค.'!I88+'ม.ค.-มี.ค.'!I87+'เม.ย.-มิ.ย.'!I87+'ก.ค.-ก.ย.'!I87</f>
        <v>0</v>
      </c>
      <c r="J87" s="459">
        <f>+'ต.ค.-ธ.ค.'!J88+'ม.ค.-มี.ค.'!J87+'เม.ย.-มิ.ย.'!J87+'ก.ค.-ก.ย.'!J87</f>
        <v>0</v>
      </c>
      <c r="K87" s="459">
        <f>+'ต.ค.-ธ.ค.'!K88+'ม.ค.-มี.ค.'!K87+'เม.ย.-มิ.ย.'!K87+'ก.ค.-ก.ย.'!K87</f>
        <v>0</v>
      </c>
      <c r="L87" s="459">
        <f>+'ต.ค.-ธ.ค.'!L88+'ม.ค.-มี.ค.'!L87+'เม.ย.-มิ.ย.'!L87+'ก.ค.-ก.ย.'!L87</f>
        <v>0</v>
      </c>
      <c r="M87" s="459">
        <f>+'ต.ค.-ธ.ค.'!M88+'ม.ค.-มี.ค.'!M87+'เม.ย.-มิ.ย.'!M87+'ก.ค.-ก.ย.'!M87</f>
        <v>0</v>
      </c>
      <c r="N87" s="459">
        <f>+'ต.ค.-ธ.ค.'!N88+'ม.ค.-มี.ค.'!N87+'เม.ย.-มิ.ย.'!N87+'ก.ค.-ก.ย.'!N87</f>
        <v>0</v>
      </c>
      <c r="O87" s="459">
        <f>+'ต.ค.-ธ.ค.'!O88+'ม.ค.-มี.ค.'!O87+'เม.ย.-มิ.ย.'!O87+'ก.ค.-ก.ย.'!O87</f>
        <v>0</v>
      </c>
      <c r="P87" s="459">
        <f>+'ต.ค.-ธ.ค.'!P88+'ม.ค.-มี.ค.'!P87+'เม.ย.-มิ.ย.'!P87+'ก.ค.-ก.ย.'!P87</f>
        <v>0</v>
      </c>
      <c r="Q87" s="459">
        <f>+'ต.ค.-ธ.ค.'!Q88+'ม.ค.-มี.ค.'!Q87+'เม.ย.-มิ.ย.'!Q87+'ก.ค.-ก.ย.'!Q87</f>
        <v>0</v>
      </c>
      <c r="R87" s="459">
        <f>+'ต.ค.-ธ.ค.'!R88+'ม.ค.-มี.ค.'!R87+'เม.ย.-มิ.ย.'!R87+'ก.ค.-ก.ย.'!R87</f>
        <v>0</v>
      </c>
      <c r="S87" s="459">
        <f>+'ต.ค.-ธ.ค.'!S88+'ม.ค.-มี.ค.'!S87+'เม.ย.-มิ.ย.'!S87+'ก.ค.-ก.ย.'!S87</f>
        <v>0</v>
      </c>
      <c r="T87" s="459">
        <f>+'ต.ค.-ธ.ค.'!T88+'ม.ค.-มี.ค.'!T87+'เม.ย.-มิ.ย.'!T87+'ก.ค.-ก.ย.'!T87</f>
        <v>0</v>
      </c>
      <c r="U87" s="459">
        <f>+'ต.ค.-ธ.ค.'!U88+'ม.ค.-มี.ค.'!U87+'เม.ย.-มิ.ย.'!U87+'ก.ค.-ก.ย.'!U87</f>
        <v>0</v>
      </c>
      <c r="V87" s="459">
        <f>+'ต.ค.-ธ.ค.'!V88+'ม.ค.-มี.ค.'!V87+'เม.ย.-มิ.ย.'!V87+'ก.ค.-ก.ย.'!V87</f>
        <v>0</v>
      </c>
      <c r="W87" s="579"/>
      <c r="X87" s="364"/>
    </row>
    <row r="88" spans="1:24" s="310" customFormat="1" ht="25.5" customHeight="1">
      <c r="A88" s="9"/>
      <c r="B88" s="187" t="s">
        <v>301</v>
      </c>
      <c r="C88" s="419">
        <v>345100</v>
      </c>
      <c r="D88" s="450"/>
      <c r="E88" s="459">
        <f>+'ต.ค.-ธ.ค.'!E89+'ม.ค.-มี.ค.'!E88+'เม.ย.-มิ.ย.'!E88+'ก.ค.-ก.ย.'!E88</f>
        <v>0</v>
      </c>
      <c r="F88" s="459">
        <f>+'ต.ค.-ธ.ค.'!F89+'ม.ค.-มี.ค.'!F88+'เม.ย.-มิ.ย.'!F88+'ก.ค.-ก.ย.'!F88</f>
        <v>0</v>
      </c>
      <c r="G88" s="459">
        <f>+'ต.ค.-ธ.ค.'!G89+'ม.ค.-มี.ค.'!G88+'เม.ย.-มิ.ย.'!G88+'ก.ค.-ก.ย.'!G88</f>
        <v>0</v>
      </c>
      <c r="H88" s="459">
        <f>+'ต.ค.-ธ.ค.'!H89+'ม.ค.-มี.ค.'!H88+'เม.ย.-มิ.ย.'!H88+'ก.ค.-ก.ย.'!H88</f>
        <v>345100</v>
      </c>
      <c r="I88" s="459">
        <f>+'ต.ค.-ธ.ค.'!I89+'ม.ค.-มี.ค.'!I88+'เม.ย.-มิ.ย.'!I88+'ก.ค.-ก.ย.'!I88</f>
        <v>0</v>
      </c>
      <c r="J88" s="459">
        <f>+'ต.ค.-ธ.ค.'!J89+'ม.ค.-มี.ค.'!J88+'เม.ย.-มิ.ย.'!J88+'ก.ค.-ก.ย.'!J88</f>
        <v>0</v>
      </c>
      <c r="K88" s="459">
        <f>+'ต.ค.-ธ.ค.'!K89+'ม.ค.-มี.ค.'!K88+'เม.ย.-มิ.ย.'!K88+'ก.ค.-ก.ย.'!K88</f>
        <v>0</v>
      </c>
      <c r="L88" s="459">
        <f>+'ต.ค.-ธ.ค.'!L89+'ม.ค.-มี.ค.'!L88+'เม.ย.-มิ.ย.'!L88+'ก.ค.-ก.ย.'!L88</f>
        <v>0</v>
      </c>
      <c r="M88" s="459">
        <f>+'ต.ค.-ธ.ค.'!M89+'ม.ค.-มี.ค.'!M88+'เม.ย.-มิ.ย.'!M88+'ก.ค.-ก.ย.'!M88</f>
        <v>0</v>
      </c>
      <c r="N88" s="459">
        <f>+'ต.ค.-ธ.ค.'!N89+'ม.ค.-มี.ค.'!N88+'เม.ย.-มิ.ย.'!N88+'ก.ค.-ก.ย.'!N88</f>
        <v>0</v>
      </c>
      <c r="O88" s="459">
        <f>+'ต.ค.-ธ.ค.'!O89+'ม.ค.-มี.ค.'!O88+'เม.ย.-มิ.ย.'!O88+'ก.ค.-ก.ย.'!O88</f>
        <v>0</v>
      </c>
      <c r="P88" s="459">
        <f>+'ต.ค.-ธ.ค.'!P89+'ม.ค.-มี.ค.'!P88+'เม.ย.-มิ.ย.'!P88+'ก.ค.-ก.ย.'!P88</f>
        <v>0</v>
      </c>
      <c r="Q88" s="459">
        <f>+'ต.ค.-ธ.ค.'!Q89+'ม.ค.-มี.ค.'!Q88+'เม.ย.-มิ.ย.'!Q88+'ก.ค.-ก.ย.'!Q88</f>
        <v>0</v>
      </c>
      <c r="R88" s="459">
        <f>+'ต.ค.-ธ.ค.'!R89+'ม.ค.-มี.ค.'!R88+'เม.ย.-มิ.ย.'!R88+'ก.ค.-ก.ย.'!R88</f>
        <v>0</v>
      </c>
      <c r="S88" s="459">
        <f>+'ต.ค.-ธ.ค.'!S89+'ม.ค.-มี.ค.'!S88+'เม.ย.-มิ.ย.'!S88+'ก.ค.-ก.ย.'!S88</f>
        <v>0</v>
      </c>
      <c r="T88" s="459">
        <f>+'ต.ค.-ธ.ค.'!T89+'ม.ค.-มี.ค.'!T88+'เม.ย.-มิ.ย.'!T88+'ก.ค.-ก.ย.'!T88</f>
        <v>0</v>
      </c>
      <c r="U88" s="459">
        <f>+'ต.ค.-ธ.ค.'!U89+'ม.ค.-มี.ค.'!U88+'เม.ย.-มิ.ย.'!U88+'ก.ค.-ก.ย.'!U88</f>
        <v>0</v>
      </c>
      <c r="V88" s="459">
        <f>+'ต.ค.-ธ.ค.'!V89+'ม.ค.-มี.ค.'!V88+'เม.ย.-มิ.ย.'!V88+'ก.ค.-ก.ย.'!V88</f>
        <v>0</v>
      </c>
      <c r="W88" s="579"/>
      <c r="X88" s="364"/>
    </row>
    <row r="89" spans="1:24" s="310" customFormat="1" ht="25.5" customHeight="1">
      <c r="A89" s="9"/>
      <c r="B89" s="187" t="s">
        <v>242</v>
      </c>
      <c r="C89" s="419">
        <v>40000</v>
      </c>
      <c r="D89" s="450"/>
      <c r="E89" s="459">
        <f>+'ต.ค.-ธ.ค.'!E90+'ม.ค.-มี.ค.'!E89+'เม.ย.-มิ.ย.'!E89+'ก.ค.-ก.ย.'!E89</f>
        <v>0</v>
      </c>
      <c r="F89" s="459">
        <f>+'ต.ค.-ธ.ค.'!F90+'ม.ค.-มี.ค.'!F89+'เม.ย.-มิ.ย.'!F89+'ก.ค.-ก.ย.'!F89</f>
        <v>0</v>
      </c>
      <c r="G89" s="459">
        <f>+'ต.ค.-ธ.ค.'!G90+'ม.ค.-มี.ค.'!G89+'เม.ย.-มิ.ย.'!G89+'ก.ค.-ก.ย.'!G89</f>
        <v>0</v>
      </c>
      <c r="H89" s="459">
        <f>+'ต.ค.-ธ.ค.'!H90+'ม.ค.-มี.ค.'!H89+'เม.ย.-มิ.ย.'!H89+'ก.ค.-ก.ย.'!H89</f>
        <v>0</v>
      </c>
      <c r="I89" s="459">
        <f>+'ต.ค.-ธ.ค.'!I90+'ม.ค.-มี.ค.'!I89+'เม.ย.-มิ.ย.'!I89+'ก.ค.-ก.ย.'!I89</f>
        <v>40000</v>
      </c>
      <c r="J89" s="459">
        <f>+'ต.ค.-ธ.ค.'!J90+'ม.ค.-มี.ค.'!J89+'เม.ย.-มิ.ย.'!J89+'ก.ค.-ก.ย.'!J89</f>
        <v>0</v>
      </c>
      <c r="K89" s="459">
        <f>+'ต.ค.-ธ.ค.'!K90+'ม.ค.-มี.ค.'!K89+'เม.ย.-มิ.ย.'!K89+'ก.ค.-ก.ย.'!K89</f>
        <v>0</v>
      </c>
      <c r="L89" s="459">
        <f>+'ต.ค.-ธ.ค.'!L90+'ม.ค.-มี.ค.'!L89+'เม.ย.-มิ.ย.'!L89+'ก.ค.-ก.ย.'!L89</f>
        <v>0</v>
      </c>
      <c r="M89" s="459">
        <f>+'ต.ค.-ธ.ค.'!M90+'ม.ค.-มี.ค.'!M89+'เม.ย.-มิ.ย.'!M89+'ก.ค.-ก.ย.'!M89</f>
        <v>0</v>
      </c>
      <c r="N89" s="459">
        <f>+'ต.ค.-ธ.ค.'!N90+'ม.ค.-มี.ค.'!N89+'เม.ย.-มิ.ย.'!N89+'ก.ค.-ก.ย.'!N89</f>
        <v>0</v>
      </c>
      <c r="O89" s="459">
        <f>+'ต.ค.-ธ.ค.'!O90+'ม.ค.-มี.ค.'!O89+'เม.ย.-มิ.ย.'!O89+'ก.ค.-ก.ย.'!O89</f>
        <v>0</v>
      </c>
      <c r="P89" s="459">
        <f>+'ต.ค.-ธ.ค.'!P90+'ม.ค.-มี.ค.'!P89+'เม.ย.-มิ.ย.'!P89+'ก.ค.-ก.ย.'!P89</f>
        <v>0</v>
      </c>
      <c r="Q89" s="459">
        <f>+'ต.ค.-ธ.ค.'!Q90+'ม.ค.-มี.ค.'!Q89+'เม.ย.-มิ.ย.'!Q89+'ก.ค.-ก.ย.'!Q89</f>
        <v>0</v>
      </c>
      <c r="R89" s="459">
        <f>+'ต.ค.-ธ.ค.'!R90+'ม.ค.-มี.ค.'!R89+'เม.ย.-มิ.ย.'!R89+'ก.ค.-ก.ย.'!R89</f>
        <v>0</v>
      </c>
      <c r="S89" s="459">
        <f>+'ต.ค.-ธ.ค.'!S90+'ม.ค.-มี.ค.'!S89+'เม.ย.-มิ.ย.'!S89+'ก.ค.-ก.ย.'!S89</f>
        <v>0</v>
      </c>
      <c r="T89" s="459">
        <f>+'ต.ค.-ธ.ค.'!T90+'ม.ค.-มี.ค.'!T89+'เม.ย.-มิ.ย.'!T89+'ก.ค.-ก.ย.'!T89</f>
        <v>0</v>
      </c>
      <c r="U89" s="459">
        <f>+'ต.ค.-ธ.ค.'!U90+'ม.ค.-มี.ค.'!U89+'เม.ย.-มิ.ย.'!U89+'ก.ค.-ก.ย.'!U89</f>
        <v>0</v>
      </c>
      <c r="V89" s="459">
        <f>+'ต.ค.-ธ.ค.'!V90+'ม.ค.-มี.ค.'!V89+'เม.ย.-มิ.ย.'!V89+'ก.ค.-ก.ย.'!V89</f>
        <v>0</v>
      </c>
      <c r="W89" s="579"/>
      <c r="X89" s="364"/>
    </row>
    <row r="90" spans="1:24" s="310" customFormat="1" ht="25.5" customHeight="1">
      <c r="A90" s="9"/>
      <c r="B90" s="187" t="s">
        <v>307</v>
      </c>
      <c r="C90" s="419">
        <f>10000-10000</f>
        <v>0</v>
      </c>
      <c r="D90" s="442"/>
      <c r="E90" s="459">
        <f>+'ต.ค.-ธ.ค.'!E91+'ม.ค.-มี.ค.'!E90+'เม.ย.-มิ.ย.'!E90+'ก.ค.-ก.ย.'!E90</f>
        <v>0</v>
      </c>
      <c r="F90" s="459">
        <f>+'ต.ค.-ธ.ค.'!F91+'ม.ค.-มี.ค.'!F90+'เม.ย.-มิ.ย.'!F90+'ก.ค.-ก.ย.'!F90</f>
        <v>0</v>
      </c>
      <c r="G90" s="459">
        <f>+'ต.ค.-ธ.ค.'!G91+'ม.ค.-มี.ค.'!G90+'เม.ย.-มิ.ย.'!G90+'ก.ค.-ก.ย.'!G90</f>
        <v>0</v>
      </c>
      <c r="H90" s="459">
        <f>+'ต.ค.-ธ.ค.'!H91+'ม.ค.-มี.ค.'!H90+'เม.ย.-มิ.ย.'!H90+'ก.ค.-ก.ย.'!H90</f>
        <v>0</v>
      </c>
      <c r="I90" s="459">
        <f>+'ต.ค.-ธ.ค.'!I91+'ม.ค.-มี.ค.'!I90+'เม.ย.-มิ.ย.'!I90+'ก.ค.-ก.ย.'!I90</f>
        <v>0</v>
      </c>
      <c r="J90" s="459">
        <f>+'ต.ค.-ธ.ค.'!J91+'ม.ค.-มี.ค.'!J90+'เม.ย.-มิ.ย.'!J90+'ก.ค.-ก.ย.'!J90</f>
        <v>0</v>
      </c>
      <c r="K90" s="459">
        <f>+'ต.ค.-ธ.ค.'!K91+'ม.ค.-มี.ค.'!K90+'เม.ย.-มิ.ย.'!K90+'ก.ค.-ก.ย.'!K90</f>
        <v>0</v>
      </c>
      <c r="L90" s="459">
        <f>+'ต.ค.-ธ.ค.'!L91+'ม.ค.-มี.ค.'!L90+'เม.ย.-มิ.ย.'!L90+'ก.ค.-ก.ย.'!L90</f>
        <v>0</v>
      </c>
      <c r="M90" s="459">
        <f>+'ต.ค.-ธ.ค.'!M91+'ม.ค.-มี.ค.'!M90+'เม.ย.-มิ.ย.'!M90+'ก.ค.-ก.ย.'!M90</f>
        <v>0</v>
      </c>
      <c r="N90" s="459">
        <f>+'ต.ค.-ธ.ค.'!N91+'ม.ค.-มี.ค.'!N90+'เม.ย.-มิ.ย.'!N90+'ก.ค.-ก.ย.'!N90</f>
        <v>0</v>
      </c>
      <c r="O90" s="459">
        <f>+'ต.ค.-ธ.ค.'!O91+'ม.ค.-มี.ค.'!O90+'เม.ย.-มิ.ย.'!O90+'ก.ค.-ก.ย.'!O90</f>
        <v>0</v>
      </c>
      <c r="P90" s="459">
        <f>+'ต.ค.-ธ.ค.'!P91+'ม.ค.-มี.ค.'!P90+'เม.ย.-มิ.ย.'!P90+'ก.ค.-ก.ย.'!P90</f>
        <v>0</v>
      </c>
      <c r="Q90" s="459">
        <f>+'ต.ค.-ธ.ค.'!Q91+'ม.ค.-มี.ค.'!Q90+'เม.ย.-มิ.ย.'!Q90+'ก.ค.-ก.ย.'!Q90</f>
        <v>0</v>
      </c>
      <c r="R90" s="459">
        <f>+'ต.ค.-ธ.ค.'!R91+'ม.ค.-มี.ค.'!R90+'เม.ย.-มิ.ย.'!R90+'ก.ค.-ก.ย.'!R90</f>
        <v>0</v>
      </c>
      <c r="S90" s="459">
        <f>+'ต.ค.-ธ.ค.'!S91+'ม.ค.-มี.ค.'!S90+'เม.ย.-มิ.ย.'!S90+'ก.ค.-ก.ย.'!S90</f>
        <v>0</v>
      </c>
      <c r="T90" s="459">
        <f>+'ต.ค.-ธ.ค.'!T91+'ม.ค.-มี.ค.'!T90+'เม.ย.-มิ.ย.'!T90+'ก.ค.-ก.ย.'!T90</f>
        <v>0</v>
      </c>
      <c r="U90" s="459">
        <f>+'ต.ค.-ธ.ค.'!U91+'ม.ค.-มี.ค.'!U90+'เม.ย.-มิ.ย.'!U90+'ก.ค.-ก.ย.'!U90</f>
        <v>0</v>
      </c>
      <c r="V90" s="459">
        <f>+'ต.ค.-ธ.ค.'!V91+'ม.ค.-มี.ค.'!V90+'เม.ย.-มิ.ย.'!V90+'ก.ค.-ก.ย.'!V90</f>
        <v>0</v>
      </c>
      <c r="W90" s="579"/>
      <c r="X90" s="364"/>
    </row>
    <row r="91" spans="1:24" s="310" customFormat="1" ht="25.5" customHeight="1">
      <c r="A91" s="9"/>
      <c r="B91" s="187" t="s">
        <v>134</v>
      </c>
      <c r="C91" s="419">
        <f>15000-10000</f>
        <v>5000</v>
      </c>
      <c r="D91" s="450"/>
      <c r="E91" s="459">
        <f>+'ต.ค.-ธ.ค.'!E92+'ม.ค.-มี.ค.'!E91+'เม.ย.-มิ.ย.'!E91+'ก.ค.-ก.ย.'!E91</f>
        <v>0</v>
      </c>
      <c r="F91" s="459">
        <f>+'ต.ค.-ธ.ค.'!F92+'ม.ค.-มี.ค.'!F91+'เม.ย.-มิ.ย.'!F91+'ก.ค.-ก.ย.'!F91</f>
        <v>0</v>
      </c>
      <c r="G91" s="459">
        <f>+'ต.ค.-ธ.ค.'!G92+'ม.ค.-มี.ค.'!G91+'เม.ย.-มิ.ย.'!G91+'ก.ค.-ก.ย.'!G91</f>
        <v>0</v>
      </c>
      <c r="H91" s="459">
        <f>+'ต.ค.-ธ.ค.'!H92+'ม.ค.-มี.ค.'!H91+'เม.ย.-มิ.ย.'!H91+'ก.ค.-ก.ย.'!H91</f>
        <v>0</v>
      </c>
      <c r="I91" s="459">
        <f>+'ต.ค.-ธ.ค.'!I92+'ม.ค.-มี.ค.'!I91+'เม.ย.-มิ.ย.'!I91+'ก.ค.-ก.ย.'!I91</f>
        <v>5000</v>
      </c>
      <c r="J91" s="459">
        <f>+'ต.ค.-ธ.ค.'!J92+'ม.ค.-มี.ค.'!J91+'เม.ย.-มิ.ย.'!J91+'ก.ค.-ก.ย.'!J91</f>
        <v>0</v>
      </c>
      <c r="K91" s="459">
        <f>+'ต.ค.-ธ.ค.'!K92+'ม.ค.-มี.ค.'!K91+'เม.ย.-มิ.ย.'!K91+'ก.ค.-ก.ย.'!K91</f>
        <v>0</v>
      </c>
      <c r="L91" s="459">
        <f>+'ต.ค.-ธ.ค.'!L92+'ม.ค.-มี.ค.'!L91+'เม.ย.-มิ.ย.'!L91+'ก.ค.-ก.ย.'!L91</f>
        <v>0</v>
      </c>
      <c r="M91" s="459">
        <f>+'ต.ค.-ธ.ค.'!M92+'ม.ค.-มี.ค.'!M91+'เม.ย.-มิ.ย.'!M91+'ก.ค.-ก.ย.'!M91</f>
        <v>0</v>
      </c>
      <c r="N91" s="459">
        <f>+'ต.ค.-ธ.ค.'!N92+'ม.ค.-มี.ค.'!N91+'เม.ย.-มิ.ย.'!N91+'ก.ค.-ก.ย.'!N91</f>
        <v>0</v>
      </c>
      <c r="O91" s="459">
        <f>+'ต.ค.-ธ.ค.'!O92+'ม.ค.-มี.ค.'!O91+'เม.ย.-มิ.ย.'!O91+'ก.ค.-ก.ย.'!O91</f>
        <v>0</v>
      </c>
      <c r="P91" s="459">
        <f>+'ต.ค.-ธ.ค.'!P92+'ม.ค.-มี.ค.'!P91+'เม.ย.-มิ.ย.'!P91+'ก.ค.-ก.ย.'!P91</f>
        <v>0</v>
      </c>
      <c r="Q91" s="459">
        <f>+'ต.ค.-ธ.ค.'!Q92+'ม.ค.-มี.ค.'!Q91+'เม.ย.-มิ.ย.'!Q91+'ก.ค.-ก.ย.'!Q91</f>
        <v>0</v>
      </c>
      <c r="R91" s="459">
        <f>+'ต.ค.-ธ.ค.'!R92+'ม.ค.-มี.ค.'!R91+'เม.ย.-มิ.ย.'!R91+'ก.ค.-ก.ย.'!R91</f>
        <v>0</v>
      </c>
      <c r="S91" s="459">
        <f>+'ต.ค.-ธ.ค.'!S92+'ม.ค.-มี.ค.'!S91+'เม.ย.-มิ.ย.'!S91+'ก.ค.-ก.ย.'!S91</f>
        <v>0</v>
      </c>
      <c r="T91" s="459">
        <f>+'ต.ค.-ธ.ค.'!T92+'ม.ค.-มี.ค.'!T91+'เม.ย.-มิ.ย.'!T91+'ก.ค.-ก.ย.'!T91</f>
        <v>0</v>
      </c>
      <c r="U91" s="459">
        <f>+'ต.ค.-ธ.ค.'!U92+'ม.ค.-มี.ค.'!U91+'เม.ย.-มิ.ย.'!U91+'ก.ค.-ก.ย.'!U91</f>
        <v>0</v>
      </c>
      <c r="V91" s="459">
        <f>+'ต.ค.-ธ.ค.'!V92+'ม.ค.-มี.ค.'!V91+'เม.ย.-มิ.ย.'!V91+'ก.ค.-ก.ย.'!V91</f>
        <v>0</v>
      </c>
      <c r="W91" s="579"/>
      <c r="X91" s="364"/>
    </row>
    <row r="92" spans="1:24" s="310" customFormat="1" ht="25.5" customHeight="1">
      <c r="A92" s="9"/>
      <c r="B92" s="187" t="s">
        <v>308</v>
      </c>
      <c r="C92" s="419">
        <f>2500-2500</f>
        <v>0</v>
      </c>
      <c r="D92" s="450"/>
      <c r="E92" s="459">
        <f>+'ต.ค.-ธ.ค.'!E93+'ม.ค.-มี.ค.'!E92+'เม.ย.-มิ.ย.'!E92+'ก.ค.-ก.ย.'!E92</f>
        <v>0</v>
      </c>
      <c r="F92" s="459">
        <f>+'ต.ค.-ธ.ค.'!F93+'ม.ค.-มี.ค.'!F92+'เม.ย.-มิ.ย.'!F92+'ก.ค.-ก.ย.'!F92</f>
        <v>0</v>
      </c>
      <c r="G92" s="459">
        <f>+'ต.ค.-ธ.ค.'!G93+'ม.ค.-มี.ค.'!G92+'เม.ย.-มิ.ย.'!G92+'ก.ค.-ก.ย.'!G92</f>
        <v>0</v>
      </c>
      <c r="H92" s="459">
        <f>+'ต.ค.-ธ.ค.'!H93+'ม.ค.-มี.ค.'!H92+'เม.ย.-มิ.ย.'!H92+'ก.ค.-ก.ย.'!H92</f>
        <v>0</v>
      </c>
      <c r="I92" s="459">
        <f>+'ต.ค.-ธ.ค.'!I93+'ม.ค.-มี.ค.'!I92+'เม.ย.-มิ.ย.'!I92+'ก.ค.-ก.ย.'!I92</f>
        <v>0</v>
      </c>
      <c r="J92" s="459">
        <f>+'ต.ค.-ธ.ค.'!J93+'ม.ค.-มี.ค.'!J92+'เม.ย.-มิ.ย.'!J92+'ก.ค.-ก.ย.'!J92</f>
        <v>0</v>
      </c>
      <c r="K92" s="459">
        <f>+'ต.ค.-ธ.ค.'!K93+'ม.ค.-มี.ค.'!K92+'เม.ย.-มิ.ย.'!K92+'ก.ค.-ก.ย.'!K92</f>
        <v>0</v>
      </c>
      <c r="L92" s="459">
        <f>+'ต.ค.-ธ.ค.'!L93+'ม.ค.-มี.ค.'!L92+'เม.ย.-มิ.ย.'!L92+'ก.ค.-ก.ย.'!L92</f>
        <v>0</v>
      </c>
      <c r="M92" s="459">
        <f>+'ต.ค.-ธ.ค.'!M93+'ม.ค.-มี.ค.'!M92+'เม.ย.-มิ.ย.'!M92+'ก.ค.-ก.ย.'!M92</f>
        <v>0</v>
      </c>
      <c r="N92" s="459">
        <f>+'ต.ค.-ธ.ค.'!N93+'ม.ค.-มี.ค.'!N92+'เม.ย.-มิ.ย.'!N92+'ก.ค.-ก.ย.'!N92</f>
        <v>0</v>
      </c>
      <c r="O92" s="459">
        <f>+'ต.ค.-ธ.ค.'!O93+'ม.ค.-มี.ค.'!O92+'เม.ย.-มิ.ย.'!O92+'ก.ค.-ก.ย.'!O92</f>
        <v>0</v>
      </c>
      <c r="P92" s="459">
        <f>+'ต.ค.-ธ.ค.'!P93+'ม.ค.-มี.ค.'!P92+'เม.ย.-มิ.ย.'!P92+'ก.ค.-ก.ย.'!P92</f>
        <v>0</v>
      </c>
      <c r="Q92" s="459">
        <f>+'ต.ค.-ธ.ค.'!Q93+'ม.ค.-มี.ค.'!Q92+'เม.ย.-มิ.ย.'!Q92+'ก.ค.-ก.ย.'!Q92</f>
        <v>0</v>
      </c>
      <c r="R92" s="459">
        <f>+'ต.ค.-ธ.ค.'!R93+'ม.ค.-มี.ค.'!R92+'เม.ย.-มิ.ย.'!R92+'ก.ค.-ก.ย.'!R92</f>
        <v>0</v>
      </c>
      <c r="S92" s="459">
        <f>+'ต.ค.-ธ.ค.'!S93+'ม.ค.-มี.ค.'!S92+'เม.ย.-มิ.ย.'!S92+'ก.ค.-ก.ย.'!S92</f>
        <v>0</v>
      </c>
      <c r="T92" s="459">
        <f>+'ต.ค.-ธ.ค.'!T93+'ม.ค.-มี.ค.'!T92+'เม.ย.-มิ.ย.'!T92+'ก.ค.-ก.ย.'!T92</f>
        <v>0</v>
      </c>
      <c r="U92" s="459">
        <f>+'ต.ค.-ธ.ค.'!U93+'ม.ค.-มี.ค.'!U92+'เม.ย.-มิ.ย.'!U92+'ก.ค.-ก.ย.'!U92</f>
        <v>0</v>
      </c>
      <c r="V92" s="459">
        <f>+'ต.ค.-ธ.ค.'!V93+'ม.ค.-มี.ค.'!V92+'เม.ย.-มิ.ย.'!V92+'ก.ค.-ก.ย.'!V92</f>
        <v>0</v>
      </c>
      <c r="W92" s="579"/>
      <c r="X92" s="364"/>
    </row>
    <row r="93" spans="1:24" s="310" customFormat="1" ht="25.5" customHeight="1">
      <c r="A93" s="9"/>
      <c r="B93" s="187" t="s">
        <v>309</v>
      </c>
      <c r="C93" s="419">
        <f>2500-2500</f>
        <v>0</v>
      </c>
      <c r="D93" s="450"/>
      <c r="E93" s="459">
        <f>+'ต.ค.-ธ.ค.'!E94+'ม.ค.-มี.ค.'!E93+'เม.ย.-มิ.ย.'!E93+'ก.ค.-ก.ย.'!E93</f>
        <v>0</v>
      </c>
      <c r="F93" s="459">
        <f>+'ต.ค.-ธ.ค.'!F94+'ม.ค.-มี.ค.'!F93+'เม.ย.-มิ.ย.'!F93+'ก.ค.-ก.ย.'!F93</f>
        <v>0</v>
      </c>
      <c r="G93" s="459">
        <f>+'ต.ค.-ธ.ค.'!G94+'ม.ค.-มี.ค.'!G93+'เม.ย.-มิ.ย.'!G93+'ก.ค.-ก.ย.'!G93</f>
        <v>0</v>
      </c>
      <c r="H93" s="459">
        <f>+'ต.ค.-ธ.ค.'!H94+'ม.ค.-มี.ค.'!H93+'เม.ย.-มิ.ย.'!H93+'ก.ค.-ก.ย.'!H93</f>
        <v>0</v>
      </c>
      <c r="I93" s="459">
        <f>+'ต.ค.-ธ.ค.'!I94+'ม.ค.-มี.ค.'!I93+'เม.ย.-มิ.ย.'!I93+'ก.ค.-ก.ย.'!I93</f>
        <v>0</v>
      </c>
      <c r="J93" s="459">
        <f>+'ต.ค.-ธ.ค.'!J94+'ม.ค.-มี.ค.'!J93+'เม.ย.-มิ.ย.'!J93+'ก.ค.-ก.ย.'!J93</f>
        <v>0</v>
      </c>
      <c r="K93" s="459">
        <f>+'ต.ค.-ธ.ค.'!K94+'ม.ค.-มี.ค.'!K93+'เม.ย.-มิ.ย.'!K93+'ก.ค.-ก.ย.'!K93</f>
        <v>0</v>
      </c>
      <c r="L93" s="459">
        <f>+'ต.ค.-ธ.ค.'!L94+'ม.ค.-มี.ค.'!L93+'เม.ย.-มิ.ย.'!L93+'ก.ค.-ก.ย.'!L93</f>
        <v>0</v>
      </c>
      <c r="M93" s="459">
        <f>+'ต.ค.-ธ.ค.'!M94+'ม.ค.-มี.ค.'!M93+'เม.ย.-มิ.ย.'!M93+'ก.ค.-ก.ย.'!M93</f>
        <v>0</v>
      </c>
      <c r="N93" s="459">
        <f>+'ต.ค.-ธ.ค.'!N94+'ม.ค.-มี.ค.'!N93+'เม.ย.-มิ.ย.'!N93+'ก.ค.-ก.ย.'!N93</f>
        <v>0</v>
      </c>
      <c r="O93" s="459">
        <f>+'ต.ค.-ธ.ค.'!O94+'ม.ค.-มี.ค.'!O93+'เม.ย.-มิ.ย.'!O93+'ก.ค.-ก.ย.'!O93</f>
        <v>0</v>
      </c>
      <c r="P93" s="459">
        <f>+'ต.ค.-ธ.ค.'!P94+'ม.ค.-มี.ค.'!P93+'เม.ย.-มิ.ย.'!P93+'ก.ค.-ก.ย.'!P93</f>
        <v>0</v>
      </c>
      <c r="Q93" s="459">
        <f>+'ต.ค.-ธ.ค.'!Q94+'ม.ค.-มี.ค.'!Q93+'เม.ย.-มิ.ย.'!Q93+'ก.ค.-ก.ย.'!Q93</f>
        <v>0</v>
      </c>
      <c r="R93" s="459">
        <f>+'ต.ค.-ธ.ค.'!R94+'ม.ค.-มี.ค.'!R93+'เม.ย.-มิ.ย.'!R93+'ก.ค.-ก.ย.'!R93</f>
        <v>0</v>
      </c>
      <c r="S93" s="459">
        <f>+'ต.ค.-ธ.ค.'!S94+'ม.ค.-มี.ค.'!S93+'เม.ย.-มิ.ย.'!S93+'ก.ค.-ก.ย.'!S93</f>
        <v>0</v>
      </c>
      <c r="T93" s="459">
        <f>+'ต.ค.-ธ.ค.'!T94+'ม.ค.-มี.ค.'!T93+'เม.ย.-มิ.ย.'!T93+'ก.ค.-ก.ย.'!T93</f>
        <v>0</v>
      </c>
      <c r="U93" s="459">
        <f>+'ต.ค.-ธ.ค.'!U94+'ม.ค.-มี.ค.'!U93+'เม.ย.-มิ.ย.'!U93+'ก.ค.-ก.ย.'!U93</f>
        <v>0</v>
      </c>
      <c r="V93" s="459">
        <f>+'ต.ค.-ธ.ค.'!V94+'ม.ค.-มี.ค.'!V93+'เม.ย.-มิ.ย.'!V93+'ก.ค.-ก.ย.'!V93</f>
        <v>0</v>
      </c>
      <c r="W93" s="579"/>
      <c r="X93" s="364"/>
    </row>
    <row r="94" spans="1:24" s="310" customFormat="1" ht="25.5" customHeight="1">
      <c r="A94" s="9"/>
      <c r="B94" s="187" t="s">
        <v>310</v>
      </c>
      <c r="C94" s="419">
        <f>2500-2500</f>
        <v>0</v>
      </c>
      <c r="D94" s="450"/>
      <c r="E94" s="459">
        <f>+'ต.ค.-ธ.ค.'!E95+'ม.ค.-มี.ค.'!E94+'เม.ย.-มิ.ย.'!E94+'ก.ค.-ก.ย.'!E94</f>
        <v>0</v>
      </c>
      <c r="F94" s="459">
        <f>+'ต.ค.-ธ.ค.'!F95+'ม.ค.-มี.ค.'!F94+'เม.ย.-มิ.ย.'!F94+'ก.ค.-ก.ย.'!F94</f>
        <v>0</v>
      </c>
      <c r="G94" s="459">
        <f>+'ต.ค.-ธ.ค.'!G95+'ม.ค.-มี.ค.'!G94+'เม.ย.-มิ.ย.'!G94+'ก.ค.-ก.ย.'!G94</f>
        <v>0</v>
      </c>
      <c r="H94" s="459">
        <f>+'ต.ค.-ธ.ค.'!H95+'ม.ค.-มี.ค.'!H94+'เม.ย.-มิ.ย.'!H94+'ก.ค.-ก.ย.'!H94</f>
        <v>0</v>
      </c>
      <c r="I94" s="459">
        <f>+'ต.ค.-ธ.ค.'!I95+'ม.ค.-มี.ค.'!I94+'เม.ย.-มิ.ย.'!I94+'ก.ค.-ก.ย.'!I94</f>
        <v>0</v>
      </c>
      <c r="J94" s="459">
        <f>+'ต.ค.-ธ.ค.'!J95+'ม.ค.-มี.ค.'!J94+'เม.ย.-มิ.ย.'!J94+'ก.ค.-ก.ย.'!J94</f>
        <v>0</v>
      </c>
      <c r="K94" s="459">
        <f>+'ต.ค.-ธ.ค.'!K95+'ม.ค.-มี.ค.'!K94+'เม.ย.-มิ.ย.'!K94+'ก.ค.-ก.ย.'!K94</f>
        <v>0</v>
      </c>
      <c r="L94" s="459">
        <f>+'ต.ค.-ธ.ค.'!L95+'ม.ค.-มี.ค.'!L94+'เม.ย.-มิ.ย.'!L94+'ก.ค.-ก.ย.'!L94</f>
        <v>0</v>
      </c>
      <c r="M94" s="459">
        <f>+'ต.ค.-ธ.ค.'!M95+'ม.ค.-มี.ค.'!M94+'เม.ย.-มิ.ย.'!M94+'ก.ค.-ก.ย.'!M94</f>
        <v>0</v>
      </c>
      <c r="N94" s="459">
        <f>+'ต.ค.-ธ.ค.'!N95+'ม.ค.-มี.ค.'!N94+'เม.ย.-มิ.ย.'!N94+'ก.ค.-ก.ย.'!N94</f>
        <v>0</v>
      </c>
      <c r="O94" s="459">
        <f>+'ต.ค.-ธ.ค.'!O95+'ม.ค.-มี.ค.'!O94+'เม.ย.-มิ.ย.'!O94+'ก.ค.-ก.ย.'!O94</f>
        <v>0</v>
      </c>
      <c r="P94" s="459">
        <f>+'ต.ค.-ธ.ค.'!P95+'ม.ค.-มี.ค.'!P94+'เม.ย.-มิ.ย.'!P94+'ก.ค.-ก.ย.'!P94</f>
        <v>0</v>
      </c>
      <c r="Q94" s="459">
        <f>+'ต.ค.-ธ.ค.'!Q95+'ม.ค.-มี.ค.'!Q94+'เม.ย.-มิ.ย.'!Q94+'ก.ค.-ก.ย.'!Q94</f>
        <v>0</v>
      </c>
      <c r="R94" s="459">
        <f>+'ต.ค.-ธ.ค.'!R95+'ม.ค.-มี.ค.'!R94+'เม.ย.-มิ.ย.'!R94+'ก.ค.-ก.ย.'!R94</f>
        <v>0</v>
      </c>
      <c r="S94" s="459">
        <f>+'ต.ค.-ธ.ค.'!S95+'ม.ค.-มี.ค.'!S94+'เม.ย.-มิ.ย.'!S94+'ก.ค.-ก.ย.'!S94</f>
        <v>0</v>
      </c>
      <c r="T94" s="459">
        <f>+'ต.ค.-ธ.ค.'!T95+'ม.ค.-มี.ค.'!T94+'เม.ย.-มิ.ย.'!T94+'ก.ค.-ก.ย.'!T94</f>
        <v>0</v>
      </c>
      <c r="U94" s="459">
        <f>+'ต.ค.-ธ.ค.'!U95+'ม.ค.-มี.ค.'!U94+'เม.ย.-มิ.ย.'!U94+'ก.ค.-ก.ย.'!U94</f>
        <v>0</v>
      </c>
      <c r="V94" s="459">
        <f>+'ต.ค.-ธ.ค.'!V95+'ม.ค.-มี.ค.'!V94+'เม.ย.-มิ.ย.'!V94+'ก.ค.-ก.ย.'!V94</f>
        <v>0</v>
      </c>
      <c r="W94" s="579"/>
      <c r="X94" s="364"/>
    </row>
    <row r="95" spans="1:24" s="310" customFormat="1" ht="25.5" customHeight="1">
      <c r="A95" s="9"/>
      <c r="B95" s="187" t="s">
        <v>311</v>
      </c>
      <c r="C95" s="419">
        <f>2500-2500</f>
        <v>0</v>
      </c>
      <c r="D95" s="450"/>
      <c r="E95" s="459">
        <f>+'ต.ค.-ธ.ค.'!E96+'ม.ค.-มี.ค.'!E95+'เม.ย.-มิ.ย.'!E95+'ก.ค.-ก.ย.'!E95</f>
        <v>0</v>
      </c>
      <c r="F95" s="459">
        <f>+'ต.ค.-ธ.ค.'!F96+'ม.ค.-มี.ค.'!F95+'เม.ย.-มิ.ย.'!F95+'ก.ค.-ก.ย.'!F95</f>
        <v>0</v>
      </c>
      <c r="G95" s="459">
        <f>+'ต.ค.-ธ.ค.'!G96+'ม.ค.-มี.ค.'!G95+'เม.ย.-มิ.ย.'!G95+'ก.ค.-ก.ย.'!G95</f>
        <v>0</v>
      </c>
      <c r="H95" s="459">
        <f>+'ต.ค.-ธ.ค.'!H96+'ม.ค.-มี.ค.'!H95+'เม.ย.-มิ.ย.'!H95+'ก.ค.-ก.ย.'!H95</f>
        <v>0</v>
      </c>
      <c r="I95" s="459">
        <f>+'ต.ค.-ธ.ค.'!I96+'ม.ค.-มี.ค.'!I95+'เม.ย.-มิ.ย.'!I95+'ก.ค.-ก.ย.'!I95</f>
        <v>0</v>
      </c>
      <c r="J95" s="459">
        <f>+'ต.ค.-ธ.ค.'!J96+'ม.ค.-มี.ค.'!J95+'เม.ย.-มิ.ย.'!J95+'ก.ค.-ก.ย.'!J95</f>
        <v>0</v>
      </c>
      <c r="K95" s="459">
        <f>+'ต.ค.-ธ.ค.'!K96+'ม.ค.-มี.ค.'!K95+'เม.ย.-มิ.ย.'!K95+'ก.ค.-ก.ย.'!K95</f>
        <v>0</v>
      </c>
      <c r="L95" s="459">
        <f>+'ต.ค.-ธ.ค.'!L96+'ม.ค.-มี.ค.'!L95+'เม.ย.-มิ.ย.'!L95+'ก.ค.-ก.ย.'!L95</f>
        <v>0</v>
      </c>
      <c r="M95" s="459">
        <f>+'ต.ค.-ธ.ค.'!M96+'ม.ค.-มี.ค.'!M95+'เม.ย.-มิ.ย.'!M95+'ก.ค.-ก.ย.'!M95</f>
        <v>0</v>
      </c>
      <c r="N95" s="459">
        <f>+'ต.ค.-ธ.ค.'!N96+'ม.ค.-มี.ค.'!N95+'เม.ย.-มิ.ย.'!N95+'ก.ค.-ก.ย.'!N95</f>
        <v>0</v>
      </c>
      <c r="O95" s="459">
        <f>+'ต.ค.-ธ.ค.'!O96+'ม.ค.-มี.ค.'!O95+'เม.ย.-มิ.ย.'!O95+'ก.ค.-ก.ย.'!O95</f>
        <v>0</v>
      </c>
      <c r="P95" s="459">
        <f>+'ต.ค.-ธ.ค.'!P96+'ม.ค.-มี.ค.'!P95+'เม.ย.-มิ.ย.'!P95+'ก.ค.-ก.ย.'!P95</f>
        <v>0</v>
      </c>
      <c r="Q95" s="459">
        <f>+'ต.ค.-ธ.ค.'!Q96+'ม.ค.-มี.ค.'!Q95+'เม.ย.-มิ.ย.'!Q95+'ก.ค.-ก.ย.'!Q95</f>
        <v>0</v>
      </c>
      <c r="R95" s="459">
        <f>+'ต.ค.-ธ.ค.'!R96+'ม.ค.-มี.ค.'!R95+'เม.ย.-มิ.ย.'!R95+'ก.ค.-ก.ย.'!R95</f>
        <v>0</v>
      </c>
      <c r="S95" s="459">
        <f>+'ต.ค.-ธ.ค.'!S96+'ม.ค.-มี.ค.'!S95+'เม.ย.-มิ.ย.'!S95+'ก.ค.-ก.ย.'!S95</f>
        <v>0</v>
      </c>
      <c r="T95" s="459">
        <f>+'ต.ค.-ธ.ค.'!T96+'ม.ค.-มี.ค.'!T95+'เม.ย.-มิ.ย.'!T95+'ก.ค.-ก.ย.'!T95</f>
        <v>0</v>
      </c>
      <c r="U95" s="459">
        <f>+'ต.ค.-ธ.ค.'!U96+'ม.ค.-มี.ค.'!U95+'เม.ย.-มิ.ย.'!U95+'ก.ค.-ก.ย.'!U95</f>
        <v>0</v>
      </c>
      <c r="V95" s="459">
        <f>+'ต.ค.-ธ.ค.'!V96+'ม.ค.-มี.ค.'!V95+'เม.ย.-มิ.ย.'!V95+'ก.ค.-ก.ย.'!V95</f>
        <v>0</v>
      </c>
      <c r="W95" s="579"/>
      <c r="X95" s="364"/>
    </row>
    <row r="96" spans="1:24" s="310" customFormat="1" ht="25.5" customHeight="1">
      <c r="A96" s="9"/>
      <c r="B96" s="187" t="s">
        <v>243</v>
      </c>
      <c r="C96" s="419">
        <v>2000</v>
      </c>
      <c r="D96" s="450"/>
      <c r="E96" s="459">
        <f>+'ต.ค.-ธ.ค.'!E97+'ม.ค.-มี.ค.'!E96+'เม.ย.-มิ.ย.'!E96+'ก.ค.-ก.ย.'!E96</f>
        <v>0</v>
      </c>
      <c r="F96" s="459">
        <f>+'ต.ค.-ธ.ค.'!F97+'ม.ค.-มี.ค.'!F96+'เม.ย.-มิ.ย.'!F96+'ก.ค.-ก.ย.'!F96</f>
        <v>0</v>
      </c>
      <c r="G96" s="459">
        <f>+'ต.ค.-ธ.ค.'!G97+'ม.ค.-มี.ค.'!G96+'เม.ย.-มิ.ย.'!G96+'ก.ค.-ก.ย.'!G96</f>
        <v>0</v>
      </c>
      <c r="H96" s="459">
        <f>+'ต.ค.-ธ.ค.'!H97+'ม.ค.-มี.ค.'!H96+'เม.ย.-มิ.ย.'!H96+'ก.ค.-ก.ย.'!H96</f>
        <v>0</v>
      </c>
      <c r="I96" s="459">
        <f>+'ต.ค.-ธ.ค.'!I97+'ม.ค.-มี.ค.'!I96+'เม.ย.-มิ.ย.'!I96+'ก.ค.-ก.ย.'!I96</f>
        <v>2000</v>
      </c>
      <c r="J96" s="459">
        <f>+'ต.ค.-ธ.ค.'!J97+'ม.ค.-มี.ค.'!J96+'เม.ย.-มิ.ย.'!J96+'ก.ค.-ก.ย.'!J96</f>
        <v>0</v>
      </c>
      <c r="K96" s="459">
        <f>+'ต.ค.-ธ.ค.'!K97+'ม.ค.-มี.ค.'!K96+'เม.ย.-มิ.ย.'!K96+'ก.ค.-ก.ย.'!K96</f>
        <v>0</v>
      </c>
      <c r="L96" s="459">
        <f>+'ต.ค.-ธ.ค.'!L97+'ม.ค.-มี.ค.'!L96+'เม.ย.-มิ.ย.'!L96+'ก.ค.-ก.ย.'!L96</f>
        <v>0</v>
      </c>
      <c r="M96" s="459">
        <f>+'ต.ค.-ธ.ค.'!M97+'ม.ค.-มี.ค.'!M96+'เม.ย.-มิ.ย.'!M96+'ก.ค.-ก.ย.'!M96</f>
        <v>0</v>
      </c>
      <c r="N96" s="459">
        <f>+'ต.ค.-ธ.ค.'!N97+'ม.ค.-มี.ค.'!N96+'เม.ย.-มิ.ย.'!N96+'ก.ค.-ก.ย.'!N96</f>
        <v>0</v>
      </c>
      <c r="O96" s="459">
        <f>+'ต.ค.-ธ.ค.'!O97+'ม.ค.-มี.ค.'!O96+'เม.ย.-มิ.ย.'!O96+'ก.ค.-ก.ย.'!O96</f>
        <v>0</v>
      </c>
      <c r="P96" s="459">
        <f>+'ต.ค.-ธ.ค.'!P97+'ม.ค.-มี.ค.'!P96+'เม.ย.-มิ.ย.'!P96+'ก.ค.-ก.ย.'!P96</f>
        <v>0</v>
      </c>
      <c r="Q96" s="459">
        <f>+'ต.ค.-ธ.ค.'!Q97+'ม.ค.-มี.ค.'!Q96+'เม.ย.-มิ.ย.'!Q96+'ก.ค.-ก.ย.'!Q96</f>
        <v>0</v>
      </c>
      <c r="R96" s="459">
        <f>+'ต.ค.-ธ.ค.'!R97+'ม.ค.-มี.ค.'!R96+'เม.ย.-มิ.ย.'!R96+'ก.ค.-ก.ย.'!R96</f>
        <v>0</v>
      </c>
      <c r="S96" s="459">
        <f>+'ต.ค.-ธ.ค.'!S97+'ม.ค.-มี.ค.'!S96+'เม.ย.-มิ.ย.'!S96+'ก.ค.-ก.ย.'!S96</f>
        <v>0</v>
      </c>
      <c r="T96" s="459">
        <f>+'ต.ค.-ธ.ค.'!T97+'ม.ค.-มี.ค.'!T96+'เม.ย.-มิ.ย.'!T96+'ก.ค.-ก.ย.'!T96</f>
        <v>0</v>
      </c>
      <c r="U96" s="459">
        <f>+'ต.ค.-ธ.ค.'!U97+'ม.ค.-มี.ค.'!U96+'เม.ย.-มิ.ย.'!U96+'ก.ค.-ก.ย.'!U96</f>
        <v>0</v>
      </c>
      <c r="V96" s="459">
        <f>+'ต.ค.-ธ.ค.'!V97+'ม.ค.-มี.ค.'!V96+'เม.ย.-มิ.ย.'!V96+'ก.ค.-ก.ย.'!V96</f>
        <v>0</v>
      </c>
      <c r="W96" s="579"/>
      <c r="X96" s="364"/>
    </row>
    <row r="97" spans="1:24" s="310" customFormat="1" ht="25.5" customHeight="1">
      <c r="A97" s="9"/>
      <c r="B97" s="187" t="s">
        <v>248</v>
      </c>
      <c r="C97" s="419">
        <v>2000</v>
      </c>
      <c r="D97" s="450"/>
      <c r="E97" s="459">
        <f>+'ต.ค.-ธ.ค.'!E98+'ม.ค.-มี.ค.'!E97+'เม.ย.-มิ.ย.'!E97+'ก.ค.-ก.ย.'!E97</f>
        <v>0</v>
      </c>
      <c r="F97" s="459">
        <f>+'ต.ค.-ธ.ค.'!F98+'ม.ค.-มี.ค.'!F97+'เม.ย.-มิ.ย.'!F97+'ก.ค.-ก.ย.'!F97</f>
        <v>0</v>
      </c>
      <c r="G97" s="459">
        <f>+'ต.ค.-ธ.ค.'!G98+'ม.ค.-มี.ค.'!G97+'เม.ย.-มิ.ย.'!G97+'ก.ค.-ก.ย.'!G97</f>
        <v>0</v>
      </c>
      <c r="H97" s="459">
        <f>+'ต.ค.-ธ.ค.'!H98+'ม.ค.-มี.ค.'!H97+'เม.ย.-มิ.ย.'!H97+'ก.ค.-ก.ย.'!H97</f>
        <v>0</v>
      </c>
      <c r="I97" s="459">
        <f>+'ต.ค.-ธ.ค.'!I98+'ม.ค.-มี.ค.'!I97+'เม.ย.-มิ.ย.'!I97+'ก.ค.-ก.ย.'!I97</f>
        <v>2000</v>
      </c>
      <c r="J97" s="459">
        <f>+'ต.ค.-ธ.ค.'!J98+'ม.ค.-มี.ค.'!J97+'เม.ย.-มิ.ย.'!J97+'ก.ค.-ก.ย.'!J97</f>
        <v>0</v>
      </c>
      <c r="K97" s="459">
        <f>+'ต.ค.-ธ.ค.'!K98+'ม.ค.-มี.ค.'!K97+'เม.ย.-มิ.ย.'!K97+'ก.ค.-ก.ย.'!K97</f>
        <v>0</v>
      </c>
      <c r="L97" s="459">
        <f>+'ต.ค.-ธ.ค.'!L98+'ม.ค.-มี.ค.'!L97+'เม.ย.-มิ.ย.'!L97+'ก.ค.-ก.ย.'!L97</f>
        <v>0</v>
      </c>
      <c r="M97" s="459">
        <f>+'ต.ค.-ธ.ค.'!M98+'ม.ค.-มี.ค.'!M97+'เม.ย.-มิ.ย.'!M97+'ก.ค.-ก.ย.'!M97</f>
        <v>0</v>
      </c>
      <c r="N97" s="459">
        <f>+'ต.ค.-ธ.ค.'!N98+'ม.ค.-มี.ค.'!N97+'เม.ย.-มิ.ย.'!N97+'ก.ค.-ก.ย.'!N97</f>
        <v>0</v>
      </c>
      <c r="O97" s="459">
        <f>+'ต.ค.-ธ.ค.'!O98+'ม.ค.-มี.ค.'!O97+'เม.ย.-มิ.ย.'!O97+'ก.ค.-ก.ย.'!O97</f>
        <v>0</v>
      </c>
      <c r="P97" s="459">
        <f>+'ต.ค.-ธ.ค.'!P98+'ม.ค.-มี.ค.'!P97+'เม.ย.-มิ.ย.'!P97+'ก.ค.-ก.ย.'!P97</f>
        <v>0</v>
      </c>
      <c r="Q97" s="459">
        <f>+'ต.ค.-ธ.ค.'!Q98+'ม.ค.-มี.ค.'!Q97+'เม.ย.-มิ.ย.'!Q97+'ก.ค.-ก.ย.'!Q97</f>
        <v>0</v>
      </c>
      <c r="R97" s="459">
        <f>+'ต.ค.-ธ.ค.'!R98+'ม.ค.-มี.ค.'!R97+'เม.ย.-มิ.ย.'!R97+'ก.ค.-ก.ย.'!R97</f>
        <v>0</v>
      </c>
      <c r="S97" s="459">
        <f>+'ต.ค.-ธ.ค.'!S98+'ม.ค.-มี.ค.'!S97+'เม.ย.-มิ.ย.'!S97+'ก.ค.-ก.ย.'!S97</f>
        <v>0</v>
      </c>
      <c r="T97" s="459">
        <f>+'ต.ค.-ธ.ค.'!T98+'ม.ค.-มี.ค.'!T97+'เม.ย.-มิ.ย.'!T97+'ก.ค.-ก.ย.'!T97</f>
        <v>0</v>
      </c>
      <c r="U97" s="459">
        <f>+'ต.ค.-ธ.ค.'!U98+'ม.ค.-มี.ค.'!U97+'เม.ย.-มิ.ย.'!U97+'ก.ค.-ก.ย.'!U97</f>
        <v>0</v>
      </c>
      <c r="V97" s="459">
        <f>+'ต.ค.-ธ.ค.'!V98+'ม.ค.-มี.ค.'!V97+'เม.ย.-มิ.ย.'!V97+'ก.ค.-ก.ย.'!V97</f>
        <v>0</v>
      </c>
      <c r="W97" s="579"/>
      <c r="X97" s="364"/>
    </row>
    <row r="98" spans="1:24" s="310" customFormat="1" ht="25.5" customHeight="1">
      <c r="A98" s="9"/>
      <c r="B98" s="187" t="s">
        <v>244</v>
      </c>
      <c r="C98" s="419">
        <v>2000</v>
      </c>
      <c r="D98" s="450"/>
      <c r="E98" s="459">
        <f>+'ต.ค.-ธ.ค.'!E99+'ม.ค.-มี.ค.'!E98+'เม.ย.-มิ.ย.'!E98+'ก.ค.-ก.ย.'!E98</f>
        <v>0</v>
      </c>
      <c r="F98" s="459">
        <f>+'ต.ค.-ธ.ค.'!F99+'ม.ค.-มี.ค.'!F98+'เม.ย.-มิ.ย.'!F98+'ก.ค.-ก.ย.'!F98</f>
        <v>0</v>
      </c>
      <c r="G98" s="459">
        <f>+'ต.ค.-ธ.ค.'!G99+'ม.ค.-มี.ค.'!G98+'เม.ย.-มิ.ย.'!G98+'ก.ค.-ก.ย.'!G98</f>
        <v>0</v>
      </c>
      <c r="H98" s="459">
        <f>+'ต.ค.-ธ.ค.'!H99+'ม.ค.-มี.ค.'!H98+'เม.ย.-มิ.ย.'!H98+'ก.ค.-ก.ย.'!H98</f>
        <v>0</v>
      </c>
      <c r="I98" s="459">
        <f>+'ต.ค.-ธ.ค.'!I99+'ม.ค.-มี.ค.'!I98+'เม.ย.-มิ.ย.'!I98+'ก.ค.-ก.ย.'!I98</f>
        <v>1995</v>
      </c>
      <c r="J98" s="459">
        <f>+'ต.ค.-ธ.ค.'!J99+'ม.ค.-มี.ค.'!J98+'เม.ย.-มิ.ย.'!J98+'ก.ค.-ก.ย.'!J98</f>
        <v>0</v>
      </c>
      <c r="K98" s="459">
        <f>+'ต.ค.-ธ.ค.'!K99+'ม.ค.-มี.ค.'!K98+'เม.ย.-มิ.ย.'!K98+'ก.ค.-ก.ย.'!K98</f>
        <v>0</v>
      </c>
      <c r="L98" s="459">
        <f>+'ต.ค.-ธ.ค.'!L99+'ม.ค.-มี.ค.'!L98+'เม.ย.-มิ.ย.'!L98+'ก.ค.-ก.ย.'!L98</f>
        <v>0</v>
      </c>
      <c r="M98" s="459">
        <f>+'ต.ค.-ธ.ค.'!M99+'ม.ค.-มี.ค.'!M98+'เม.ย.-มิ.ย.'!M98+'ก.ค.-ก.ย.'!M98</f>
        <v>0</v>
      </c>
      <c r="N98" s="459">
        <f>+'ต.ค.-ธ.ค.'!N99+'ม.ค.-มี.ค.'!N98+'เม.ย.-มิ.ย.'!N98+'ก.ค.-ก.ย.'!N98</f>
        <v>0</v>
      </c>
      <c r="O98" s="459">
        <f>+'ต.ค.-ธ.ค.'!O99+'ม.ค.-มี.ค.'!O98+'เม.ย.-มิ.ย.'!O98+'ก.ค.-ก.ย.'!O98</f>
        <v>0</v>
      </c>
      <c r="P98" s="459">
        <f>+'ต.ค.-ธ.ค.'!P99+'ม.ค.-มี.ค.'!P98+'เม.ย.-มิ.ย.'!P98+'ก.ค.-ก.ย.'!P98</f>
        <v>0</v>
      </c>
      <c r="Q98" s="459">
        <f>+'ต.ค.-ธ.ค.'!Q99+'ม.ค.-มี.ค.'!Q98+'เม.ย.-มิ.ย.'!Q98+'ก.ค.-ก.ย.'!Q98</f>
        <v>0</v>
      </c>
      <c r="R98" s="459">
        <f>+'ต.ค.-ธ.ค.'!R99+'ม.ค.-มี.ค.'!R98+'เม.ย.-มิ.ย.'!R98+'ก.ค.-ก.ย.'!R98</f>
        <v>0</v>
      </c>
      <c r="S98" s="459">
        <f>+'ต.ค.-ธ.ค.'!S99+'ม.ค.-มี.ค.'!S98+'เม.ย.-มิ.ย.'!S98+'ก.ค.-ก.ย.'!S98</f>
        <v>0</v>
      </c>
      <c r="T98" s="459">
        <f>+'ต.ค.-ธ.ค.'!T99+'ม.ค.-มี.ค.'!T98+'เม.ย.-มิ.ย.'!T98+'ก.ค.-ก.ย.'!T98</f>
        <v>0</v>
      </c>
      <c r="U98" s="459">
        <f>+'ต.ค.-ธ.ค.'!U99+'ม.ค.-มี.ค.'!U98+'เม.ย.-มิ.ย.'!U98+'ก.ค.-ก.ย.'!U98</f>
        <v>0</v>
      </c>
      <c r="V98" s="459">
        <f>+'ต.ค.-ธ.ค.'!V99+'ม.ค.-มี.ค.'!V98+'เม.ย.-มิ.ย.'!V98+'ก.ค.-ก.ย.'!V98</f>
        <v>0</v>
      </c>
      <c r="W98" s="579"/>
      <c r="X98" s="364"/>
    </row>
    <row r="99" spans="1:24" s="310" customFormat="1" ht="25.5" customHeight="1">
      <c r="A99" s="9"/>
      <c r="B99" s="187" t="s">
        <v>245</v>
      </c>
      <c r="C99" s="419">
        <v>2000</v>
      </c>
      <c r="D99" s="450"/>
      <c r="E99" s="459">
        <f>+'ต.ค.-ธ.ค.'!E100+'ม.ค.-มี.ค.'!E99+'เม.ย.-มิ.ย.'!E99+'ก.ค.-ก.ย.'!E99</f>
        <v>0</v>
      </c>
      <c r="F99" s="459">
        <f>+'ต.ค.-ธ.ค.'!F100+'ม.ค.-มี.ค.'!F99+'เม.ย.-มิ.ย.'!F99+'ก.ค.-ก.ย.'!F99</f>
        <v>0</v>
      </c>
      <c r="G99" s="459">
        <f>+'ต.ค.-ธ.ค.'!G100+'ม.ค.-มี.ค.'!G99+'เม.ย.-มิ.ย.'!G99+'ก.ค.-ก.ย.'!G99</f>
        <v>0</v>
      </c>
      <c r="H99" s="459">
        <f>+'ต.ค.-ธ.ค.'!H100+'ม.ค.-มี.ค.'!H99+'เม.ย.-มิ.ย.'!H99+'ก.ค.-ก.ย.'!H99</f>
        <v>0</v>
      </c>
      <c r="I99" s="459">
        <f>+'ต.ค.-ธ.ค.'!I100+'ม.ค.-มี.ค.'!I99+'เม.ย.-มิ.ย.'!I99+'ก.ค.-ก.ย.'!I99</f>
        <v>2000</v>
      </c>
      <c r="J99" s="459">
        <f>+'ต.ค.-ธ.ค.'!J100+'ม.ค.-มี.ค.'!J99+'เม.ย.-มิ.ย.'!J99+'ก.ค.-ก.ย.'!J99</f>
        <v>0</v>
      </c>
      <c r="K99" s="459">
        <f>+'ต.ค.-ธ.ค.'!K100+'ม.ค.-มี.ค.'!K99+'เม.ย.-มิ.ย.'!K99+'ก.ค.-ก.ย.'!K99</f>
        <v>0</v>
      </c>
      <c r="L99" s="459">
        <f>+'ต.ค.-ธ.ค.'!L100+'ม.ค.-มี.ค.'!L99+'เม.ย.-มิ.ย.'!L99+'ก.ค.-ก.ย.'!L99</f>
        <v>0</v>
      </c>
      <c r="M99" s="459">
        <f>+'ต.ค.-ธ.ค.'!M100+'ม.ค.-มี.ค.'!M99+'เม.ย.-มิ.ย.'!M99+'ก.ค.-ก.ย.'!M99</f>
        <v>0</v>
      </c>
      <c r="N99" s="459">
        <f>+'ต.ค.-ธ.ค.'!N100+'ม.ค.-มี.ค.'!N99+'เม.ย.-มิ.ย.'!N99+'ก.ค.-ก.ย.'!N99</f>
        <v>0</v>
      </c>
      <c r="O99" s="459">
        <f>+'ต.ค.-ธ.ค.'!O100+'ม.ค.-มี.ค.'!O99+'เม.ย.-มิ.ย.'!O99+'ก.ค.-ก.ย.'!O99</f>
        <v>0</v>
      </c>
      <c r="P99" s="459">
        <f>+'ต.ค.-ธ.ค.'!P100+'ม.ค.-มี.ค.'!P99+'เม.ย.-มิ.ย.'!P99+'ก.ค.-ก.ย.'!P99</f>
        <v>0</v>
      </c>
      <c r="Q99" s="459">
        <f>+'ต.ค.-ธ.ค.'!Q100+'ม.ค.-มี.ค.'!Q99+'เม.ย.-มิ.ย.'!Q99+'ก.ค.-ก.ย.'!Q99</f>
        <v>0</v>
      </c>
      <c r="R99" s="459">
        <f>+'ต.ค.-ธ.ค.'!R100+'ม.ค.-มี.ค.'!R99+'เม.ย.-มิ.ย.'!R99+'ก.ค.-ก.ย.'!R99</f>
        <v>0</v>
      </c>
      <c r="S99" s="459">
        <f>+'ต.ค.-ธ.ค.'!S100+'ม.ค.-มี.ค.'!S99+'เม.ย.-มิ.ย.'!S99+'ก.ค.-ก.ย.'!S99</f>
        <v>0</v>
      </c>
      <c r="T99" s="459">
        <f>+'ต.ค.-ธ.ค.'!T100+'ม.ค.-มี.ค.'!T99+'เม.ย.-มิ.ย.'!T99+'ก.ค.-ก.ย.'!T99</f>
        <v>0</v>
      </c>
      <c r="U99" s="459">
        <f>+'ต.ค.-ธ.ค.'!U100+'ม.ค.-มี.ค.'!U99+'เม.ย.-มิ.ย.'!U99+'ก.ค.-ก.ย.'!U99</f>
        <v>0</v>
      </c>
      <c r="V99" s="459">
        <f>+'ต.ค.-ธ.ค.'!V100+'ม.ค.-มี.ค.'!V99+'เม.ย.-มิ.ย.'!V99+'ก.ค.-ก.ย.'!V99</f>
        <v>0</v>
      </c>
      <c r="W99" s="579"/>
      <c r="X99" s="364"/>
    </row>
    <row r="100" spans="1:24" s="310" customFormat="1" ht="25.5" customHeight="1">
      <c r="A100" s="9"/>
      <c r="B100" s="187" t="s">
        <v>246</v>
      </c>
      <c r="C100" s="419">
        <v>2000</v>
      </c>
      <c r="D100" s="450"/>
      <c r="E100" s="459">
        <f>+'ต.ค.-ธ.ค.'!E101+'ม.ค.-มี.ค.'!E100+'เม.ย.-มิ.ย.'!E100+'ก.ค.-ก.ย.'!E100</f>
        <v>0</v>
      </c>
      <c r="F100" s="459">
        <f>+'ต.ค.-ธ.ค.'!F101+'ม.ค.-มี.ค.'!F100+'เม.ย.-มิ.ย.'!F100+'ก.ค.-ก.ย.'!F100</f>
        <v>0</v>
      </c>
      <c r="G100" s="459">
        <f>+'ต.ค.-ธ.ค.'!G101+'ม.ค.-มี.ค.'!G100+'เม.ย.-มิ.ย.'!G100+'ก.ค.-ก.ย.'!G100</f>
        <v>0</v>
      </c>
      <c r="H100" s="459">
        <f>+'ต.ค.-ธ.ค.'!H101+'ม.ค.-มี.ค.'!H100+'เม.ย.-มิ.ย.'!H100+'ก.ค.-ก.ย.'!H100</f>
        <v>0</v>
      </c>
      <c r="I100" s="459">
        <f>+'ต.ค.-ธ.ค.'!I101+'ม.ค.-มี.ค.'!I100+'เม.ย.-มิ.ย.'!I100+'ก.ค.-ก.ย.'!I100</f>
        <v>1000</v>
      </c>
      <c r="J100" s="459">
        <f>+'ต.ค.-ธ.ค.'!J101+'ม.ค.-มี.ค.'!J100+'เม.ย.-มิ.ย.'!J100+'ก.ค.-ก.ย.'!J100</f>
        <v>0</v>
      </c>
      <c r="K100" s="459">
        <f>+'ต.ค.-ธ.ค.'!K101+'ม.ค.-มี.ค.'!K100+'เม.ย.-มิ.ย.'!K100+'ก.ค.-ก.ย.'!K100</f>
        <v>0</v>
      </c>
      <c r="L100" s="459">
        <f>+'ต.ค.-ธ.ค.'!L101+'ม.ค.-มี.ค.'!L100+'เม.ย.-มิ.ย.'!L100+'ก.ค.-ก.ย.'!L100</f>
        <v>0</v>
      </c>
      <c r="M100" s="459">
        <f>+'ต.ค.-ธ.ค.'!M101+'ม.ค.-มี.ค.'!M100+'เม.ย.-มิ.ย.'!M100+'ก.ค.-ก.ย.'!M100</f>
        <v>0</v>
      </c>
      <c r="N100" s="459">
        <f>+'ต.ค.-ธ.ค.'!N101+'ม.ค.-มี.ค.'!N100+'เม.ย.-มิ.ย.'!N100+'ก.ค.-ก.ย.'!N100</f>
        <v>0</v>
      </c>
      <c r="O100" s="459">
        <f>+'ต.ค.-ธ.ค.'!O101+'ม.ค.-มี.ค.'!O100+'เม.ย.-มิ.ย.'!O100+'ก.ค.-ก.ย.'!O100</f>
        <v>0</v>
      </c>
      <c r="P100" s="459">
        <f>+'ต.ค.-ธ.ค.'!P101+'ม.ค.-มี.ค.'!P100+'เม.ย.-มิ.ย.'!P100+'ก.ค.-ก.ย.'!P100</f>
        <v>0</v>
      </c>
      <c r="Q100" s="459">
        <f>+'ต.ค.-ธ.ค.'!Q101+'ม.ค.-มี.ค.'!Q100+'เม.ย.-มิ.ย.'!Q100+'ก.ค.-ก.ย.'!Q100</f>
        <v>0</v>
      </c>
      <c r="R100" s="459">
        <f>+'ต.ค.-ธ.ค.'!R101+'ม.ค.-มี.ค.'!R100+'เม.ย.-มิ.ย.'!R100+'ก.ค.-ก.ย.'!R100</f>
        <v>0</v>
      </c>
      <c r="S100" s="459">
        <f>+'ต.ค.-ธ.ค.'!S101+'ม.ค.-มี.ค.'!S100+'เม.ย.-มิ.ย.'!S100+'ก.ค.-ก.ย.'!S100</f>
        <v>0</v>
      </c>
      <c r="T100" s="459">
        <f>+'ต.ค.-ธ.ค.'!T101+'ม.ค.-มี.ค.'!T100+'เม.ย.-มิ.ย.'!T100+'ก.ค.-ก.ย.'!T100</f>
        <v>0</v>
      </c>
      <c r="U100" s="459">
        <f>+'ต.ค.-ธ.ค.'!U101+'ม.ค.-มี.ค.'!U100+'เม.ย.-มิ.ย.'!U100+'ก.ค.-ก.ย.'!U100</f>
        <v>0</v>
      </c>
      <c r="V100" s="459">
        <f>+'ต.ค.-ธ.ค.'!V101+'ม.ค.-มี.ค.'!V100+'เม.ย.-มิ.ย.'!V100+'ก.ค.-ก.ย.'!V100</f>
        <v>0</v>
      </c>
      <c r="W100" s="579"/>
      <c r="X100" s="364"/>
    </row>
    <row r="101" spans="1:24" s="310" customFormat="1" ht="25.5" customHeight="1">
      <c r="A101" s="9"/>
      <c r="B101" s="187" t="s">
        <v>247</v>
      </c>
      <c r="C101" s="419">
        <v>2000</v>
      </c>
      <c r="D101" s="450"/>
      <c r="E101" s="459">
        <f>+'ต.ค.-ธ.ค.'!E102+'ม.ค.-มี.ค.'!E101+'เม.ย.-มิ.ย.'!E101+'ก.ค.-ก.ย.'!E101</f>
        <v>0</v>
      </c>
      <c r="F101" s="459">
        <f>+'ต.ค.-ธ.ค.'!F102+'ม.ค.-มี.ค.'!F101+'เม.ย.-มิ.ย.'!F101+'ก.ค.-ก.ย.'!F101</f>
        <v>0</v>
      </c>
      <c r="G101" s="459">
        <f>+'ต.ค.-ธ.ค.'!G102+'ม.ค.-มี.ค.'!G101+'เม.ย.-มิ.ย.'!G101+'ก.ค.-ก.ย.'!G101</f>
        <v>0</v>
      </c>
      <c r="H101" s="459">
        <f>+'ต.ค.-ธ.ค.'!H102+'ม.ค.-มี.ค.'!H101+'เม.ย.-มิ.ย.'!H101+'ก.ค.-ก.ย.'!H101</f>
        <v>0</v>
      </c>
      <c r="I101" s="459">
        <f>+'ต.ค.-ธ.ค.'!I102+'ม.ค.-มี.ค.'!I101+'เม.ย.-มิ.ย.'!I101+'ก.ค.-ก.ย.'!I101</f>
        <v>1000</v>
      </c>
      <c r="J101" s="459">
        <f>+'ต.ค.-ธ.ค.'!J102+'ม.ค.-มี.ค.'!J101+'เม.ย.-มิ.ย.'!J101+'ก.ค.-ก.ย.'!J101</f>
        <v>0</v>
      </c>
      <c r="K101" s="459">
        <f>+'ต.ค.-ธ.ค.'!K102+'ม.ค.-มี.ค.'!K101+'เม.ย.-มิ.ย.'!K101+'ก.ค.-ก.ย.'!K101</f>
        <v>0</v>
      </c>
      <c r="L101" s="459">
        <f>+'ต.ค.-ธ.ค.'!L102+'ม.ค.-มี.ค.'!L101+'เม.ย.-มิ.ย.'!L101+'ก.ค.-ก.ย.'!L101</f>
        <v>0</v>
      </c>
      <c r="M101" s="459">
        <f>+'ต.ค.-ธ.ค.'!M102+'ม.ค.-มี.ค.'!M101+'เม.ย.-มิ.ย.'!M101+'ก.ค.-ก.ย.'!M101</f>
        <v>0</v>
      </c>
      <c r="N101" s="459">
        <f>+'ต.ค.-ธ.ค.'!N102+'ม.ค.-มี.ค.'!N101+'เม.ย.-มิ.ย.'!N101+'ก.ค.-ก.ย.'!N101</f>
        <v>0</v>
      </c>
      <c r="O101" s="459">
        <f>+'ต.ค.-ธ.ค.'!O102+'ม.ค.-มี.ค.'!O101+'เม.ย.-มิ.ย.'!O101+'ก.ค.-ก.ย.'!O101</f>
        <v>0</v>
      </c>
      <c r="P101" s="459">
        <f>+'ต.ค.-ธ.ค.'!P102+'ม.ค.-มี.ค.'!P101+'เม.ย.-มิ.ย.'!P101+'ก.ค.-ก.ย.'!P101</f>
        <v>0</v>
      </c>
      <c r="Q101" s="459">
        <f>+'ต.ค.-ธ.ค.'!Q102+'ม.ค.-มี.ค.'!Q101+'เม.ย.-มิ.ย.'!Q101+'ก.ค.-ก.ย.'!Q101</f>
        <v>0</v>
      </c>
      <c r="R101" s="459">
        <f>+'ต.ค.-ธ.ค.'!R102+'ม.ค.-มี.ค.'!R101+'เม.ย.-มิ.ย.'!R101+'ก.ค.-ก.ย.'!R101</f>
        <v>0</v>
      </c>
      <c r="S101" s="459">
        <f>+'ต.ค.-ธ.ค.'!S102+'ม.ค.-มี.ค.'!S101+'เม.ย.-มิ.ย.'!S101+'ก.ค.-ก.ย.'!S101</f>
        <v>0</v>
      </c>
      <c r="T101" s="459">
        <f>+'ต.ค.-ธ.ค.'!T102+'ม.ค.-มี.ค.'!T101+'เม.ย.-มิ.ย.'!T101+'ก.ค.-ก.ย.'!T101</f>
        <v>0</v>
      </c>
      <c r="U101" s="459">
        <f>+'ต.ค.-ธ.ค.'!U102+'ม.ค.-มี.ค.'!U101+'เม.ย.-มิ.ย.'!U101+'ก.ค.-ก.ย.'!U101</f>
        <v>0</v>
      </c>
      <c r="V101" s="459">
        <f>+'ต.ค.-ธ.ค.'!V102+'ม.ค.-มี.ค.'!V101+'เม.ย.-มิ.ย.'!V101+'ก.ค.-ก.ย.'!V101</f>
        <v>0</v>
      </c>
      <c r="W101" s="579"/>
      <c r="X101" s="364"/>
    </row>
    <row r="102" spans="1:24" s="310" customFormat="1" ht="25.5" customHeight="1">
      <c r="A102" s="9"/>
      <c r="B102" s="187" t="s">
        <v>249</v>
      </c>
      <c r="C102" s="419">
        <v>2000</v>
      </c>
      <c r="D102" s="450"/>
      <c r="E102" s="459">
        <f>+'ต.ค.-ธ.ค.'!E103+'ม.ค.-มี.ค.'!E102+'เม.ย.-มิ.ย.'!E102+'ก.ค.-ก.ย.'!E102</f>
        <v>0</v>
      </c>
      <c r="F102" s="459">
        <f>+'ต.ค.-ธ.ค.'!F103+'ม.ค.-มี.ค.'!F102+'เม.ย.-มิ.ย.'!F102+'ก.ค.-ก.ย.'!F102</f>
        <v>0</v>
      </c>
      <c r="G102" s="459">
        <f>+'ต.ค.-ธ.ค.'!G103+'ม.ค.-มี.ค.'!G102+'เม.ย.-มิ.ย.'!G102+'ก.ค.-ก.ย.'!G102</f>
        <v>0</v>
      </c>
      <c r="H102" s="459">
        <f>+'ต.ค.-ธ.ค.'!H103+'ม.ค.-มี.ค.'!H102+'เม.ย.-มิ.ย.'!H102+'ก.ค.-ก.ย.'!H102</f>
        <v>0</v>
      </c>
      <c r="I102" s="459">
        <f>+'ต.ค.-ธ.ค.'!I103+'ม.ค.-มี.ค.'!I102+'เม.ย.-มิ.ย.'!I102+'ก.ค.-ก.ย.'!I102</f>
        <v>1000</v>
      </c>
      <c r="J102" s="459">
        <f>+'ต.ค.-ธ.ค.'!J103+'ม.ค.-มี.ค.'!J102+'เม.ย.-มิ.ย.'!J102+'ก.ค.-ก.ย.'!J102</f>
        <v>0</v>
      </c>
      <c r="K102" s="459">
        <f>+'ต.ค.-ธ.ค.'!K103+'ม.ค.-มี.ค.'!K102+'เม.ย.-มิ.ย.'!K102+'ก.ค.-ก.ย.'!K102</f>
        <v>0</v>
      </c>
      <c r="L102" s="459">
        <f>+'ต.ค.-ธ.ค.'!L103+'ม.ค.-มี.ค.'!L102+'เม.ย.-มิ.ย.'!L102+'ก.ค.-ก.ย.'!L102</f>
        <v>0</v>
      </c>
      <c r="M102" s="459">
        <f>+'ต.ค.-ธ.ค.'!M103+'ม.ค.-มี.ค.'!M102+'เม.ย.-มิ.ย.'!M102+'ก.ค.-ก.ย.'!M102</f>
        <v>0</v>
      </c>
      <c r="N102" s="459">
        <f>+'ต.ค.-ธ.ค.'!N103+'ม.ค.-มี.ค.'!N102+'เม.ย.-มิ.ย.'!N102+'ก.ค.-ก.ย.'!N102</f>
        <v>0</v>
      </c>
      <c r="O102" s="459">
        <f>+'ต.ค.-ธ.ค.'!O103+'ม.ค.-มี.ค.'!O102+'เม.ย.-มิ.ย.'!O102+'ก.ค.-ก.ย.'!O102</f>
        <v>0</v>
      </c>
      <c r="P102" s="459">
        <f>+'ต.ค.-ธ.ค.'!P103+'ม.ค.-มี.ค.'!P102+'เม.ย.-มิ.ย.'!P102+'ก.ค.-ก.ย.'!P102</f>
        <v>0</v>
      </c>
      <c r="Q102" s="459">
        <f>+'ต.ค.-ธ.ค.'!Q103+'ม.ค.-มี.ค.'!Q102+'เม.ย.-มิ.ย.'!Q102+'ก.ค.-ก.ย.'!Q102</f>
        <v>0</v>
      </c>
      <c r="R102" s="459">
        <f>+'ต.ค.-ธ.ค.'!R103+'ม.ค.-มี.ค.'!R102+'เม.ย.-มิ.ย.'!R102+'ก.ค.-ก.ย.'!R102</f>
        <v>0</v>
      </c>
      <c r="S102" s="459">
        <f>+'ต.ค.-ธ.ค.'!S103+'ม.ค.-มี.ค.'!S102+'เม.ย.-มิ.ย.'!S102+'ก.ค.-ก.ย.'!S102</f>
        <v>0</v>
      </c>
      <c r="T102" s="459">
        <f>+'ต.ค.-ธ.ค.'!T103+'ม.ค.-มี.ค.'!T102+'เม.ย.-มิ.ย.'!T102+'ก.ค.-ก.ย.'!T102</f>
        <v>0</v>
      </c>
      <c r="U102" s="459">
        <f>+'ต.ค.-ธ.ค.'!U103+'ม.ค.-มี.ค.'!U102+'เม.ย.-มิ.ย.'!U102+'ก.ค.-ก.ย.'!U102</f>
        <v>0</v>
      </c>
      <c r="V102" s="459">
        <f>+'ต.ค.-ธ.ค.'!V103+'ม.ค.-มี.ค.'!V102+'เม.ย.-มิ.ย.'!V102+'ก.ค.-ก.ย.'!V102</f>
        <v>0</v>
      </c>
      <c r="W102" s="579"/>
      <c r="X102" s="364"/>
    </row>
    <row r="103" spans="1:24" s="310" customFormat="1" ht="25.5" customHeight="1">
      <c r="A103" s="9"/>
      <c r="B103" s="187" t="s">
        <v>250</v>
      </c>
      <c r="C103" s="419">
        <v>2000</v>
      </c>
      <c r="D103" s="450"/>
      <c r="E103" s="459">
        <f>+'ต.ค.-ธ.ค.'!E104+'ม.ค.-มี.ค.'!E103+'เม.ย.-มิ.ย.'!E103+'ก.ค.-ก.ย.'!E103</f>
        <v>0</v>
      </c>
      <c r="F103" s="459">
        <f>+'ต.ค.-ธ.ค.'!F104+'ม.ค.-มี.ค.'!F103+'เม.ย.-มิ.ย.'!F103+'ก.ค.-ก.ย.'!F103</f>
        <v>0</v>
      </c>
      <c r="G103" s="459">
        <f>+'ต.ค.-ธ.ค.'!G104+'ม.ค.-มี.ค.'!G103+'เม.ย.-มิ.ย.'!G103+'ก.ค.-ก.ย.'!G103</f>
        <v>0</v>
      </c>
      <c r="H103" s="459">
        <f>+'ต.ค.-ธ.ค.'!H104+'ม.ค.-มี.ค.'!H103+'เม.ย.-มิ.ย.'!H103+'ก.ค.-ก.ย.'!H103</f>
        <v>0</v>
      </c>
      <c r="I103" s="459">
        <f>+'ต.ค.-ธ.ค.'!I104+'ม.ค.-มี.ค.'!I103+'เม.ย.-มิ.ย.'!I103+'ก.ค.-ก.ย.'!I103</f>
        <v>1000</v>
      </c>
      <c r="J103" s="459">
        <f>+'ต.ค.-ธ.ค.'!J104+'ม.ค.-มี.ค.'!J103+'เม.ย.-มิ.ย.'!J103+'ก.ค.-ก.ย.'!J103</f>
        <v>0</v>
      </c>
      <c r="K103" s="459">
        <f>+'ต.ค.-ธ.ค.'!K104+'ม.ค.-มี.ค.'!K103+'เม.ย.-มิ.ย.'!K103+'ก.ค.-ก.ย.'!K103</f>
        <v>0</v>
      </c>
      <c r="L103" s="459">
        <f>+'ต.ค.-ธ.ค.'!L104+'ม.ค.-มี.ค.'!L103+'เม.ย.-มิ.ย.'!L103+'ก.ค.-ก.ย.'!L103</f>
        <v>0</v>
      </c>
      <c r="M103" s="459">
        <f>+'ต.ค.-ธ.ค.'!M104+'ม.ค.-มี.ค.'!M103+'เม.ย.-มิ.ย.'!M103+'ก.ค.-ก.ย.'!M103</f>
        <v>0</v>
      </c>
      <c r="N103" s="459">
        <f>+'ต.ค.-ธ.ค.'!N104+'ม.ค.-มี.ค.'!N103+'เม.ย.-มิ.ย.'!N103+'ก.ค.-ก.ย.'!N103</f>
        <v>0</v>
      </c>
      <c r="O103" s="459">
        <f>+'ต.ค.-ธ.ค.'!O104+'ม.ค.-มี.ค.'!O103+'เม.ย.-มิ.ย.'!O103+'ก.ค.-ก.ย.'!O103</f>
        <v>0</v>
      </c>
      <c r="P103" s="459">
        <f>+'ต.ค.-ธ.ค.'!P104+'ม.ค.-มี.ค.'!P103+'เม.ย.-มิ.ย.'!P103+'ก.ค.-ก.ย.'!P103</f>
        <v>0</v>
      </c>
      <c r="Q103" s="459">
        <f>+'ต.ค.-ธ.ค.'!Q104+'ม.ค.-มี.ค.'!Q103+'เม.ย.-มิ.ย.'!Q103+'ก.ค.-ก.ย.'!Q103</f>
        <v>0</v>
      </c>
      <c r="R103" s="459">
        <f>+'ต.ค.-ธ.ค.'!R104+'ม.ค.-มี.ค.'!R103+'เม.ย.-มิ.ย.'!R103+'ก.ค.-ก.ย.'!R103</f>
        <v>0</v>
      </c>
      <c r="S103" s="459">
        <f>+'ต.ค.-ธ.ค.'!S104+'ม.ค.-มี.ค.'!S103+'เม.ย.-มิ.ย.'!S103+'ก.ค.-ก.ย.'!S103</f>
        <v>0</v>
      </c>
      <c r="T103" s="459">
        <f>+'ต.ค.-ธ.ค.'!T104+'ม.ค.-มี.ค.'!T103+'เม.ย.-มิ.ย.'!T103+'ก.ค.-ก.ย.'!T103</f>
        <v>0</v>
      </c>
      <c r="U103" s="459">
        <f>+'ต.ค.-ธ.ค.'!U104+'ม.ค.-มี.ค.'!U103+'เม.ย.-มิ.ย.'!U103+'ก.ค.-ก.ย.'!U103</f>
        <v>0</v>
      </c>
      <c r="V103" s="459">
        <f>+'ต.ค.-ธ.ค.'!V104+'ม.ค.-มี.ค.'!V103+'เม.ย.-มิ.ย.'!V103+'ก.ค.-ก.ย.'!V103</f>
        <v>0</v>
      </c>
      <c r="W103" s="579"/>
      <c r="X103" s="364"/>
    </row>
    <row r="104" spans="1:24" s="310" customFormat="1" ht="25.5" customHeight="1">
      <c r="A104" s="9"/>
      <c r="B104" s="187" t="s">
        <v>251</v>
      </c>
      <c r="C104" s="419">
        <v>2000</v>
      </c>
      <c r="D104" s="450"/>
      <c r="E104" s="459">
        <f>+'ต.ค.-ธ.ค.'!E105+'ม.ค.-มี.ค.'!E104+'เม.ย.-มิ.ย.'!E104+'ก.ค.-ก.ย.'!E104</f>
        <v>0</v>
      </c>
      <c r="F104" s="459">
        <f>+'ต.ค.-ธ.ค.'!F105+'ม.ค.-มี.ค.'!F104+'เม.ย.-มิ.ย.'!F104+'ก.ค.-ก.ย.'!F104</f>
        <v>0</v>
      </c>
      <c r="G104" s="459">
        <f>+'ต.ค.-ธ.ค.'!G105+'ม.ค.-มี.ค.'!G104+'เม.ย.-มิ.ย.'!G104+'ก.ค.-ก.ย.'!G104</f>
        <v>0</v>
      </c>
      <c r="H104" s="459">
        <f>+'ต.ค.-ธ.ค.'!H105+'ม.ค.-มี.ค.'!H104+'เม.ย.-มิ.ย.'!H104+'ก.ค.-ก.ย.'!H104</f>
        <v>0</v>
      </c>
      <c r="I104" s="459">
        <f>+'ต.ค.-ธ.ค.'!I105+'ม.ค.-มี.ค.'!I104+'เม.ย.-มิ.ย.'!I104+'ก.ค.-ก.ย.'!I104</f>
        <v>2000</v>
      </c>
      <c r="J104" s="459">
        <f>+'ต.ค.-ธ.ค.'!J105+'ม.ค.-มี.ค.'!J104+'เม.ย.-มิ.ย.'!J104+'ก.ค.-ก.ย.'!J104</f>
        <v>0</v>
      </c>
      <c r="K104" s="459">
        <f>+'ต.ค.-ธ.ค.'!K105+'ม.ค.-มี.ค.'!K104+'เม.ย.-มิ.ย.'!K104+'ก.ค.-ก.ย.'!K104</f>
        <v>0</v>
      </c>
      <c r="L104" s="459">
        <f>+'ต.ค.-ธ.ค.'!L105+'ม.ค.-มี.ค.'!L104+'เม.ย.-มิ.ย.'!L104+'ก.ค.-ก.ย.'!L104</f>
        <v>0</v>
      </c>
      <c r="M104" s="459">
        <f>+'ต.ค.-ธ.ค.'!M105+'ม.ค.-มี.ค.'!M104+'เม.ย.-มิ.ย.'!M104+'ก.ค.-ก.ย.'!M104</f>
        <v>0</v>
      </c>
      <c r="N104" s="459">
        <f>+'ต.ค.-ธ.ค.'!N105+'ม.ค.-มี.ค.'!N104+'เม.ย.-มิ.ย.'!N104+'ก.ค.-ก.ย.'!N104</f>
        <v>0</v>
      </c>
      <c r="O104" s="459">
        <f>+'ต.ค.-ธ.ค.'!O105+'ม.ค.-มี.ค.'!O104+'เม.ย.-มิ.ย.'!O104+'ก.ค.-ก.ย.'!O104</f>
        <v>0</v>
      </c>
      <c r="P104" s="459">
        <f>+'ต.ค.-ธ.ค.'!P105+'ม.ค.-มี.ค.'!P104+'เม.ย.-มิ.ย.'!P104+'ก.ค.-ก.ย.'!P104</f>
        <v>0</v>
      </c>
      <c r="Q104" s="459">
        <f>+'ต.ค.-ธ.ค.'!Q105+'ม.ค.-มี.ค.'!Q104+'เม.ย.-มิ.ย.'!Q104+'ก.ค.-ก.ย.'!Q104</f>
        <v>0</v>
      </c>
      <c r="R104" s="459">
        <f>+'ต.ค.-ธ.ค.'!R105+'ม.ค.-มี.ค.'!R104+'เม.ย.-มิ.ย.'!R104+'ก.ค.-ก.ย.'!R104</f>
        <v>0</v>
      </c>
      <c r="S104" s="459">
        <f>+'ต.ค.-ธ.ค.'!S105+'ม.ค.-มี.ค.'!S104+'เม.ย.-มิ.ย.'!S104+'ก.ค.-ก.ย.'!S104</f>
        <v>0</v>
      </c>
      <c r="T104" s="459">
        <f>+'ต.ค.-ธ.ค.'!T105+'ม.ค.-มี.ค.'!T104+'เม.ย.-มิ.ย.'!T104+'ก.ค.-ก.ย.'!T104</f>
        <v>0</v>
      </c>
      <c r="U104" s="459">
        <f>+'ต.ค.-ธ.ค.'!U105+'ม.ค.-มี.ค.'!U104+'เม.ย.-มิ.ย.'!U104+'ก.ค.-ก.ย.'!U104</f>
        <v>0</v>
      </c>
      <c r="V104" s="459">
        <f>+'ต.ค.-ธ.ค.'!V105+'ม.ค.-มี.ค.'!V104+'เม.ย.-มิ.ย.'!V104+'ก.ค.-ก.ย.'!V104</f>
        <v>0</v>
      </c>
      <c r="W104" s="579"/>
      <c r="X104" s="364"/>
    </row>
    <row r="105" spans="1:24" s="310" customFormat="1" ht="25.5" customHeight="1">
      <c r="A105" s="9"/>
      <c r="B105" s="187" t="s">
        <v>252</v>
      </c>
      <c r="C105" s="419">
        <v>2000</v>
      </c>
      <c r="D105" s="450"/>
      <c r="E105" s="459">
        <f>+'ต.ค.-ธ.ค.'!E106+'ม.ค.-มี.ค.'!E105+'เม.ย.-มิ.ย.'!E105+'ก.ค.-ก.ย.'!E105</f>
        <v>0</v>
      </c>
      <c r="F105" s="459">
        <f>+'ต.ค.-ธ.ค.'!F106+'ม.ค.-มี.ค.'!F105+'เม.ย.-มิ.ย.'!F105+'ก.ค.-ก.ย.'!F105</f>
        <v>0</v>
      </c>
      <c r="G105" s="459">
        <f>+'ต.ค.-ธ.ค.'!G106+'ม.ค.-มี.ค.'!G105+'เม.ย.-มิ.ย.'!G105+'ก.ค.-ก.ย.'!G105</f>
        <v>0</v>
      </c>
      <c r="H105" s="459">
        <f>+'ต.ค.-ธ.ค.'!H106+'ม.ค.-มี.ค.'!H105+'เม.ย.-มิ.ย.'!H105+'ก.ค.-ก.ย.'!H105</f>
        <v>0</v>
      </c>
      <c r="I105" s="459">
        <f>+'ต.ค.-ธ.ค.'!I106+'ม.ค.-มี.ค.'!I105+'เม.ย.-มิ.ย.'!I105+'ก.ค.-ก.ย.'!I105</f>
        <v>2000</v>
      </c>
      <c r="J105" s="459">
        <f>+'ต.ค.-ธ.ค.'!J106+'ม.ค.-มี.ค.'!J105+'เม.ย.-มิ.ย.'!J105+'ก.ค.-ก.ย.'!J105</f>
        <v>0</v>
      </c>
      <c r="K105" s="459">
        <f>+'ต.ค.-ธ.ค.'!K106+'ม.ค.-มี.ค.'!K105+'เม.ย.-มิ.ย.'!K105+'ก.ค.-ก.ย.'!K105</f>
        <v>0</v>
      </c>
      <c r="L105" s="459">
        <f>+'ต.ค.-ธ.ค.'!L106+'ม.ค.-มี.ค.'!L105+'เม.ย.-มิ.ย.'!L105+'ก.ค.-ก.ย.'!L105</f>
        <v>0</v>
      </c>
      <c r="M105" s="459">
        <f>+'ต.ค.-ธ.ค.'!M106+'ม.ค.-มี.ค.'!M105+'เม.ย.-มิ.ย.'!M105+'ก.ค.-ก.ย.'!M105</f>
        <v>0</v>
      </c>
      <c r="N105" s="459">
        <f>+'ต.ค.-ธ.ค.'!N106+'ม.ค.-มี.ค.'!N105+'เม.ย.-มิ.ย.'!N105+'ก.ค.-ก.ย.'!N105</f>
        <v>0</v>
      </c>
      <c r="O105" s="459">
        <f>+'ต.ค.-ธ.ค.'!O106+'ม.ค.-มี.ค.'!O105+'เม.ย.-มิ.ย.'!O105+'ก.ค.-ก.ย.'!O105</f>
        <v>0</v>
      </c>
      <c r="P105" s="459">
        <f>+'ต.ค.-ธ.ค.'!P106+'ม.ค.-มี.ค.'!P105+'เม.ย.-มิ.ย.'!P105+'ก.ค.-ก.ย.'!P105</f>
        <v>0</v>
      </c>
      <c r="Q105" s="459">
        <f>+'ต.ค.-ธ.ค.'!Q106+'ม.ค.-มี.ค.'!Q105+'เม.ย.-มิ.ย.'!Q105+'ก.ค.-ก.ย.'!Q105</f>
        <v>0</v>
      </c>
      <c r="R105" s="459">
        <f>+'ต.ค.-ธ.ค.'!R106+'ม.ค.-มี.ค.'!R105+'เม.ย.-มิ.ย.'!R105+'ก.ค.-ก.ย.'!R105</f>
        <v>0</v>
      </c>
      <c r="S105" s="459">
        <f>+'ต.ค.-ธ.ค.'!S106+'ม.ค.-มี.ค.'!S105+'เม.ย.-มิ.ย.'!S105+'ก.ค.-ก.ย.'!S105</f>
        <v>0</v>
      </c>
      <c r="T105" s="459">
        <f>+'ต.ค.-ธ.ค.'!T106+'ม.ค.-มี.ค.'!T105+'เม.ย.-มิ.ย.'!T105+'ก.ค.-ก.ย.'!T105</f>
        <v>0</v>
      </c>
      <c r="U105" s="459">
        <f>+'ต.ค.-ธ.ค.'!U106+'ม.ค.-มี.ค.'!U105+'เม.ย.-มิ.ย.'!U105+'ก.ค.-ก.ย.'!U105</f>
        <v>0</v>
      </c>
      <c r="V105" s="459">
        <f>+'ต.ค.-ธ.ค.'!V106+'ม.ค.-มี.ค.'!V105+'เม.ย.-มิ.ย.'!V105+'ก.ค.-ก.ย.'!V105</f>
        <v>0</v>
      </c>
      <c r="W105" s="579"/>
      <c r="X105" s="364"/>
    </row>
    <row r="106" spans="1:24" s="310" customFormat="1" ht="25.5" customHeight="1">
      <c r="A106" s="9"/>
      <c r="B106" s="187" t="s">
        <v>253</v>
      </c>
      <c r="C106" s="419">
        <v>2000</v>
      </c>
      <c r="D106" s="450"/>
      <c r="E106" s="459">
        <f>+'ต.ค.-ธ.ค.'!E107+'ม.ค.-มี.ค.'!E106+'เม.ย.-มิ.ย.'!E106+'ก.ค.-ก.ย.'!E106</f>
        <v>0</v>
      </c>
      <c r="F106" s="459">
        <f>+'ต.ค.-ธ.ค.'!F107+'ม.ค.-มี.ค.'!F106+'เม.ย.-มิ.ย.'!F106+'ก.ค.-ก.ย.'!F106</f>
        <v>0</v>
      </c>
      <c r="G106" s="459">
        <f>+'ต.ค.-ธ.ค.'!G107+'ม.ค.-มี.ค.'!G106+'เม.ย.-มิ.ย.'!G106+'ก.ค.-ก.ย.'!G106</f>
        <v>0</v>
      </c>
      <c r="H106" s="459">
        <f>+'ต.ค.-ธ.ค.'!H107+'ม.ค.-มี.ค.'!H106+'เม.ย.-มิ.ย.'!H106+'ก.ค.-ก.ย.'!H106</f>
        <v>0</v>
      </c>
      <c r="I106" s="459">
        <f>+'ต.ค.-ธ.ค.'!I107+'ม.ค.-มี.ค.'!I106+'เม.ย.-มิ.ย.'!I106+'ก.ค.-ก.ย.'!I106</f>
        <v>2000</v>
      </c>
      <c r="J106" s="459">
        <f>+'ต.ค.-ธ.ค.'!J107+'ม.ค.-มี.ค.'!J106+'เม.ย.-มิ.ย.'!J106+'ก.ค.-ก.ย.'!J106</f>
        <v>0</v>
      </c>
      <c r="K106" s="459">
        <f>+'ต.ค.-ธ.ค.'!K107+'ม.ค.-มี.ค.'!K106+'เม.ย.-มิ.ย.'!K106+'ก.ค.-ก.ย.'!K106</f>
        <v>0</v>
      </c>
      <c r="L106" s="459">
        <f>+'ต.ค.-ธ.ค.'!L107+'ม.ค.-มี.ค.'!L106+'เม.ย.-มิ.ย.'!L106+'ก.ค.-ก.ย.'!L106</f>
        <v>0</v>
      </c>
      <c r="M106" s="459">
        <f>+'ต.ค.-ธ.ค.'!M107+'ม.ค.-มี.ค.'!M106+'เม.ย.-มิ.ย.'!M106+'ก.ค.-ก.ย.'!M106</f>
        <v>0</v>
      </c>
      <c r="N106" s="459">
        <f>+'ต.ค.-ธ.ค.'!N107+'ม.ค.-มี.ค.'!N106+'เม.ย.-มิ.ย.'!N106+'ก.ค.-ก.ย.'!N106</f>
        <v>0</v>
      </c>
      <c r="O106" s="459">
        <f>+'ต.ค.-ธ.ค.'!O107+'ม.ค.-มี.ค.'!O106+'เม.ย.-มิ.ย.'!O106+'ก.ค.-ก.ย.'!O106</f>
        <v>0</v>
      </c>
      <c r="P106" s="459">
        <f>+'ต.ค.-ธ.ค.'!P107+'ม.ค.-มี.ค.'!P106+'เม.ย.-มิ.ย.'!P106+'ก.ค.-ก.ย.'!P106</f>
        <v>0</v>
      </c>
      <c r="Q106" s="459">
        <f>+'ต.ค.-ธ.ค.'!Q107+'ม.ค.-มี.ค.'!Q106+'เม.ย.-มิ.ย.'!Q106+'ก.ค.-ก.ย.'!Q106</f>
        <v>0</v>
      </c>
      <c r="R106" s="459">
        <f>+'ต.ค.-ธ.ค.'!R107+'ม.ค.-มี.ค.'!R106+'เม.ย.-มิ.ย.'!R106+'ก.ค.-ก.ย.'!R106</f>
        <v>0</v>
      </c>
      <c r="S106" s="459">
        <f>+'ต.ค.-ธ.ค.'!S107+'ม.ค.-มี.ค.'!S106+'เม.ย.-มิ.ย.'!S106+'ก.ค.-ก.ย.'!S106</f>
        <v>0</v>
      </c>
      <c r="T106" s="459">
        <f>+'ต.ค.-ธ.ค.'!T107+'ม.ค.-มี.ค.'!T106+'เม.ย.-มิ.ย.'!T106+'ก.ค.-ก.ย.'!T106</f>
        <v>0</v>
      </c>
      <c r="U106" s="459">
        <f>+'ต.ค.-ธ.ค.'!U107+'ม.ค.-มี.ค.'!U106+'เม.ย.-มิ.ย.'!U106+'ก.ค.-ก.ย.'!U106</f>
        <v>0</v>
      </c>
      <c r="V106" s="459">
        <f>+'ต.ค.-ธ.ค.'!V107+'ม.ค.-มี.ค.'!V106+'เม.ย.-มิ.ย.'!V106+'ก.ค.-ก.ย.'!V106</f>
        <v>0</v>
      </c>
      <c r="W106" s="579"/>
      <c r="X106" s="364"/>
    </row>
    <row r="107" spans="1:24" s="310" customFormat="1" ht="25.5" customHeight="1">
      <c r="A107" s="9"/>
      <c r="B107" s="187" t="s">
        <v>254</v>
      </c>
      <c r="C107" s="419">
        <v>2000</v>
      </c>
      <c r="D107" s="450"/>
      <c r="E107" s="459">
        <f>+'ต.ค.-ธ.ค.'!E108+'ม.ค.-มี.ค.'!E107+'เม.ย.-มิ.ย.'!E107+'ก.ค.-ก.ย.'!E107</f>
        <v>0</v>
      </c>
      <c r="F107" s="459">
        <f>+'ต.ค.-ธ.ค.'!F108+'ม.ค.-มี.ค.'!F107+'เม.ย.-มิ.ย.'!F107+'ก.ค.-ก.ย.'!F107</f>
        <v>0</v>
      </c>
      <c r="G107" s="459">
        <f>+'ต.ค.-ธ.ค.'!G108+'ม.ค.-มี.ค.'!G107+'เม.ย.-มิ.ย.'!G107+'ก.ค.-ก.ย.'!G107</f>
        <v>0</v>
      </c>
      <c r="H107" s="459">
        <f>+'ต.ค.-ธ.ค.'!H108+'ม.ค.-มี.ค.'!H107+'เม.ย.-มิ.ย.'!H107+'ก.ค.-ก.ย.'!H107</f>
        <v>0</v>
      </c>
      <c r="I107" s="459">
        <f>+'ต.ค.-ธ.ค.'!I108+'ม.ค.-มี.ค.'!I107+'เม.ย.-มิ.ย.'!I107+'ก.ค.-ก.ย.'!I107</f>
        <v>2000</v>
      </c>
      <c r="J107" s="459">
        <f>+'ต.ค.-ธ.ค.'!J108+'ม.ค.-มี.ค.'!J107+'เม.ย.-มิ.ย.'!J107+'ก.ค.-ก.ย.'!J107</f>
        <v>0</v>
      </c>
      <c r="K107" s="459">
        <f>+'ต.ค.-ธ.ค.'!K108+'ม.ค.-มี.ค.'!K107+'เม.ย.-มิ.ย.'!K107+'ก.ค.-ก.ย.'!K107</f>
        <v>0</v>
      </c>
      <c r="L107" s="459">
        <f>+'ต.ค.-ธ.ค.'!L108+'ม.ค.-มี.ค.'!L107+'เม.ย.-มิ.ย.'!L107+'ก.ค.-ก.ย.'!L107</f>
        <v>0</v>
      </c>
      <c r="M107" s="459">
        <f>+'ต.ค.-ธ.ค.'!M108+'ม.ค.-มี.ค.'!M107+'เม.ย.-มิ.ย.'!M107+'ก.ค.-ก.ย.'!M107</f>
        <v>0</v>
      </c>
      <c r="N107" s="459">
        <f>+'ต.ค.-ธ.ค.'!N108+'ม.ค.-มี.ค.'!N107+'เม.ย.-มิ.ย.'!N107+'ก.ค.-ก.ย.'!N107</f>
        <v>0</v>
      </c>
      <c r="O107" s="459">
        <f>+'ต.ค.-ธ.ค.'!O108+'ม.ค.-มี.ค.'!O107+'เม.ย.-มิ.ย.'!O107+'ก.ค.-ก.ย.'!O107</f>
        <v>0</v>
      </c>
      <c r="P107" s="459">
        <f>+'ต.ค.-ธ.ค.'!P108+'ม.ค.-มี.ค.'!P107+'เม.ย.-มิ.ย.'!P107+'ก.ค.-ก.ย.'!P107</f>
        <v>0</v>
      </c>
      <c r="Q107" s="459">
        <f>+'ต.ค.-ธ.ค.'!Q108+'ม.ค.-มี.ค.'!Q107+'เม.ย.-มิ.ย.'!Q107+'ก.ค.-ก.ย.'!Q107</f>
        <v>0</v>
      </c>
      <c r="R107" s="459">
        <f>+'ต.ค.-ธ.ค.'!R108+'ม.ค.-มี.ค.'!R107+'เม.ย.-มิ.ย.'!R107+'ก.ค.-ก.ย.'!R107</f>
        <v>0</v>
      </c>
      <c r="S107" s="459">
        <f>+'ต.ค.-ธ.ค.'!S108+'ม.ค.-มี.ค.'!S107+'เม.ย.-มิ.ย.'!S107+'ก.ค.-ก.ย.'!S107</f>
        <v>0</v>
      </c>
      <c r="T107" s="459">
        <f>+'ต.ค.-ธ.ค.'!T108+'ม.ค.-มี.ค.'!T107+'เม.ย.-มิ.ย.'!T107+'ก.ค.-ก.ย.'!T107</f>
        <v>0</v>
      </c>
      <c r="U107" s="459">
        <f>+'ต.ค.-ธ.ค.'!U108+'ม.ค.-มี.ค.'!U107+'เม.ย.-มิ.ย.'!U107+'ก.ค.-ก.ย.'!U107</f>
        <v>0</v>
      </c>
      <c r="V107" s="459">
        <f>+'ต.ค.-ธ.ค.'!V108+'ม.ค.-มี.ค.'!V107+'เม.ย.-มิ.ย.'!V107+'ก.ค.-ก.ย.'!V107</f>
        <v>0</v>
      </c>
      <c r="W107" s="579"/>
      <c r="X107" s="364"/>
    </row>
    <row r="108" spans="1:24" s="310" customFormat="1" ht="25.5" customHeight="1">
      <c r="A108" s="9"/>
      <c r="B108" s="187" t="s">
        <v>312</v>
      </c>
      <c r="C108" s="419">
        <v>2500</v>
      </c>
      <c r="D108" s="450"/>
      <c r="E108" s="459">
        <f>+'ต.ค.-ธ.ค.'!E109+'ม.ค.-มี.ค.'!E108+'เม.ย.-มิ.ย.'!E108+'ก.ค.-ก.ย.'!E108</f>
        <v>0</v>
      </c>
      <c r="F108" s="459">
        <f>+'ต.ค.-ธ.ค.'!F109+'ม.ค.-มี.ค.'!F108+'เม.ย.-มิ.ย.'!F108+'ก.ค.-ก.ย.'!F108</f>
        <v>0</v>
      </c>
      <c r="G108" s="459">
        <f>+'ต.ค.-ธ.ค.'!G109+'ม.ค.-มี.ค.'!G108+'เม.ย.-มิ.ย.'!G108+'ก.ค.-ก.ย.'!G108</f>
        <v>0</v>
      </c>
      <c r="H108" s="459">
        <f>+'ต.ค.-ธ.ค.'!H109+'ม.ค.-มี.ค.'!H108+'เม.ย.-มิ.ย.'!H108+'ก.ค.-ก.ย.'!H108</f>
        <v>0</v>
      </c>
      <c r="I108" s="459">
        <f>+'ต.ค.-ธ.ค.'!I109+'ม.ค.-มี.ค.'!I108+'เม.ย.-มิ.ย.'!I108+'ก.ค.-ก.ย.'!I108</f>
        <v>2493</v>
      </c>
      <c r="J108" s="459">
        <f>+'ต.ค.-ธ.ค.'!J109+'ม.ค.-มี.ค.'!J108+'เม.ย.-มิ.ย.'!J108+'ก.ค.-ก.ย.'!J108</f>
        <v>0</v>
      </c>
      <c r="K108" s="459">
        <f>+'ต.ค.-ธ.ค.'!K109+'ม.ค.-มี.ค.'!K108+'เม.ย.-มิ.ย.'!K108+'ก.ค.-ก.ย.'!K108</f>
        <v>0</v>
      </c>
      <c r="L108" s="459">
        <f>+'ต.ค.-ธ.ค.'!L109+'ม.ค.-มี.ค.'!L108+'เม.ย.-มิ.ย.'!L108+'ก.ค.-ก.ย.'!L108</f>
        <v>0</v>
      </c>
      <c r="M108" s="459">
        <f>+'ต.ค.-ธ.ค.'!M109+'ม.ค.-มี.ค.'!M108+'เม.ย.-มิ.ย.'!M108+'ก.ค.-ก.ย.'!M108</f>
        <v>0</v>
      </c>
      <c r="N108" s="459">
        <f>+'ต.ค.-ธ.ค.'!N109+'ม.ค.-มี.ค.'!N108+'เม.ย.-มิ.ย.'!N108+'ก.ค.-ก.ย.'!N108</f>
        <v>0</v>
      </c>
      <c r="O108" s="459">
        <f>+'ต.ค.-ธ.ค.'!O109+'ม.ค.-มี.ค.'!O108+'เม.ย.-มิ.ย.'!O108+'ก.ค.-ก.ย.'!O108</f>
        <v>0</v>
      </c>
      <c r="P108" s="459">
        <f>+'ต.ค.-ธ.ค.'!P109+'ม.ค.-มี.ค.'!P108+'เม.ย.-มิ.ย.'!P108+'ก.ค.-ก.ย.'!P108</f>
        <v>0</v>
      </c>
      <c r="Q108" s="459">
        <f>+'ต.ค.-ธ.ค.'!Q109+'ม.ค.-มี.ค.'!Q108+'เม.ย.-มิ.ย.'!Q108+'ก.ค.-ก.ย.'!Q108</f>
        <v>0</v>
      </c>
      <c r="R108" s="459">
        <f>+'ต.ค.-ธ.ค.'!R109+'ม.ค.-มี.ค.'!R108+'เม.ย.-มิ.ย.'!R108+'ก.ค.-ก.ย.'!R108</f>
        <v>0</v>
      </c>
      <c r="S108" s="459">
        <f>+'ต.ค.-ธ.ค.'!S109+'ม.ค.-มี.ค.'!S108+'เม.ย.-มิ.ย.'!S108+'ก.ค.-ก.ย.'!S108</f>
        <v>0</v>
      </c>
      <c r="T108" s="459">
        <f>+'ต.ค.-ธ.ค.'!T109+'ม.ค.-มี.ค.'!T108+'เม.ย.-มิ.ย.'!T108+'ก.ค.-ก.ย.'!T108</f>
        <v>0</v>
      </c>
      <c r="U108" s="459">
        <f>+'ต.ค.-ธ.ค.'!U109+'ม.ค.-มี.ค.'!U108+'เม.ย.-มิ.ย.'!U108+'ก.ค.-ก.ย.'!U108</f>
        <v>0</v>
      </c>
      <c r="V108" s="459">
        <f>+'ต.ค.-ธ.ค.'!V109+'ม.ค.-มี.ค.'!V108+'เม.ย.-มิ.ย.'!V108+'ก.ค.-ก.ย.'!V108</f>
        <v>0</v>
      </c>
      <c r="W108" s="579"/>
      <c r="X108" s="364"/>
    </row>
    <row r="109" spans="1:24" s="310" customFormat="1" ht="25.5" customHeight="1">
      <c r="A109" s="9"/>
      <c r="B109" s="187" t="s">
        <v>313</v>
      </c>
      <c r="C109" s="419">
        <v>2500</v>
      </c>
      <c r="D109" s="442"/>
      <c r="E109" s="459">
        <f>+'ต.ค.-ธ.ค.'!E110+'ม.ค.-มี.ค.'!E109+'เม.ย.-มิ.ย.'!E109+'ก.ค.-ก.ย.'!E109</f>
        <v>0</v>
      </c>
      <c r="F109" s="459">
        <f>+'ต.ค.-ธ.ค.'!F110+'ม.ค.-มี.ค.'!F109+'เม.ย.-มิ.ย.'!F109+'ก.ค.-ก.ย.'!F109</f>
        <v>0</v>
      </c>
      <c r="G109" s="459">
        <f>+'ต.ค.-ธ.ค.'!G110+'ม.ค.-มี.ค.'!G109+'เม.ย.-มิ.ย.'!G109+'ก.ค.-ก.ย.'!G109</f>
        <v>0</v>
      </c>
      <c r="H109" s="459">
        <f>+'ต.ค.-ธ.ค.'!H110+'ม.ค.-มี.ค.'!H109+'เม.ย.-มิ.ย.'!H109+'ก.ค.-ก.ย.'!H109</f>
        <v>0</v>
      </c>
      <c r="I109" s="459">
        <f>+'ต.ค.-ธ.ค.'!I110+'ม.ค.-มี.ค.'!I109+'เม.ย.-มิ.ย.'!I109+'ก.ค.-ก.ย.'!I109</f>
        <v>2495</v>
      </c>
      <c r="J109" s="459">
        <f>+'ต.ค.-ธ.ค.'!J110+'ม.ค.-มี.ค.'!J109+'เม.ย.-มิ.ย.'!J109+'ก.ค.-ก.ย.'!J109</f>
        <v>0</v>
      </c>
      <c r="K109" s="459">
        <f>+'ต.ค.-ธ.ค.'!K110+'ม.ค.-มี.ค.'!K109+'เม.ย.-มิ.ย.'!K109+'ก.ค.-ก.ย.'!K109</f>
        <v>0</v>
      </c>
      <c r="L109" s="459">
        <f>+'ต.ค.-ธ.ค.'!L110+'ม.ค.-มี.ค.'!L109+'เม.ย.-มิ.ย.'!L109+'ก.ค.-ก.ย.'!L109</f>
        <v>0</v>
      </c>
      <c r="M109" s="459">
        <f>+'ต.ค.-ธ.ค.'!M110+'ม.ค.-มี.ค.'!M109+'เม.ย.-มิ.ย.'!M109+'ก.ค.-ก.ย.'!M109</f>
        <v>0</v>
      </c>
      <c r="N109" s="459">
        <f>+'ต.ค.-ธ.ค.'!N110+'ม.ค.-มี.ค.'!N109+'เม.ย.-มิ.ย.'!N109+'ก.ค.-ก.ย.'!N109</f>
        <v>0</v>
      </c>
      <c r="O109" s="459">
        <f>+'ต.ค.-ธ.ค.'!O110+'ม.ค.-มี.ค.'!O109+'เม.ย.-มิ.ย.'!O109+'ก.ค.-ก.ย.'!O109</f>
        <v>0</v>
      </c>
      <c r="P109" s="459">
        <f>+'ต.ค.-ธ.ค.'!P110+'ม.ค.-มี.ค.'!P109+'เม.ย.-มิ.ย.'!P109+'ก.ค.-ก.ย.'!P109</f>
        <v>0</v>
      </c>
      <c r="Q109" s="459">
        <f>+'ต.ค.-ธ.ค.'!Q110+'ม.ค.-มี.ค.'!Q109+'เม.ย.-มิ.ย.'!Q109+'ก.ค.-ก.ย.'!Q109</f>
        <v>0</v>
      </c>
      <c r="R109" s="459">
        <f>+'ต.ค.-ธ.ค.'!R110+'ม.ค.-มี.ค.'!R109+'เม.ย.-มิ.ย.'!R109+'ก.ค.-ก.ย.'!R109</f>
        <v>0</v>
      </c>
      <c r="S109" s="459">
        <f>+'ต.ค.-ธ.ค.'!S110+'ม.ค.-มี.ค.'!S109+'เม.ย.-มิ.ย.'!S109+'ก.ค.-ก.ย.'!S109</f>
        <v>0</v>
      </c>
      <c r="T109" s="459">
        <f>+'ต.ค.-ธ.ค.'!T110+'ม.ค.-มี.ค.'!T109+'เม.ย.-มิ.ย.'!T109+'ก.ค.-ก.ย.'!T109</f>
        <v>0</v>
      </c>
      <c r="U109" s="459">
        <f>+'ต.ค.-ธ.ค.'!U110+'ม.ค.-มี.ค.'!U109+'เม.ย.-มิ.ย.'!U109+'ก.ค.-ก.ย.'!U109</f>
        <v>0</v>
      </c>
      <c r="V109" s="459">
        <f>+'ต.ค.-ธ.ค.'!V110+'ม.ค.-มี.ค.'!V109+'เม.ย.-มิ.ย.'!V109+'ก.ค.-ก.ย.'!V109</f>
        <v>0</v>
      </c>
      <c r="W109" s="579"/>
      <c r="X109" s="364"/>
    </row>
    <row r="110" spans="1:24" s="310" customFormat="1" ht="25.5" customHeight="1">
      <c r="A110" s="9"/>
      <c r="B110" s="187" t="s">
        <v>314</v>
      </c>
      <c r="C110" s="419">
        <v>2500</v>
      </c>
      <c r="D110" s="450"/>
      <c r="E110" s="459">
        <f>+'ต.ค.-ธ.ค.'!E111+'ม.ค.-มี.ค.'!E110+'เม.ย.-มิ.ย.'!E110+'ก.ค.-ก.ย.'!E110</f>
        <v>0</v>
      </c>
      <c r="F110" s="459">
        <f>+'ต.ค.-ธ.ค.'!F111+'ม.ค.-มี.ค.'!F110+'เม.ย.-มิ.ย.'!F110+'ก.ค.-ก.ย.'!F110</f>
        <v>0</v>
      </c>
      <c r="G110" s="459">
        <f>+'ต.ค.-ธ.ค.'!G111+'ม.ค.-มี.ค.'!G110+'เม.ย.-มิ.ย.'!G110+'ก.ค.-ก.ย.'!G110</f>
        <v>0</v>
      </c>
      <c r="H110" s="459">
        <f>+'ต.ค.-ธ.ค.'!H111+'ม.ค.-มี.ค.'!H110+'เม.ย.-มิ.ย.'!H110+'ก.ค.-ก.ย.'!H110</f>
        <v>0</v>
      </c>
      <c r="I110" s="459">
        <f>+'ต.ค.-ธ.ค.'!I111+'ม.ค.-มี.ค.'!I110+'เม.ย.-มิ.ย.'!I110+'ก.ค.-ก.ย.'!I110</f>
        <v>2492</v>
      </c>
      <c r="J110" s="459">
        <f>+'ต.ค.-ธ.ค.'!J111+'ม.ค.-มี.ค.'!J110+'เม.ย.-มิ.ย.'!J110+'ก.ค.-ก.ย.'!J110</f>
        <v>0</v>
      </c>
      <c r="K110" s="459">
        <f>+'ต.ค.-ธ.ค.'!K111+'ม.ค.-มี.ค.'!K110+'เม.ย.-มิ.ย.'!K110+'ก.ค.-ก.ย.'!K110</f>
        <v>0</v>
      </c>
      <c r="L110" s="459">
        <f>+'ต.ค.-ธ.ค.'!L111+'ม.ค.-มี.ค.'!L110+'เม.ย.-มิ.ย.'!L110+'ก.ค.-ก.ย.'!L110</f>
        <v>0</v>
      </c>
      <c r="M110" s="459">
        <f>+'ต.ค.-ธ.ค.'!M111+'ม.ค.-มี.ค.'!M110+'เม.ย.-มิ.ย.'!M110+'ก.ค.-ก.ย.'!M110</f>
        <v>0</v>
      </c>
      <c r="N110" s="459">
        <f>+'ต.ค.-ธ.ค.'!N111+'ม.ค.-มี.ค.'!N110+'เม.ย.-มิ.ย.'!N110+'ก.ค.-ก.ย.'!N110</f>
        <v>0</v>
      </c>
      <c r="O110" s="459">
        <f>+'ต.ค.-ธ.ค.'!O111+'ม.ค.-มี.ค.'!O110+'เม.ย.-มิ.ย.'!O110+'ก.ค.-ก.ย.'!O110</f>
        <v>0</v>
      </c>
      <c r="P110" s="459">
        <f>+'ต.ค.-ธ.ค.'!P111+'ม.ค.-มี.ค.'!P110+'เม.ย.-มิ.ย.'!P110+'ก.ค.-ก.ย.'!P110</f>
        <v>0</v>
      </c>
      <c r="Q110" s="459">
        <f>+'ต.ค.-ธ.ค.'!Q111+'ม.ค.-มี.ค.'!Q110+'เม.ย.-มิ.ย.'!Q110+'ก.ค.-ก.ย.'!Q110</f>
        <v>0</v>
      </c>
      <c r="R110" s="459">
        <f>+'ต.ค.-ธ.ค.'!R111+'ม.ค.-มี.ค.'!R110+'เม.ย.-มิ.ย.'!R110+'ก.ค.-ก.ย.'!R110</f>
        <v>0</v>
      </c>
      <c r="S110" s="459">
        <f>+'ต.ค.-ธ.ค.'!S111+'ม.ค.-มี.ค.'!S110+'เม.ย.-มิ.ย.'!S110+'ก.ค.-ก.ย.'!S110</f>
        <v>0</v>
      </c>
      <c r="T110" s="459">
        <f>+'ต.ค.-ธ.ค.'!T111+'ม.ค.-มี.ค.'!T110+'เม.ย.-มิ.ย.'!T110+'ก.ค.-ก.ย.'!T110</f>
        <v>0</v>
      </c>
      <c r="U110" s="459">
        <f>+'ต.ค.-ธ.ค.'!U111+'ม.ค.-มี.ค.'!U110+'เม.ย.-มิ.ย.'!U110+'ก.ค.-ก.ย.'!U110</f>
        <v>0</v>
      </c>
      <c r="V110" s="459">
        <f>+'ต.ค.-ธ.ค.'!V111+'ม.ค.-มี.ค.'!V110+'เม.ย.-มิ.ย.'!V110+'ก.ค.-ก.ย.'!V110</f>
        <v>0</v>
      </c>
      <c r="W110" s="579"/>
      <c r="X110" s="364"/>
    </row>
    <row r="111" spans="1:24" s="310" customFormat="1" ht="25.5" customHeight="1">
      <c r="A111" s="9"/>
      <c r="B111" s="187" t="s">
        <v>255</v>
      </c>
      <c r="C111" s="419">
        <v>4000</v>
      </c>
      <c r="D111" s="450"/>
      <c r="E111" s="459">
        <f>+'ต.ค.-ธ.ค.'!E112+'ม.ค.-มี.ค.'!E111+'เม.ย.-มิ.ย.'!E111+'ก.ค.-ก.ย.'!E111</f>
        <v>0</v>
      </c>
      <c r="F111" s="459">
        <f>+'ต.ค.-ธ.ค.'!F112+'ม.ค.-มี.ค.'!F111+'เม.ย.-มิ.ย.'!F111+'ก.ค.-ก.ย.'!F111</f>
        <v>0</v>
      </c>
      <c r="G111" s="459">
        <f>+'ต.ค.-ธ.ค.'!G112+'ม.ค.-มี.ค.'!G111+'เม.ย.-มิ.ย.'!G111+'ก.ค.-ก.ย.'!G111</f>
        <v>0</v>
      </c>
      <c r="H111" s="459">
        <f>+'ต.ค.-ธ.ค.'!H112+'ม.ค.-มี.ค.'!H111+'เม.ย.-มิ.ย.'!H111+'ก.ค.-ก.ย.'!H111</f>
        <v>0</v>
      </c>
      <c r="I111" s="459">
        <f>+'ต.ค.-ธ.ค.'!I112+'ม.ค.-มี.ค.'!I111+'เม.ย.-มิ.ย.'!I111+'ก.ค.-ก.ย.'!I111</f>
        <v>6500</v>
      </c>
      <c r="J111" s="459">
        <f>+'ต.ค.-ธ.ค.'!J112+'ม.ค.-มี.ค.'!J111+'เม.ย.-มิ.ย.'!J111+'ก.ค.-ก.ย.'!J111</f>
        <v>0</v>
      </c>
      <c r="K111" s="459">
        <f>+'ต.ค.-ธ.ค.'!K112+'ม.ค.-มี.ค.'!K111+'เม.ย.-มิ.ย.'!K111+'ก.ค.-ก.ย.'!K111</f>
        <v>0</v>
      </c>
      <c r="L111" s="459">
        <f>+'ต.ค.-ธ.ค.'!L112+'ม.ค.-มี.ค.'!L111+'เม.ย.-มิ.ย.'!L111+'ก.ค.-ก.ย.'!L111</f>
        <v>0</v>
      </c>
      <c r="M111" s="459">
        <f>+'ต.ค.-ธ.ค.'!M112+'ม.ค.-มี.ค.'!M111+'เม.ย.-มิ.ย.'!M111+'ก.ค.-ก.ย.'!M111</f>
        <v>0</v>
      </c>
      <c r="N111" s="459">
        <f>+'ต.ค.-ธ.ค.'!N112+'ม.ค.-มี.ค.'!N111+'เม.ย.-มิ.ย.'!N111+'ก.ค.-ก.ย.'!N111</f>
        <v>0</v>
      </c>
      <c r="O111" s="459">
        <f>+'ต.ค.-ธ.ค.'!O112+'ม.ค.-มี.ค.'!O111+'เม.ย.-มิ.ย.'!O111+'ก.ค.-ก.ย.'!O111</f>
        <v>0</v>
      </c>
      <c r="P111" s="459">
        <f>+'ต.ค.-ธ.ค.'!P112+'ม.ค.-มี.ค.'!P111+'เม.ย.-มิ.ย.'!P111+'ก.ค.-ก.ย.'!P111</f>
        <v>0</v>
      </c>
      <c r="Q111" s="459">
        <f>+'ต.ค.-ธ.ค.'!Q112+'ม.ค.-มี.ค.'!Q111+'เม.ย.-มิ.ย.'!Q111+'ก.ค.-ก.ย.'!Q111</f>
        <v>0</v>
      </c>
      <c r="R111" s="459">
        <f>+'ต.ค.-ธ.ค.'!R112+'ม.ค.-มี.ค.'!R111+'เม.ย.-มิ.ย.'!R111+'ก.ค.-ก.ย.'!R111</f>
        <v>0</v>
      </c>
      <c r="S111" s="459">
        <f>+'ต.ค.-ธ.ค.'!S112+'ม.ค.-มี.ค.'!S111+'เม.ย.-มิ.ย.'!S111+'ก.ค.-ก.ย.'!S111</f>
        <v>0</v>
      </c>
      <c r="T111" s="459">
        <f>+'ต.ค.-ธ.ค.'!T112+'ม.ค.-มี.ค.'!T111+'เม.ย.-มิ.ย.'!T111+'ก.ค.-ก.ย.'!T111</f>
        <v>0</v>
      </c>
      <c r="U111" s="459">
        <f>+'ต.ค.-ธ.ค.'!U112+'ม.ค.-มี.ค.'!U111+'เม.ย.-มิ.ย.'!U111+'ก.ค.-ก.ย.'!U111</f>
        <v>0</v>
      </c>
      <c r="V111" s="459">
        <f>+'ต.ค.-ธ.ค.'!V112+'ม.ค.-มี.ค.'!V111+'เม.ย.-มิ.ย.'!V111+'ก.ค.-ก.ย.'!V111</f>
        <v>0</v>
      </c>
      <c r="W111" s="579"/>
      <c r="X111" s="364"/>
    </row>
    <row r="112" spans="1:24" s="310" customFormat="1" ht="25.5" customHeight="1">
      <c r="A112" s="9"/>
      <c r="B112" s="187" t="s">
        <v>256</v>
      </c>
      <c r="C112" s="419">
        <v>2500</v>
      </c>
      <c r="D112" s="450"/>
      <c r="E112" s="459">
        <f>+'ต.ค.-ธ.ค.'!E113+'ม.ค.-มี.ค.'!E112+'เม.ย.-มิ.ย.'!E112+'ก.ค.-ก.ย.'!E112</f>
        <v>0</v>
      </c>
      <c r="F112" s="459">
        <f>+'ต.ค.-ธ.ค.'!F113+'ม.ค.-มี.ค.'!F112+'เม.ย.-มิ.ย.'!F112+'ก.ค.-ก.ย.'!F112</f>
        <v>0</v>
      </c>
      <c r="G112" s="459">
        <f>+'ต.ค.-ธ.ค.'!G113+'ม.ค.-มี.ค.'!G112+'เม.ย.-มิ.ย.'!G112+'ก.ค.-ก.ย.'!G112</f>
        <v>0</v>
      </c>
      <c r="H112" s="459">
        <f>+'ต.ค.-ธ.ค.'!H113+'ม.ค.-มี.ค.'!H112+'เม.ย.-มิ.ย.'!H112+'ก.ค.-ก.ย.'!H112</f>
        <v>0</v>
      </c>
      <c r="I112" s="459">
        <f>+'ต.ค.-ธ.ค.'!I113+'ม.ค.-มี.ค.'!I112+'เม.ย.-มิ.ย.'!I112+'ก.ค.-ก.ย.'!I112</f>
        <v>4500</v>
      </c>
      <c r="J112" s="459">
        <f>+'ต.ค.-ธ.ค.'!J113+'ม.ค.-มี.ค.'!J112+'เม.ย.-มิ.ย.'!J112+'ก.ค.-ก.ย.'!J112</f>
        <v>0</v>
      </c>
      <c r="K112" s="459">
        <f>+'ต.ค.-ธ.ค.'!K113+'ม.ค.-มี.ค.'!K112+'เม.ย.-มิ.ย.'!K112+'ก.ค.-ก.ย.'!K112</f>
        <v>0</v>
      </c>
      <c r="L112" s="459">
        <f>+'ต.ค.-ธ.ค.'!L113+'ม.ค.-มี.ค.'!L112+'เม.ย.-มิ.ย.'!L112+'ก.ค.-ก.ย.'!L112</f>
        <v>0</v>
      </c>
      <c r="M112" s="459">
        <f>+'ต.ค.-ธ.ค.'!M113+'ม.ค.-มี.ค.'!M112+'เม.ย.-มิ.ย.'!M112+'ก.ค.-ก.ย.'!M112</f>
        <v>0</v>
      </c>
      <c r="N112" s="459">
        <f>+'ต.ค.-ธ.ค.'!N113+'ม.ค.-มี.ค.'!N112+'เม.ย.-มิ.ย.'!N112+'ก.ค.-ก.ย.'!N112</f>
        <v>0</v>
      </c>
      <c r="O112" s="459">
        <f>+'ต.ค.-ธ.ค.'!O113+'ม.ค.-มี.ค.'!O112+'เม.ย.-มิ.ย.'!O112+'ก.ค.-ก.ย.'!O112</f>
        <v>0</v>
      </c>
      <c r="P112" s="459">
        <f>+'ต.ค.-ธ.ค.'!P113+'ม.ค.-มี.ค.'!P112+'เม.ย.-มิ.ย.'!P112+'ก.ค.-ก.ย.'!P112</f>
        <v>0</v>
      </c>
      <c r="Q112" s="459">
        <f>+'ต.ค.-ธ.ค.'!Q113+'ม.ค.-มี.ค.'!Q112+'เม.ย.-มิ.ย.'!Q112+'ก.ค.-ก.ย.'!Q112</f>
        <v>0</v>
      </c>
      <c r="R112" s="459">
        <f>+'ต.ค.-ธ.ค.'!R113+'ม.ค.-มี.ค.'!R112+'เม.ย.-มิ.ย.'!R112+'ก.ค.-ก.ย.'!R112</f>
        <v>0</v>
      </c>
      <c r="S112" s="459">
        <f>+'ต.ค.-ธ.ค.'!S113+'ม.ค.-มี.ค.'!S112+'เม.ย.-มิ.ย.'!S112+'ก.ค.-ก.ย.'!S112</f>
        <v>0</v>
      </c>
      <c r="T112" s="459">
        <f>+'ต.ค.-ธ.ค.'!T113+'ม.ค.-มี.ค.'!T112+'เม.ย.-มิ.ย.'!T112+'ก.ค.-ก.ย.'!T112</f>
        <v>0</v>
      </c>
      <c r="U112" s="459">
        <f>+'ต.ค.-ธ.ค.'!U113+'ม.ค.-มี.ค.'!U112+'เม.ย.-มิ.ย.'!U112+'ก.ค.-ก.ย.'!U112</f>
        <v>0</v>
      </c>
      <c r="V112" s="459">
        <f>+'ต.ค.-ธ.ค.'!V113+'ม.ค.-มี.ค.'!V112+'เม.ย.-มิ.ย.'!V112+'ก.ค.-ก.ย.'!V112</f>
        <v>0</v>
      </c>
      <c r="W112" s="579"/>
      <c r="X112" s="364"/>
    </row>
    <row r="113" spans="1:24" s="310" customFormat="1" ht="25.5" customHeight="1">
      <c r="A113" s="9"/>
      <c r="B113" s="187" t="s">
        <v>257</v>
      </c>
      <c r="C113" s="419">
        <v>2500</v>
      </c>
      <c r="D113" s="450"/>
      <c r="E113" s="459">
        <f>+'ต.ค.-ธ.ค.'!E114+'ม.ค.-มี.ค.'!E113+'เม.ย.-มิ.ย.'!E113+'ก.ค.-ก.ย.'!E113</f>
        <v>0</v>
      </c>
      <c r="F113" s="459">
        <f>+'ต.ค.-ธ.ค.'!F114+'ม.ค.-มี.ค.'!F113+'เม.ย.-มิ.ย.'!F113+'ก.ค.-ก.ย.'!F113</f>
        <v>0</v>
      </c>
      <c r="G113" s="459">
        <f>+'ต.ค.-ธ.ค.'!G114+'ม.ค.-มี.ค.'!G113+'เม.ย.-มิ.ย.'!G113+'ก.ค.-ก.ย.'!G113</f>
        <v>0</v>
      </c>
      <c r="H113" s="459">
        <f>+'ต.ค.-ธ.ค.'!H114+'ม.ค.-มี.ค.'!H113+'เม.ย.-มิ.ย.'!H113+'ก.ค.-ก.ย.'!H113</f>
        <v>0</v>
      </c>
      <c r="I113" s="459">
        <f>+'ต.ค.-ธ.ค.'!I114+'ม.ค.-มี.ค.'!I113+'เม.ย.-มิ.ย.'!I113+'ก.ค.-ก.ย.'!I113</f>
        <v>4500</v>
      </c>
      <c r="J113" s="459">
        <f>+'ต.ค.-ธ.ค.'!J114+'ม.ค.-มี.ค.'!J113+'เม.ย.-มิ.ย.'!J113+'ก.ค.-ก.ย.'!J113</f>
        <v>0</v>
      </c>
      <c r="K113" s="459">
        <f>+'ต.ค.-ธ.ค.'!K114+'ม.ค.-มี.ค.'!K113+'เม.ย.-มิ.ย.'!K113+'ก.ค.-ก.ย.'!K113</f>
        <v>0</v>
      </c>
      <c r="L113" s="459">
        <f>+'ต.ค.-ธ.ค.'!L114+'ม.ค.-มี.ค.'!L113+'เม.ย.-มิ.ย.'!L113+'ก.ค.-ก.ย.'!L113</f>
        <v>0</v>
      </c>
      <c r="M113" s="459">
        <f>+'ต.ค.-ธ.ค.'!M114+'ม.ค.-มี.ค.'!M113+'เม.ย.-มิ.ย.'!M113+'ก.ค.-ก.ย.'!M113</f>
        <v>0</v>
      </c>
      <c r="N113" s="459">
        <f>+'ต.ค.-ธ.ค.'!N114+'ม.ค.-มี.ค.'!N113+'เม.ย.-มิ.ย.'!N113+'ก.ค.-ก.ย.'!N113</f>
        <v>0</v>
      </c>
      <c r="O113" s="459">
        <f>+'ต.ค.-ธ.ค.'!O114+'ม.ค.-มี.ค.'!O113+'เม.ย.-มิ.ย.'!O113+'ก.ค.-ก.ย.'!O113</f>
        <v>0</v>
      </c>
      <c r="P113" s="459">
        <f>+'ต.ค.-ธ.ค.'!P114+'ม.ค.-มี.ค.'!P113+'เม.ย.-มิ.ย.'!P113+'ก.ค.-ก.ย.'!P113</f>
        <v>0</v>
      </c>
      <c r="Q113" s="459">
        <f>+'ต.ค.-ธ.ค.'!Q114+'ม.ค.-มี.ค.'!Q113+'เม.ย.-มิ.ย.'!Q113+'ก.ค.-ก.ย.'!Q113</f>
        <v>0</v>
      </c>
      <c r="R113" s="459">
        <f>+'ต.ค.-ธ.ค.'!R114+'ม.ค.-มี.ค.'!R113+'เม.ย.-มิ.ย.'!R113+'ก.ค.-ก.ย.'!R113</f>
        <v>0</v>
      </c>
      <c r="S113" s="459">
        <f>+'ต.ค.-ธ.ค.'!S114+'ม.ค.-มี.ค.'!S113+'เม.ย.-มิ.ย.'!S113+'ก.ค.-ก.ย.'!S113</f>
        <v>0</v>
      </c>
      <c r="T113" s="459">
        <f>+'ต.ค.-ธ.ค.'!T114+'ม.ค.-มี.ค.'!T113+'เม.ย.-มิ.ย.'!T113+'ก.ค.-ก.ย.'!T113</f>
        <v>0</v>
      </c>
      <c r="U113" s="459">
        <f>+'ต.ค.-ธ.ค.'!U114+'ม.ค.-มี.ค.'!U113+'เม.ย.-มิ.ย.'!U113+'ก.ค.-ก.ย.'!U113</f>
        <v>0</v>
      </c>
      <c r="V113" s="459">
        <f>+'ต.ค.-ธ.ค.'!V114+'ม.ค.-มี.ค.'!V113+'เม.ย.-มิ.ย.'!V113+'ก.ค.-ก.ย.'!V113</f>
        <v>0</v>
      </c>
      <c r="W113" s="579"/>
      <c r="X113" s="364"/>
    </row>
    <row r="114" spans="1:24" s="310" customFormat="1" ht="25.5" customHeight="1">
      <c r="A114" s="9"/>
      <c r="B114" s="187" t="s">
        <v>258</v>
      </c>
      <c r="C114" s="419">
        <v>2500</v>
      </c>
      <c r="D114" s="450"/>
      <c r="E114" s="459">
        <f>+'ต.ค.-ธ.ค.'!E115+'ม.ค.-มี.ค.'!E114+'เม.ย.-มิ.ย.'!E114+'ก.ค.-ก.ย.'!E114</f>
        <v>0</v>
      </c>
      <c r="F114" s="459">
        <f>+'ต.ค.-ธ.ค.'!F115+'ม.ค.-มี.ค.'!F114+'เม.ย.-มิ.ย.'!F114+'ก.ค.-ก.ย.'!F114</f>
        <v>0</v>
      </c>
      <c r="G114" s="459">
        <f>+'ต.ค.-ธ.ค.'!G115+'ม.ค.-มี.ค.'!G114+'เม.ย.-มิ.ย.'!G114+'ก.ค.-ก.ย.'!G114</f>
        <v>0</v>
      </c>
      <c r="H114" s="459">
        <f>+'ต.ค.-ธ.ค.'!H115+'ม.ค.-มี.ค.'!H114+'เม.ย.-มิ.ย.'!H114+'ก.ค.-ก.ย.'!H114</f>
        <v>0</v>
      </c>
      <c r="I114" s="459">
        <f>+'ต.ค.-ธ.ค.'!I115+'ม.ค.-มี.ค.'!I114+'เม.ย.-มิ.ย.'!I114+'ก.ค.-ก.ย.'!I114</f>
        <v>4500</v>
      </c>
      <c r="J114" s="459">
        <f>+'ต.ค.-ธ.ค.'!J115+'ม.ค.-มี.ค.'!J114+'เม.ย.-มิ.ย.'!J114+'ก.ค.-ก.ย.'!J114</f>
        <v>0</v>
      </c>
      <c r="K114" s="459">
        <f>+'ต.ค.-ธ.ค.'!K115+'ม.ค.-มี.ค.'!K114+'เม.ย.-มิ.ย.'!K114+'ก.ค.-ก.ย.'!K114</f>
        <v>0</v>
      </c>
      <c r="L114" s="459">
        <f>+'ต.ค.-ธ.ค.'!L115+'ม.ค.-มี.ค.'!L114+'เม.ย.-มิ.ย.'!L114+'ก.ค.-ก.ย.'!L114</f>
        <v>0</v>
      </c>
      <c r="M114" s="459">
        <f>+'ต.ค.-ธ.ค.'!M115+'ม.ค.-มี.ค.'!M114+'เม.ย.-มิ.ย.'!M114+'ก.ค.-ก.ย.'!M114</f>
        <v>0</v>
      </c>
      <c r="N114" s="459">
        <f>+'ต.ค.-ธ.ค.'!N115+'ม.ค.-มี.ค.'!N114+'เม.ย.-มิ.ย.'!N114+'ก.ค.-ก.ย.'!N114</f>
        <v>0</v>
      </c>
      <c r="O114" s="459">
        <f>+'ต.ค.-ธ.ค.'!O115+'ม.ค.-มี.ค.'!O114+'เม.ย.-มิ.ย.'!O114+'ก.ค.-ก.ย.'!O114</f>
        <v>0</v>
      </c>
      <c r="P114" s="459">
        <f>+'ต.ค.-ธ.ค.'!P115+'ม.ค.-มี.ค.'!P114+'เม.ย.-มิ.ย.'!P114+'ก.ค.-ก.ย.'!P114</f>
        <v>0</v>
      </c>
      <c r="Q114" s="459">
        <f>+'ต.ค.-ธ.ค.'!Q115+'ม.ค.-มี.ค.'!Q114+'เม.ย.-มิ.ย.'!Q114+'ก.ค.-ก.ย.'!Q114</f>
        <v>0</v>
      </c>
      <c r="R114" s="459">
        <f>+'ต.ค.-ธ.ค.'!R115+'ม.ค.-มี.ค.'!R114+'เม.ย.-มิ.ย.'!R114+'ก.ค.-ก.ย.'!R114</f>
        <v>0</v>
      </c>
      <c r="S114" s="459">
        <f>+'ต.ค.-ธ.ค.'!S115+'ม.ค.-มี.ค.'!S114+'เม.ย.-มิ.ย.'!S114+'ก.ค.-ก.ย.'!S114</f>
        <v>0</v>
      </c>
      <c r="T114" s="459">
        <f>+'ต.ค.-ธ.ค.'!T115+'ม.ค.-มี.ค.'!T114+'เม.ย.-มิ.ย.'!T114+'ก.ค.-ก.ย.'!T114</f>
        <v>0</v>
      </c>
      <c r="U114" s="459">
        <f>+'ต.ค.-ธ.ค.'!U115+'ม.ค.-มี.ค.'!U114+'เม.ย.-มิ.ย.'!U114+'ก.ค.-ก.ย.'!U114</f>
        <v>0</v>
      </c>
      <c r="V114" s="459">
        <f>+'ต.ค.-ธ.ค.'!V115+'ม.ค.-มี.ค.'!V114+'เม.ย.-มิ.ย.'!V114+'ก.ค.-ก.ย.'!V114</f>
        <v>0</v>
      </c>
      <c r="W114" s="579"/>
      <c r="X114" s="364"/>
    </row>
    <row r="115" spans="1:24" s="310" customFormat="1" ht="25.5" customHeight="1">
      <c r="A115" s="9"/>
      <c r="B115" s="187" t="s">
        <v>259</v>
      </c>
      <c r="C115" s="419">
        <v>1000</v>
      </c>
      <c r="D115" s="450"/>
      <c r="E115" s="459">
        <f>+'ต.ค.-ธ.ค.'!E116+'ม.ค.-มี.ค.'!E115+'เม.ย.-มิ.ย.'!E115+'ก.ค.-ก.ย.'!E115</f>
        <v>0</v>
      </c>
      <c r="F115" s="459">
        <f>+'ต.ค.-ธ.ค.'!F116+'ม.ค.-มี.ค.'!F115+'เม.ย.-มิ.ย.'!F115+'ก.ค.-ก.ย.'!F115</f>
        <v>0</v>
      </c>
      <c r="G115" s="459">
        <f>+'ต.ค.-ธ.ค.'!G116+'ม.ค.-มี.ค.'!G115+'เม.ย.-มิ.ย.'!G115+'ก.ค.-ก.ย.'!G115</f>
        <v>0</v>
      </c>
      <c r="H115" s="459">
        <f>+'ต.ค.-ธ.ค.'!H116+'ม.ค.-มี.ค.'!H115+'เม.ย.-มิ.ย.'!H115+'ก.ค.-ก.ย.'!H115</f>
        <v>0</v>
      </c>
      <c r="I115" s="459">
        <f>+'ต.ค.-ธ.ค.'!I116+'ม.ค.-มี.ค.'!I115+'เม.ย.-มิ.ย.'!I115+'ก.ค.-ก.ย.'!I115</f>
        <v>0</v>
      </c>
      <c r="J115" s="459">
        <f>+'ต.ค.-ธ.ค.'!J116+'ม.ค.-มี.ค.'!J115+'เม.ย.-มิ.ย.'!J115+'ก.ค.-ก.ย.'!J115</f>
        <v>0</v>
      </c>
      <c r="K115" s="459">
        <f>+'ต.ค.-ธ.ค.'!K116+'ม.ค.-มี.ค.'!K115+'เม.ย.-มิ.ย.'!K115+'ก.ค.-ก.ย.'!K115</f>
        <v>0</v>
      </c>
      <c r="L115" s="459">
        <f>+'ต.ค.-ธ.ค.'!L116+'ม.ค.-มี.ค.'!L115+'เม.ย.-มิ.ย.'!L115+'ก.ค.-ก.ย.'!L115</f>
        <v>0</v>
      </c>
      <c r="M115" s="459">
        <f>+'ต.ค.-ธ.ค.'!M116+'ม.ค.-มี.ค.'!M115+'เม.ย.-มิ.ย.'!M115+'ก.ค.-ก.ย.'!M115</f>
        <v>0</v>
      </c>
      <c r="N115" s="459">
        <f>+'ต.ค.-ธ.ค.'!N116+'ม.ค.-มี.ค.'!N115+'เม.ย.-มิ.ย.'!N115+'ก.ค.-ก.ย.'!N115</f>
        <v>0</v>
      </c>
      <c r="O115" s="459">
        <f>+'ต.ค.-ธ.ค.'!O116+'ม.ค.-มี.ค.'!O115+'เม.ย.-มิ.ย.'!O115+'ก.ค.-ก.ย.'!O115</f>
        <v>0</v>
      </c>
      <c r="P115" s="459">
        <f>+'ต.ค.-ธ.ค.'!P116+'ม.ค.-มี.ค.'!P115+'เม.ย.-มิ.ย.'!P115+'ก.ค.-ก.ย.'!P115</f>
        <v>0</v>
      </c>
      <c r="Q115" s="459">
        <f>+'ต.ค.-ธ.ค.'!Q116+'ม.ค.-มี.ค.'!Q115+'เม.ย.-มิ.ย.'!Q115+'ก.ค.-ก.ย.'!Q115</f>
        <v>0</v>
      </c>
      <c r="R115" s="459">
        <f>+'ต.ค.-ธ.ค.'!R116+'ม.ค.-มี.ค.'!R115+'เม.ย.-มิ.ย.'!R115+'ก.ค.-ก.ย.'!R115</f>
        <v>0</v>
      </c>
      <c r="S115" s="459">
        <f>+'ต.ค.-ธ.ค.'!S116+'ม.ค.-มี.ค.'!S115+'เม.ย.-มิ.ย.'!S115+'ก.ค.-ก.ย.'!S115</f>
        <v>0</v>
      </c>
      <c r="T115" s="459">
        <f>+'ต.ค.-ธ.ค.'!T116+'ม.ค.-มี.ค.'!T115+'เม.ย.-มิ.ย.'!T115+'ก.ค.-ก.ย.'!T115</f>
        <v>0</v>
      </c>
      <c r="U115" s="459">
        <f>+'ต.ค.-ธ.ค.'!U116+'ม.ค.-มี.ค.'!U115+'เม.ย.-มิ.ย.'!U115+'ก.ค.-ก.ย.'!U115</f>
        <v>0</v>
      </c>
      <c r="V115" s="459">
        <f>+'ต.ค.-ธ.ค.'!V116+'ม.ค.-มี.ค.'!V115+'เม.ย.-มิ.ย.'!V115+'ก.ค.-ก.ย.'!V115</f>
        <v>0</v>
      </c>
      <c r="W115" s="579"/>
      <c r="X115" s="364"/>
    </row>
    <row r="116" spans="1:24" s="310" customFormat="1" ht="25.5" customHeight="1">
      <c r="A116" s="9"/>
      <c r="B116" s="187" t="s">
        <v>260</v>
      </c>
      <c r="C116" s="419">
        <v>1000</v>
      </c>
      <c r="D116" s="450"/>
      <c r="E116" s="459">
        <f>+'ต.ค.-ธ.ค.'!E117+'ม.ค.-มี.ค.'!E116+'เม.ย.-มิ.ย.'!E116+'ก.ค.-ก.ย.'!E116</f>
        <v>0</v>
      </c>
      <c r="F116" s="459">
        <f>+'ต.ค.-ธ.ค.'!F117+'ม.ค.-มี.ค.'!F116+'เม.ย.-มิ.ย.'!F116+'ก.ค.-ก.ย.'!F116</f>
        <v>0</v>
      </c>
      <c r="G116" s="459">
        <f>+'ต.ค.-ธ.ค.'!G117+'ม.ค.-มี.ค.'!G116+'เม.ย.-มิ.ย.'!G116+'ก.ค.-ก.ย.'!G116</f>
        <v>0</v>
      </c>
      <c r="H116" s="459">
        <f>+'ต.ค.-ธ.ค.'!H117+'ม.ค.-มี.ค.'!H116+'เม.ย.-มิ.ย.'!H116+'ก.ค.-ก.ย.'!H116</f>
        <v>0</v>
      </c>
      <c r="I116" s="459">
        <f>+'ต.ค.-ธ.ค.'!I117+'ม.ค.-มี.ค.'!I116+'เม.ย.-มิ.ย.'!I116+'ก.ค.-ก.ย.'!I116</f>
        <v>0</v>
      </c>
      <c r="J116" s="459">
        <f>+'ต.ค.-ธ.ค.'!J117+'ม.ค.-มี.ค.'!J116+'เม.ย.-มิ.ย.'!J116+'ก.ค.-ก.ย.'!J116</f>
        <v>0</v>
      </c>
      <c r="K116" s="459">
        <f>+'ต.ค.-ธ.ค.'!K117+'ม.ค.-มี.ค.'!K116+'เม.ย.-มิ.ย.'!K116+'ก.ค.-ก.ย.'!K116</f>
        <v>0</v>
      </c>
      <c r="L116" s="459">
        <f>+'ต.ค.-ธ.ค.'!L117+'ม.ค.-มี.ค.'!L116+'เม.ย.-มิ.ย.'!L116+'ก.ค.-ก.ย.'!L116</f>
        <v>0</v>
      </c>
      <c r="M116" s="459">
        <f>+'ต.ค.-ธ.ค.'!M117+'ม.ค.-มี.ค.'!M116+'เม.ย.-มิ.ย.'!M116+'ก.ค.-ก.ย.'!M116</f>
        <v>0</v>
      </c>
      <c r="N116" s="459">
        <f>+'ต.ค.-ธ.ค.'!N117+'ม.ค.-มี.ค.'!N116+'เม.ย.-มิ.ย.'!N116+'ก.ค.-ก.ย.'!N116</f>
        <v>0</v>
      </c>
      <c r="O116" s="459">
        <f>+'ต.ค.-ธ.ค.'!O117+'ม.ค.-มี.ค.'!O116+'เม.ย.-มิ.ย.'!O116+'ก.ค.-ก.ย.'!O116</f>
        <v>0</v>
      </c>
      <c r="P116" s="459">
        <f>+'ต.ค.-ธ.ค.'!P117+'ม.ค.-มี.ค.'!P116+'เม.ย.-มิ.ย.'!P116+'ก.ค.-ก.ย.'!P116</f>
        <v>0</v>
      </c>
      <c r="Q116" s="459">
        <f>+'ต.ค.-ธ.ค.'!Q117+'ม.ค.-มี.ค.'!Q116+'เม.ย.-มิ.ย.'!Q116+'ก.ค.-ก.ย.'!Q116</f>
        <v>0</v>
      </c>
      <c r="R116" s="459">
        <f>+'ต.ค.-ธ.ค.'!R117+'ม.ค.-มี.ค.'!R116+'เม.ย.-มิ.ย.'!R116+'ก.ค.-ก.ย.'!R116</f>
        <v>0</v>
      </c>
      <c r="S116" s="459">
        <f>+'ต.ค.-ธ.ค.'!S117+'ม.ค.-มี.ค.'!S116+'เม.ย.-มิ.ย.'!S116+'ก.ค.-ก.ย.'!S116</f>
        <v>0</v>
      </c>
      <c r="T116" s="459">
        <f>+'ต.ค.-ธ.ค.'!T117+'ม.ค.-มี.ค.'!T116+'เม.ย.-มิ.ย.'!T116+'ก.ค.-ก.ย.'!T116</f>
        <v>0</v>
      </c>
      <c r="U116" s="459">
        <f>+'ต.ค.-ธ.ค.'!U117+'ม.ค.-มี.ค.'!U116+'เม.ย.-มิ.ย.'!U116+'ก.ค.-ก.ย.'!U116</f>
        <v>0</v>
      </c>
      <c r="V116" s="459">
        <f>+'ต.ค.-ธ.ค.'!V117+'ม.ค.-มี.ค.'!V116+'เม.ย.-มิ.ย.'!V116+'ก.ค.-ก.ย.'!V116</f>
        <v>0</v>
      </c>
      <c r="W116" s="579"/>
      <c r="X116" s="364"/>
    </row>
    <row r="117" spans="1:24" s="310" customFormat="1" ht="25.5" customHeight="1">
      <c r="A117" s="9"/>
      <c r="B117" s="187" t="s">
        <v>261</v>
      </c>
      <c r="C117" s="419">
        <v>1000</v>
      </c>
      <c r="D117" s="450"/>
      <c r="E117" s="459">
        <f>+'ต.ค.-ธ.ค.'!E118+'ม.ค.-มี.ค.'!E117+'เม.ย.-มิ.ย.'!E117+'ก.ค.-ก.ย.'!E117</f>
        <v>0</v>
      </c>
      <c r="F117" s="459">
        <f>+'ต.ค.-ธ.ค.'!F118+'ม.ค.-มี.ค.'!F117+'เม.ย.-มิ.ย.'!F117+'ก.ค.-ก.ย.'!F117</f>
        <v>0</v>
      </c>
      <c r="G117" s="459">
        <f>+'ต.ค.-ธ.ค.'!G118+'ม.ค.-มี.ค.'!G117+'เม.ย.-มิ.ย.'!G117+'ก.ค.-ก.ย.'!G117</f>
        <v>0</v>
      </c>
      <c r="H117" s="459">
        <f>+'ต.ค.-ธ.ค.'!H118+'ม.ค.-มี.ค.'!H117+'เม.ย.-มิ.ย.'!H117+'ก.ค.-ก.ย.'!H117</f>
        <v>0</v>
      </c>
      <c r="I117" s="459">
        <f>+'ต.ค.-ธ.ค.'!I118+'ม.ค.-มี.ค.'!I117+'เม.ย.-มิ.ย.'!I117+'ก.ค.-ก.ย.'!I117</f>
        <v>0</v>
      </c>
      <c r="J117" s="459">
        <f>+'ต.ค.-ธ.ค.'!J118+'ม.ค.-มี.ค.'!J117+'เม.ย.-มิ.ย.'!J117+'ก.ค.-ก.ย.'!J117</f>
        <v>0</v>
      </c>
      <c r="K117" s="459">
        <f>+'ต.ค.-ธ.ค.'!K118+'ม.ค.-มี.ค.'!K117+'เม.ย.-มิ.ย.'!K117+'ก.ค.-ก.ย.'!K117</f>
        <v>0</v>
      </c>
      <c r="L117" s="459">
        <f>+'ต.ค.-ธ.ค.'!L118+'ม.ค.-มี.ค.'!L117+'เม.ย.-มิ.ย.'!L117+'ก.ค.-ก.ย.'!L117</f>
        <v>0</v>
      </c>
      <c r="M117" s="459">
        <f>+'ต.ค.-ธ.ค.'!M118+'ม.ค.-มี.ค.'!M117+'เม.ย.-มิ.ย.'!M117+'ก.ค.-ก.ย.'!M117</f>
        <v>0</v>
      </c>
      <c r="N117" s="459">
        <f>+'ต.ค.-ธ.ค.'!N118+'ม.ค.-มี.ค.'!N117+'เม.ย.-มิ.ย.'!N117+'ก.ค.-ก.ย.'!N117</f>
        <v>0</v>
      </c>
      <c r="O117" s="459">
        <f>+'ต.ค.-ธ.ค.'!O118+'ม.ค.-มี.ค.'!O117+'เม.ย.-มิ.ย.'!O117+'ก.ค.-ก.ย.'!O117</f>
        <v>0</v>
      </c>
      <c r="P117" s="459">
        <f>+'ต.ค.-ธ.ค.'!P118+'ม.ค.-มี.ค.'!P117+'เม.ย.-มิ.ย.'!P117+'ก.ค.-ก.ย.'!P117</f>
        <v>0</v>
      </c>
      <c r="Q117" s="459">
        <f>+'ต.ค.-ธ.ค.'!Q118+'ม.ค.-มี.ค.'!Q117+'เม.ย.-มิ.ย.'!Q117+'ก.ค.-ก.ย.'!Q117</f>
        <v>0</v>
      </c>
      <c r="R117" s="459">
        <f>+'ต.ค.-ธ.ค.'!R118+'ม.ค.-มี.ค.'!R117+'เม.ย.-มิ.ย.'!R117+'ก.ค.-ก.ย.'!R117</f>
        <v>0</v>
      </c>
      <c r="S117" s="459">
        <f>+'ต.ค.-ธ.ค.'!S118+'ม.ค.-มี.ค.'!S117+'เม.ย.-มิ.ย.'!S117+'ก.ค.-ก.ย.'!S117</f>
        <v>0</v>
      </c>
      <c r="T117" s="459">
        <f>+'ต.ค.-ธ.ค.'!T118+'ม.ค.-มี.ค.'!T117+'เม.ย.-มิ.ย.'!T117+'ก.ค.-ก.ย.'!T117</f>
        <v>0</v>
      </c>
      <c r="U117" s="459">
        <f>+'ต.ค.-ธ.ค.'!U118+'ม.ค.-มี.ค.'!U117+'เม.ย.-มิ.ย.'!U117+'ก.ค.-ก.ย.'!U117</f>
        <v>0</v>
      </c>
      <c r="V117" s="459">
        <f>+'ต.ค.-ธ.ค.'!V118+'ม.ค.-มี.ค.'!V117+'เม.ย.-มิ.ย.'!V117+'ก.ค.-ก.ย.'!V117</f>
        <v>0</v>
      </c>
      <c r="W117" s="579"/>
      <c r="X117" s="364"/>
    </row>
    <row r="118" spans="1:24" s="310" customFormat="1" ht="25.5" customHeight="1">
      <c r="A118" s="9"/>
      <c r="B118" s="187" t="s">
        <v>262</v>
      </c>
      <c r="C118" s="419">
        <v>1000</v>
      </c>
      <c r="D118" s="450"/>
      <c r="E118" s="459">
        <f>+'ต.ค.-ธ.ค.'!E119+'ม.ค.-มี.ค.'!E118+'เม.ย.-มิ.ย.'!E118+'ก.ค.-ก.ย.'!E118</f>
        <v>0</v>
      </c>
      <c r="F118" s="459">
        <f>+'ต.ค.-ธ.ค.'!F119+'ม.ค.-มี.ค.'!F118+'เม.ย.-มิ.ย.'!F118+'ก.ค.-ก.ย.'!F118</f>
        <v>0</v>
      </c>
      <c r="G118" s="459">
        <f>+'ต.ค.-ธ.ค.'!G119+'ม.ค.-มี.ค.'!G118+'เม.ย.-มิ.ย.'!G118+'ก.ค.-ก.ย.'!G118</f>
        <v>0</v>
      </c>
      <c r="H118" s="459">
        <f>+'ต.ค.-ธ.ค.'!H119+'ม.ค.-มี.ค.'!H118+'เม.ย.-มิ.ย.'!H118+'ก.ค.-ก.ย.'!H118</f>
        <v>0</v>
      </c>
      <c r="I118" s="459">
        <f>+'ต.ค.-ธ.ค.'!I119+'ม.ค.-มี.ค.'!I118+'เม.ย.-มิ.ย.'!I118+'ก.ค.-ก.ย.'!I118</f>
        <v>1000</v>
      </c>
      <c r="J118" s="459">
        <f>+'ต.ค.-ธ.ค.'!J119+'ม.ค.-มี.ค.'!J118+'เม.ย.-มิ.ย.'!J118+'ก.ค.-ก.ย.'!J118</f>
        <v>0</v>
      </c>
      <c r="K118" s="459">
        <f>+'ต.ค.-ธ.ค.'!K119+'ม.ค.-มี.ค.'!K118+'เม.ย.-มิ.ย.'!K118+'ก.ค.-ก.ย.'!K118</f>
        <v>0</v>
      </c>
      <c r="L118" s="459">
        <f>+'ต.ค.-ธ.ค.'!L119+'ม.ค.-มี.ค.'!L118+'เม.ย.-มิ.ย.'!L118+'ก.ค.-ก.ย.'!L118</f>
        <v>0</v>
      </c>
      <c r="M118" s="459">
        <f>+'ต.ค.-ธ.ค.'!M119+'ม.ค.-มี.ค.'!M118+'เม.ย.-มิ.ย.'!M118+'ก.ค.-ก.ย.'!M118</f>
        <v>0</v>
      </c>
      <c r="N118" s="459">
        <f>+'ต.ค.-ธ.ค.'!N119+'ม.ค.-มี.ค.'!N118+'เม.ย.-มิ.ย.'!N118+'ก.ค.-ก.ย.'!N118</f>
        <v>0</v>
      </c>
      <c r="O118" s="459">
        <f>+'ต.ค.-ธ.ค.'!O119+'ม.ค.-มี.ค.'!O118+'เม.ย.-มิ.ย.'!O118+'ก.ค.-ก.ย.'!O118</f>
        <v>0</v>
      </c>
      <c r="P118" s="459">
        <f>+'ต.ค.-ธ.ค.'!P119+'ม.ค.-มี.ค.'!P118+'เม.ย.-มิ.ย.'!P118+'ก.ค.-ก.ย.'!P118</f>
        <v>0</v>
      </c>
      <c r="Q118" s="459">
        <f>+'ต.ค.-ธ.ค.'!Q119+'ม.ค.-มี.ค.'!Q118+'เม.ย.-มิ.ย.'!Q118+'ก.ค.-ก.ย.'!Q118</f>
        <v>0</v>
      </c>
      <c r="R118" s="459">
        <f>+'ต.ค.-ธ.ค.'!R119+'ม.ค.-มี.ค.'!R118+'เม.ย.-มิ.ย.'!R118+'ก.ค.-ก.ย.'!R118</f>
        <v>0</v>
      </c>
      <c r="S118" s="459">
        <f>+'ต.ค.-ธ.ค.'!S119+'ม.ค.-มี.ค.'!S118+'เม.ย.-มิ.ย.'!S118+'ก.ค.-ก.ย.'!S118</f>
        <v>0</v>
      </c>
      <c r="T118" s="459">
        <f>+'ต.ค.-ธ.ค.'!T119+'ม.ค.-มี.ค.'!T118+'เม.ย.-มิ.ย.'!T118+'ก.ค.-ก.ย.'!T118</f>
        <v>0</v>
      </c>
      <c r="U118" s="459">
        <f>+'ต.ค.-ธ.ค.'!U119+'ม.ค.-มี.ค.'!U118+'เม.ย.-มิ.ย.'!U118+'ก.ค.-ก.ย.'!U118</f>
        <v>0</v>
      </c>
      <c r="V118" s="459">
        <f>+'ต.ค.-ธ.ค.'!V119+'ม.ค.-มี.ค.'!V118+'เม.ย.-มิ.ย.'!V118+'ก.ค.-ก.ย.'!V118</f>
        <v>0</v>
      </c>
      <c r="W118" s="579"/>
      <c r="X118" s="364"/>
    </row>
    <row r="119" spans="1:24" s="310" customFormat="1" ht="25.5" customHeight="1">
      <c r="A119" s="9"/>
      <c r="B119" s="187" t="s">
        <v>211</v>
      </c>
      <c r="C119" s="419">
        <v>392000</v>
      </c>
      <c r="D119" s="450"/>
      <c r="E119" s="459">
        <f>+'ต.ค.-ธ.ค.'!E120+'ม.ค.-มี.ค.'!E119+'เม.ย.-มิ.ย.'!E119+'ก.ค.-ก.ย.'!E119</f>
        <v>0</v>
      </c>
      <c r="F119" s="459">
        <f>+'ต.ค.-ธ.ค.'!F120+'ม.ค.-มี.ค.'!F119+'เม.ย.-มิ.ย.'!F119+'ก.ค.-ก.ย.'!F119</f>
        <v>0</v>
      </c>
      <c r="G119" s="459">
        <f>+'ต.ค.-ธ.ค.'!G120+'ม.ค.-มี.ค.'!G119+'เม.ย.-มิ.ย.'!G119+'ก.ค.-ก.ย.'!G119</f>
        <v>0</v>
      </c>
      <c r="H119" s="459">
        <f>+'ต.ค.-ธ.ค.'!H120+'ม.ค.-มี.ค.'!H119+'เม.ย.-มิ.ย.'!H119+'ก.ค.-ก.ย.'!H119</f>
        <v>0</v>
      </c>
      <c r="I119" s="459">
        <f>+'ต.ค.-ธ.ค.'!I120+'ม.ค.-มี.ค.'!I119+'เม.ย.-มิ.ย.'!I119+'ก.ค.-ก.ย.'!I119</f>
        <v>372800</v>
      </c>
      <c r="J119" s="459">
        <f>+'ต.ค.-ธ.ค.'!J120+'ม.ค.-มี.ค.'!J119+'เม.ย.-มิ.ย.'!J119+'ก.ค.-ก.ย.'!J119</f>
        <v>0</v>
      </c>
      <c r="K119" s="459">
        <f>+'ต.ค.-ธ.ค.'!K120+'ม.ค.-มี.ค.'!K119+'เม.ย.-มิ.ย.'!K119+'ก.ค.-ก.ย.'!K119</f>
        <v>0</v>
      </c>
      <c r="L119" s="459">
        <f>+'ต.ค.-ธ.ค.'!L120+'ม.ค.-มี.ค.'!L119+'เม.ย.-มิ.ย.'!L119+'ก.ค.-ก.ย.'!L119</f>
        <v>0</v>
      </c>
      <c r="M119" s="459">
        <f>+'ต.ค.-ธ.ค.'!M120+'ม.ค.-มี.ค.'!M119+'เม.ย.-มิ.ย.'!M119+'ก.ค.-ก.ย.'!M119</f>
        <v>0</v>
      </c>
      <c r="N119" s="459">
        <f>+'ต.ค.-ธ.ค.'!N120+'ม.ค.-มี.ค.'!N119+'เม.ย.-มิ.ย.'!N119+'ก.ค.-ก.ย.'!N119</f>
        <v>0</v>
      </c>
      <c r="O119" s="459">
        <f>+'ต.ค.-ธ.ค.'!O120+'ม.ค.-มี.ค.'!O119+'เม.ย.-มิ.ย.'!O119+'ก.ค.-ก.ย.'!O119</f>
        <v>0</v>
      </c>
      <c r="P119" s="459">
        <f>+'ต.ค.-ธ.ค.'!P120+'ม.ค.-มี.ค.'!P119+'เม.ย.-มิ.ย.'!P119+'ก.ค.-ก.ย.'!P119</f>
        <v>0</v>
      </c>
      <c r="Q119" s="459">
        <f>+'ต.ค.-ธ.ค.'!Q120+'ม.ค.-มี.ค.'!Q119+'เม.ย.-มิ.ย.'!Q119+'ก.ค.-ก.ย.'!Q119</f>
        <v>0</v>
      </c>
      <c r="R119" s="459">
        <f>+'ต.ค.-ธ.ค.'!R120+'ม.ค.-มี.ค.'!R119+'เม.ย.-มิ.ย.'!R119+'ก.ค.-ก.ย.'!R119</f>
        <v>0</v>
      </c>
      <c r="S119" s="459">
        <f>+'ต.ค.-ธ.ค.'!S120+'ม.ค.-มี.ค.'!S119+'เม.ย.-มิ.ย.'!S119+'ก.ค.-ก.ย.'!S119</f>
        <v>0</v>
      </c>
      <c r="T119" s="459">
        <f>+'ต.ค.-ธ.ค.'!T120+'ม.ค.-มี.ค.'!T119+'เม.ย.-มิ.ย.'!T119+'ก.ค.-ก.ย.'!T119</f>
        <v>0</v>
      </c>
      <c r="U119" s="459">
        <f>+'ต.ค.-ธ.ค.'!U120+'ม.ค.-มี.ค.'!U119+'เม.ย.-มิ.ย.'!U119+'ก.ค.-ก.ย.'!U119</f>
        <v>0</v>
      </c>
      <c r="V119" s="459">
        <f>+'ต.ค.-ธ.ค.'!V120+'ม.ค.-มี.ค.'!V119+'เม.ย.-มิ.ย.'!V119+'ก.ค.-ก.ย.'!V119</f>
        <v>0</v>
      </c>
      <c r="W119" s="579"/>
      <c r="X119" s="364"/>
    </row>
    <row r="120" spans="1:24" s="310" customFormat="1" ht="25.5" customHeight="1">
      <c r="A120" s="9"/>
      <c r="B120" s="187" t="s">
        <v>263</v>
      </c>
      <c r="C120" s="419">
        <v>200900</v>
      </c>
      <c r="D120" s="450"/>
      <c r="E120" s="459">
        <f>+'ต.ค.-ธ.ค.'!E121+'ม.ค.-มี.ค.'!E120+'เม.ย.-มิ.ย.'!E120+'ก.ค.-ก.ย.'!E120</f>
        <v>0</v>
      </c>
      <c r="F120" s="459">
        <f>+'ต.ค.-ธ.ค.'!F121+'ม.ค.-มี.ค.'!F120+'เม.ย.-มิ.ย.'!F120+'ก.ค.-ก.ย.'!F120</f>
        <v>0</v>
      </c>
      <c r="G120" s="459">
        <f>+'ต.ค.-ธ.ค.'!G121+'ม.ค.-มี.ค.'!G120+'เม.ย.-มิ.ย.'!G120+'ก.ค.-ก.ย.'!G120</f>
        <v>0</v>
      </c>
      <c r="H120" s="459">
        <f>+'ต.ค.-ธ.ค.'!H121+'ม.ค.-มี.ค.'!H120+'เม.ย.-มิ.ย.'!H120+'ก.ค.-ก.ย.'!H120</f>
        <v>0</v>
      </c>
      <c r="I120" s="459">
        <f>+'ต.ค.-ธ.ค.'!I121+'ม.ค.-มี.ค.'!I120+'เม.ย.-มิ.ย.'!I120+'ก.ค.-ก.ย.'!I120</f>
        <v>204600</v>
      </c>
      <c r="J120" s="459">
        <f>+'ต.ค.-ธ.ค.'!J121+'ม.ค.-มี.ค.'!J120+'เม.ย.-มิ.ย.'!J120+'ก.ค.-ก.ย.'!J120</f>
        <v>0</v>
      </c>
      <c r="K120" s="459">
        <f>+'ต.ค.-ธ.ค.'!K121+'ม.ค.-มี.ค.'!K120+'เม.ย.-มิ.ย.'!K120+'ก.ค.-ก.ย.'!K120</f>
        <v>0</v>
      </c>
      <c r="L120" s="459">
        <f>+'ต.ค.-ธ.ค.'!L121+'ม.ค.-มี.ค.'!L120+'เม.ย.-มิ.ย.'!L120+'ก.ค.-ก.ย.'!L120</f>
        <v>0</v>
      </c>
      <c r="M120" s="459">
        <f>+'ต.ค.-ธ.ค.'!M121+'ม.ค.-มี.ค.'!M120+'เม.ย.-มิ.ย.'!M120+'ก.ค.-ก.ย.'!M120</f>
        <v>0</v>
      </c>
      <c r="N120" s="459">
        <f>+'ต.ค.-ธ.ค.'!N121+'ม.ค.-มี.ค.'!N120+'เม.ย.-มิ.ย.'!N120+'ก.ค.-ก.ย.'!N120</f>
        <v>0</v>
      </c>
      <c r="O120" s="459">
        <f>+'ต.ค.-ธ.ค.'!O121+'ม.ค.-มี.ค.'!O120+'เม.ย.-มิ.ย.'!O120+'ก.ค.-ก.ย.'!O120</f>
        <v>0</v>
      </c>
      <c r="P120" s="459">
        <f>+'ต.ค.-ธ.ค.'!P121+'ม.ค.-มี.ค.'!P120+'เม.ย.-มิ.ย.'!P120+'ก.ค.-ก.ย.'!P120</f>
        <v>0</v>
      </c>
      <c r="Q120" s="459">
        <f>+'ต.ค.-ธ.ค.'!Q121+'ม.ค.-มี.ค.'!Q120+'เม.ย.-มิ.ย.'!Q120+'ก.ค.-ก.ย.'!Q120</f>
        <v>0</v>
      </c>
      <c r="R120" s="459">
        <f>+'ต.ค.-ธ.ค.'!R121+'ม.ค.-มี.ค.'!R120+'เม.ย.-มิ.ย.'!R120+'ก.ค.-ก.ย.'!R120</f>
        <v>0</v>
      </c>
      <c r="S120" s="459">
        <f>+'ต.ค.-ธ.ค.'!S121+'ม.ค.-มี.ค.'!S120+'เม.ย.-มิ.ย.'!S120+'ก.ค.-ก.ย.'!S120</f>
        <v>0</v>
      </c>
      <c r="T120" s="459">
        <f>+'ต.ค.-ธ.ค.'!T121+'ม.ค.-มี.ค.'!T120+'เม.ย.-มิ.ย.'!T120+'ก.ค.-ก.ย.'!T120</f>
        <v>0</v>
      </c>
      <c r="U120" s="459">
        <f>+'ต.ค.-ธ.ค.'!U121+'ม.ค.-มี.ค.'!U120+'เม.ย.-มิ.ย.'!U120+'ก.ค.-ก.ย.'!U120</f>
        <v>0</v>
      </c>
      <c r="V120" s="459">
        <f>+'ต.ค.-ธ.ค.'!V121+'ม.ค.-มี.ค.'!V120+'เม.ย.-มิ.ย.'!V120+'ก.ค.-ก.ย.'!V120</f>
        <v>0</v>
      </c>
      <c r="W120" s="579"/>
      <c r="X120" s="364"/>
    </row>
    <row r="121" spans="1:24" s="310" customFormat="1" ht="25.5" customHeight="1">
      <c r="A121" s="9"/>
      <c r="B121" s="187" t="s">
        <v>315</v>
      </c>
      <c r="C121" s="419">
        <v>230300</v>
      </c>
      <c r="D121" s="450"/>
      <c r="E121" s="459">
        <f>+'ต.ค.-ธ.ค.'!E122+'ม.ค.-มี.ค.'!E121+'เม.ย.-มิ.ย.'!E121+'ก.ค.-ก.ย.'!E121</f>
        <v>0</v>
      </c>
      <c r="F121" s="459">
        <f>+'ต.ค.-ธ.ค.'!F122+'ม.ค.-มี.ค.'!F121+'เม.ย.-มิ.ย.'!F121+'ก.ค.-ก.ย.'!F121</f>
        <v>0</v>
      </c>
      <c r="G121" s="459">
        <f>+'ต.ค.-ธ.ค.'!G122+'ม.ค.-มี.ค.'!G121+'เม.ย.-มิ.ย.'!G121+'ก.ค.-ก.ย.'!G121</f>
        <v>0</v>
      </c>
      <c r="H121" s="459">
        <f>+'ต.ค.-ธ.ค.'!H122+'ม.ค.-มี.ค.'!H121+'เม.ย.-มิ.ย.'!H121+'ก.ค.-ก.ย.'!H121</f>
        <v>0</v>
      </c>
      <c r="I121" s="459">
        <f>+'ต.ค.-ธ.ค.'!I122+'ม.ค.-มี.ค.'!I121+'เม.ย.-มิ.ย.'!I121+'ก.ค.-ก.ย.'!I121</f>
        <v>230200</v>
      </c>
      <c r="J121" s="459">
        <f>+'ต.ค.-ธ.ค.'!J122+'ม.ค.-มี.ค.'!J121+'เม.ย.-มิ.ย.'!J121+'ก.ค.-ก.ย.'!J121</f>
        <v>0</v>
      </c>
      <c r="K121" s="459">
        <f>+'ต.ค.-ธ.ค.'!K122+'ม.ค.-มี.ค.'!K121+'เม.ย.-มิ.ย.'!K121+'ก.ค.-ก.ย.'!K121</f>
        <v>0</v>
      </c>
      <c r="L121" s="459">
        <f>+'ต.ค.-ธ.ค.'!L122+'ม.ค.-มี.ค.'!L121+'เม.ย.-มิ.ย.'!L121+'ก.ค.-ก.ย.'!L121</f>
        <v>0</v>
      </c>
      <c r="M121" s="459">
        <f>+'ต.ค.-ธ.ค.'!M122+'ม.ค.-มี.ค.'!M121+'เม.ย.-มิ.ย.'!M121+'ก.ค.-ก.ย.'!M121</f>
        <v>0</v>
      </c>
      <c r="N121" s="459">
        <f>+'ต.ค.-ธ.ค.'!N122+'ม.ค.-มี.ค.'!N121+'เม.ย.-มิ.ย.'!N121+'ก.ค.-ก.ย.'!N121</f>
        <v>0</v>
      </c>
      <c r="O121" s="459">
        <f>+'ต.ค.-ธ.ค.'!O122+'ม.ค.-มี.ค.'!O121+'เม.ย.-มิ.ย.'!O121+'ก.ค.-ก.ย.'!O121</f>
        <v>0</v>
      </c>
      <c r="P121" s="459">
        <f>+'ต.ค.-ธ.ค.'!P122+'ม.ค.-มี.ค.'!P121+'เม.ย.-มิ.ย.'!P121+'ก.ค.-ก.ย.'!P121</f>
        <v>0</v>
      </c>
      <c r="Q121" s="459">
        <f>+'ต.ค.-ธ.ค.'!Q122+'ม.ค.-มี.ค.'!Q121+'เม.ย.-มิ.ย.'!Q121+'ก.ค.-ก.ย.'!Q121</f>
        <v>0</v>
      </c>
      <c r="R121" s="459">
        <f>+'ต.ค.-ธ.ค.'!R122+'ม.ค.-มี.ค.'!R121+'เม.ย.-มิ.ย.'!R121+'ก.ค.-ก.ย.'!R121</f>
        <v>0</v>
      </c>
      <c r="S121" s="459">
        <f>+'ต.ค.-ธ.ค.'!S122+'ม.ค.-มี.ค.'!S121+'เม.ย.-มิ.ย.'!S121+'ก.ค.-ก.ย.'!S121</f>
        <v>0</v>
      </c>
      <c r="T121" s="459">
        <f>+'ต.ค.-ธ.ค.'!T122+'ม.ค.-มี.ค.'!T121+'เม.ย.-มิ.ย.'!T121+'ก.ค.-ก.ย.'!T121</f>
        <v>0</v>
      </c>
      <c r="U121" s="459">
        <f>+'ต.ค.-ธ.ค.'!U122+'ม.ค.-มี.ค.'!U121+'เม.ย.-มิ.ย.'!U121+'ก.ค.-ก.ย.'!U121</f>
        <v>0</v>
      </c>
      <c r="V121" s="459">
        <f>+'ต.ค.-ธ.ค.'!V122+'ม.ค.-มี.ค.'!V121+'เม.ย.-มิ.ย.'!V121+'ก.ค.-ก.ย.'!V121</f>
        <v>0</v>
      </c>
      <c r="W121" s="579"/>
      <c r="X121" s="364"/>
    </row>
    <row r="122" spans="1:24" s="310" customFormat="1" ht="25.5" customHeight="1">
      <c r="A122" s="9"/>
      <c r="B122" s="187" t="s">
        <v>212</v>
      </c>
      <c r="C122" s="419">
        <v>171500</v>
      </c>
      <c r="D122" s="450"/>
      <c r="E122" s="459">
        <f>+'ต.ค.-ธ.ค.'!E123+'ม.ค.-มี.ค.'!E122+'เม.ย.-มิ.ย.'!E122+'ก.ค.-ก.ย.'!E122</f>
        <v>0</v>
      </c>
      <c r="F122" s="459">
        <f>+'ต.ค.-ธ.ค.'!F123+'ม.ค.-มี.ค.'!F122+'เม.ย.-มิ.ย.'!F122+'ก.ค.-ก.ย.'!F122</f>
        <v>0</v>
      </c>
      <c r="G122" s="459">
        <f>+'ต.ค.-ธ.ค.'!G123+'ม.ค.-มี.ค.'!G122+'เม.ย.-มิ.ย.'!G122+'ก.ค.-ก.ย.'!G122</f>
        <v>0</v>
      </c>
      <c r="H122" s="459">
        <f>+'ต.ค.-ธ.ค.'!H123+'ม.ค.-มี.ค.'!H122+'เม.ย.-มิ.ย.'!H122+'ก.ค.-ก.ย.'!H122</f>
        <v>0</v>
      </c>
      <c r="I122" s="459">
        <f>+'ต.ค.-ธ.ค.'!I123+'ม.ค.-มี.ค.'!I122+'เม.ย.-มิ.ย.'!I122+'ก.ค.-ก.ย.'!I122</f>
        <v>167900</v>
      </c>
      <c r="J122" s="459">
        <f>+'ต.ค.-ธ.ค.'!J123+'ม.ค.-มี.ค.'!J122+'เม.ย.-มิ.ย.'!J122+'ก.ค.-ก.ย.'!J122</f>
        <v>0</v>
      </c>
      <c r="K122" s="459">
        <f>+'ต.ค.-ธ.ค.'!K123+'ม.ค.-มี.ค.'!K122+'เม.ย.-มิ.ย.'!K122+'ก.ค.-ก.ย.'!K122</f>
        <v>0</v>
      </c>
      <c r="L122" s="459">
        <f>+'ต.ค.-ธ.ค.'!L123+'ม.ค.-มี.ค.'!L122+'เม.ย.-มิ.ย.'!L122+'ก.ค.-ก.ย.'!L122</f>
        <v>0</v>
      </c>
      <c r="M122" s="459">
        <f>+'ต.ค.-ธ.ค.'!M123+'ม.ค.-มี.ค.'!M122+'เม.ย.-มิ.ย.'!M122+'ก.ค.-ก.ย.'!M122</f>
        <v>0</v>
      </c>
      <c r="N122" s="459">
        <f>+'ต.ค.-ธ.ค.'!N123+'ม.ค.-มี.ค.'!N122+'เม.ย.-มิ.ย.'!N122+'ก.ค.-ก.ย.'!N122</f>
        <v>0</v>
      </c>
      <c r="O122" s="459">
        <f>+'ต.ค.-ธ.ค.'!O123+'ม.ค.-มี.ค.'!O122+'เม.ย.-มิ.ย.'!O122+'ก.ค.-ก.ย.'!O122</f>
        <v>0</v>
      </c>
      <c r="P122" s="459">
        <f>+'ต.ค.-ธ.ค.'!P123+'ม.ค.-มี.ค.'!P122+'เม.ย.-มิ.ย.'!P122+'ก.ค.-ก.ย.'!P122</f>
        <v>0</v>
      </c>
      <c r="Q122" s="459">
        <f>+'ต.ค.-ธ.ค.'!Q123+'ม.ค.-มี.ค.'!Q122+'เม.ย.-มิ.ย.'!Q122+'ก.ค.-ก.ย.'!Q122</f>
        <v>0</v>
      </c>
      <c r="R122" s="459">
        <f>+'ต.ค.-ธ.ค.'!R123+'ม.ค.-มี.ค.'!R122+'เม.ย.-มิ.ย.'!R122+'ก.ค.-ก.ย.'!R122</f>
        <v>0</v>
      </c>
      <c r="S122" s="459">
        <f>+'ต.ค.-ธ.ค.'!S123+'ม.ค.-มี.ค.'!S122+'เม.ย.-มิ.ย.'!S122+'ก.ค.-ก.ย.'!S122</f>
        <v>0</v>
      </c>
      <c r="T122" s="459">
        <f>+'ต.ค.-ธ.ค.'!T123+'ม.ค.-มี.ค.'!T122+'เม.ย.-มิ.ย.'!T122+'ก.ค.-ก.ย.'!T122</f>
        <v>0</v>
      </c>
      <c r="U122" s="459">
        <f>+'ต.ค.-ธ.ค.'!U123+'ม.ค.-มี.ค.'!U122+'เม.ย.-มิ.ย.'!U122+'ก.ค.-ก.ย.'!U122</f>
        <v>0</v>
      </c>
      <c r="V122" s="459">
        <f>+'ต.ค.-ธ.ค.'!V123+'ม.ค.-มี.ค.'!V122+'เม.ย.-มิ.ย.'!V122+'ก.ค.-ก.ย.'!V122</f>
        <v>0</v>
      </c>
      <c r="W122" s="579"/>
      <c r="X122" s="364"/>
    </row>
    <row r="123" spans="1:24" s="310" customFormat="1" ht="25.5" customHeight="1">
      <c r="A123" s="9"/>
      <c r="B123" s="187" t="s">
        <v>140</v>
      </c>
      <c r="C123" s="419">
        <v>50000</v>
      </c>
      <c r="D123" s="450"/>
      <c r="E123" s="459">
        <f>+'ต.ค.-ธ.ค.'!E124+'ม.ค.-มี.ค.'!E123+'เม.ย.-มิ.ย.'!E123+'ก.ค.-ก.ย.'!E123</f>
        <v>0</v>
      </c>
      <c r="F123" s="459">
        <f>+'ต.ค.-ธ.ค.'!F124+'ม.ค.-มี.ค.'!F123+'เม.ย.-มิ.ย.'!F123+'ก.ค.-ก.ย.'!F123</f>
        <v>0</v>
      </c>
      <c r="G123" s="459">
        <f>+'ต.ค.-ธ.ค.'!G124+'ม.ค.-มี.ค.'!G123+'เม.ย.-มิ.ย.'!G123+'ก.ค.-ก.ย.'!G123</f>
        <v>0</v>
      </c>
      <c r="H123" s="459">
        <f>+'ต.ค.-ธ.ค.'!H124+'ม.ค.-มี.ค.'!H123+'เม.ย.-มิ.ย.'!H123+'ก.ค.-ก.ย.'!H123</f>
        <v>0</v>
      </c>
      <c r="I123" s="459">
        <f>+'ต.ค.-ธ.ค.'!I124+'ม.ค.-มี.ค.'!I123+'เม.ย.-มิ.ย.'!I123+'ก.ค.-ก.ย.'!I123</f>
        <v>0</v>
      </c>
      <c r="J123" s="459">
        <f>+'ต.ค.-ธ.ค.'!J124+'ม.ค.-มี.ค.'!J123+'เม.ย.-มิ.ย.'!J123+'ก.ค.-ก.ย.'!J123</f>
        <v>49995</v>
      </c>
      <c r="K123" s="459">
        <f>+'ต.ค.-ธ.ค.'!K124+'ม.ค.-มี.ค.'!K123+'เม.ย.-มิ.ย.'!K123+'ก.ค.-ก.ย.'!K123</f>
        <v>0</v>
      </c>
      <c r="L123" s="459">
        <f>+'ต.ค.-ธ.ค.'!L124+'ม.ค.-มี.ค.'!L123+'เม.ย.-มิ.ย.'!L123+'ก.ค.-ก.ย.'!L123</f>
        <v>0</v>
      </c>
      <c r="M123" s="459">
        <f>+'ต.ค.-ธ.ค.'!M124+'ม.ค.-มี.ค.'!M123+'เม.ย.-มิ.ย.'!M123+'ก.ค.-ก.ย.'!M123</f>
        <v>0</v>
      </c>
      <c r="N123" s="459">
        <f>+'ต.ค.-ธ.ค.'!N124+'ม.ค.-มี.ค.'!N123+'เม.ย.-มิ.ย.'!N123+'ก.ค.-ก.ย.'!N123</f>
        <v>0</v>
      </c>
      <c r="O123" s="459">
        <f>+'ต.ค.-ธ.ค.'!O124+'ม.ค.-มี.ค.'!O123+'เม.ย.-มิ.ย.'!O123+'ก.ค.-ก.ย.'!O123</f>
        <v>0</v>
      </c>
      <c r="P123" s="459">
        <f>+'ต.ค.-ธ.ค.'!P124+'ม.ค.-มี.ค.'!P123+'เม.ย.-มิ.ย.'!P123+'ก.ค.-ก.ย.'!P123</f>
        <v>0</v>
      </c>
      <c r="Q123" s="459">
        <f>+'ต.ค.-ธ.ค.'!Q124+'ม.ค.-มี.ค.'!Q123+'เม.ย.-มิ.ย.'!Q123+'ก.ค.-ก.ย.'!Q123</f>
        <v>0</v>
      </c>
      <c r="R123" s="459">
        <f>+'ต.ค.-ธ.ค.'!R124+'ม.ค.-มี.ค.'!R123+'เม.ย.-มิ.ย.'!R123+'ก.ค.-ก.ย.'!R123</f>
        <v>0</v>
      </c>
      <c r="S123" s="459">
        <f>+'ต.ค.-ธ.ค.'!S124+'ม.ค.-มี.ค.'!S123+'เม.ย.-มิ.ย.'!S123+'ก.ค.-ก.ย.'!S123</f>
        <v>0</v>
      </c>
      <c r="T123" s="459">
        <f>+'ต.ค.-ธ.ค.'!T124+'ม.ค.-มี.ค.'!T123+'เม.ย.-มิ.ย.'!T123+'ก.ค.-ก.ย.'!T123</f>
        <v>0</v>
      </c>
      <c r="U123" s="459">
        <f>+'ต.ค.-ธ.ค.'!U124+'ม.ค.-มี.ค.'!U123+'เม.ย.-มิ.ย.'!U123+'ก.ค.-ก.ย.'!U123</f>
        <v>0</v>
      </c>
      <c r="V123" s="459">
        <f>+'ต.ค.-ธ.ค.'!V124+'ม.ค.-มี.ค.'!V123+'เม.ย.-มิ.ย.'!V123+'ก.ค.-ก.ย.'!V123</f>
        <v>0</v>
      </c>
      <c r="W123" s="579"/>
      <c r="X123" s="364"/>
    </row>
    <row r="124" spans="1:24" s="310" customFormat="1" ht="25.5" customHeight="1">
      <c r="A124" s="9"/>
      <c r="B124" s="187" t="s">
        <v>206</v>
      </c>
      <c r="C124" s="419">
        <v>20000</v>
      </c>
      <c r="D124" s="450"/>
      <c r="E124" s="459">
        <f>+'ต.ค.-ธ.ค.'!E125+'ม.ค.-มี.ค.'!E124+'เม.ย.-มิ.ย.'!E124+'ก.ค.-ก.ย.'!E124</f>
        <v>0</v>
      </c>
      <c r="F124" s="459">
        <f>+'ต.ค.-ธ.ค.'!F125+'ม.ค.-มี.ค.'!F124+'เม.ย.-มิ.ย.'!F124+'ก.ค.-ก.ย.'!F124</f>
        <v>0</v>
      </c>
      <c r="G124" s="459">
        <f>+'ต.ค.-ธ.ค.'!G125+'ม.ค.-มี.ค.'!G124+'เม.ย.-มิ.ย.'!G124+'ก.ค.-ก.ย.'!G124</f>
        <v>0</v>
      </c>
      <c r="H124" s="459">
        <f>+'ต.ค.-ธ.ค.'!H125+'ม.ค.-มี.ค.'!H124+'เม.ย.-มิ.ย.'!H124+'ก.ค.-ก.ย.'!H124</f>
        <v>0</v>
      </c>
      <c r="I124" s="459">
        <f>+'ต.ค.-ธ.ค.'!I125+'ม.ค.-มี.ค.'!I124+'เม.ย.-มิ.ย.'!I124+'ก.ค.-ก.ย.'!I124</f>
        <v>0</v>
      </c>
      <c r="J124" s="459">
        <f>+'ต.ค.-ธ.ค.'!J125+'ม.ค.-มี.ค.'!J124+'เม.ย.-มิ.ย.'!J124+'ก.ค.-ก.ย.'!J124</f>
        <v>39998</v>
      </c>
      <c r="K124" s="459">
        <f>+'ต.ค.-ธ.ค.'!K125+'ม.ค.-มี.ค.'!K124+'เม.ย.-มิ.ย.'!K124+'ก.ค.-ก.ย.'!K124</f>
        <v>0</v>
      </c>
      <c r="L124" s="459">
        <f>+'ต.ค.-ธ.ค.'!L125+'ม.ค.-มี.ค.'!L124+'เม.ย.-มิ.ย.'!L124+'ก.ค.-ก.ย.'!L124</f>
        <v>0</v>
      </c>
      <c r="M124" s="459">
        <f>+'ต.ค.-ธ.ค.'!M125+'ม.ค.-มี.ค.'!M124+'เม.ย.-มิ.ย.'!M124+'ก.ค.-ก.ย.'!M124</f>
        <v>0</v>
      </c>
      <c r="N124" s="459">
        <f>+'ต.ค.-ธ.ค.'!N125+'ม.ค.-มี.ค.'!N124+'เม.ย.-มิ.ย.'!N124+'ก.ค.-ก.ย.'!N124</f>
        <v>0</v>
      </c>
      <c r="O124" s="459">
        <f>+'ต.ค.-ธ.ค.'!O125+'ม.ค.-มี.ค.'!O124+'เม.ย.-มิ.ย.'!O124+'ก.ค.-ก.ย.'!O124</f>
        <v>0</v>
      </c>
      <c r="P124" s="459">
        <f>+'ต.ค.-ธ.ค.'!P125+'ม.ค.-มี.ค.'!P124+'เม.ย.-มิ.ย.'!P124+'ก.ค.-ก.ย.'!P124</f>
        <v>0</v>
      </c>
      <c r="Q124" s="459">
        <f>+'ต.ค.-ธ.ค.'!Q125+'ม.ค.-มี.ค.'!Q124+'เม.ย.-มิ.ย.'!Q124+'ก.ค.-ก.ย.'!Q124</f>
        <v>0</v>
      </c>
      <c r="R124" s="459">
        <f>+'ต.ค.-ธ.ค.'!R125+'ม.ค.-มี.ค.'!R124+'เม.ย.-มิ.ย.'!R124+'ก.ค.-ก.ย.'!R124</f>
        <v>0</v>
      </c>
      <c r="S124" s="459">
        <f>+'ต.ค.-ธ.ค.'!S125+'ม.ค.-มี.ค.'!S124+'เม.ย.-มิ.ย.'!S124+'ก.ค.-ก.ย.'!S124</f>
        <v>0</v>
      </c>
      <c r="T124" s="459">
        <f>+'ต.ค.-ธ.ค.'!T125+'ม.ค.-มี.ค.'!T124+'เม.ย.-มิ.ย.'!T124+'ก.ค.-ก.ย.'!T124</f>
        <v>0</v>
      </c>
      <c r="U124" s="459">
        <f>+'ต.ค.-ธ.ค.'!U125+'ม.ค.-มี.ค.'!U124+'เม.ย.-มิ.ย.'!U124+'ก.ค.-ก.ย.'!U124</f>
        <v>0</v>
      </c>
      <c r="V124" s="459">
        <f>+'ต.ค.-ธ.ค.'!V125+'ม.ค.-มี.ค.'!V124+'เม.ย.-มิ.ย.'!V124+'ก.ค.-ก.ย.'!V124</f>
        <v>0</v>
      </c>
      <c r="W124" s="579"/>
      <c r="X124" s="364"/>
    </row>
    <row r="125" spans="1:24" s="310" customFormat="1" ht="25.5" customHeight="1">
      <c r="A125" s="9"/>
      <c r="B125" s="187" t="s">
        <v>326</v>
      </c>
      <c r="C125" s="419">
        <v>5000</v>
      </c>
      <c r="D125" s="450"/>
      <c r="E125" s="459">
        <f>+'ต.ค.-ธ.ค.'!E126+'ม.ค.-มี.ค.'!E125+'เม.ย.-มิ.ย.'!E125+'ก.ค.-ก.ย.'!E125</f>
        <v>0</v>
      </c>
      <c r="F125" s="459">
        <f>+'ต.ค.-ธ.ค.'!F126+'ม.ค.-มี.ค.'!F125+'เม.ย.-มิ.ย.'!F125+'ก.ค.-ก.ย.'!F125</f>
        <v>0</v>
      </c>
      <c r="G125" s="459">
        <f>+'ต.ค.-ธ.ค.'!G126+'ม.ค.-มี.ค.'!G125+'เม.ย.-มิ.ย.'!G125+'ก.ค.-ก.ย.'!G125</f>
        <v>0</v>
      </c>
      <c r="H125" s="459">
        <f>+'ต.ค.-ธ.ค.'!H126+'ม.ค.-มี.ค.'!H125+'เม.ย.-มิ.ย.'!H125+'ก.ค.-ก.ย.'!H125</f>
        <v>0</v>
      </c>
      <c r="I125" s="459">
        <f>+'ต.ค.-ธ.ค.'!I126+'ม.ค.-มี.ค.'!I125+'เม.ย.-มิ.ย.'!I125+'ก.ค.-ก.ย.'!I125</f>
        <v>0</v>
      </c>
      <c r="J125" s="459">
        <f>+'ต.ค.-ธ.ค.'!J126+'ม.ค.-มี.ค.'!J125+'เม.ย.-มิ.ย.'!J125+'ก.ค.-ก.ย.'!J125</f>
        <v>0</v>
      </c>
      <c r="K125" s="459">
        <f>+'ต.ค.-ธ.ค.'!K126+'ม.ค.-มี.ค.'!K125+'เม.ย.-มิ.ย.'!K125+'ก.ค.-ก.ย.'!K125</f>
        <v>0</v>
      </c>
      <c r="L125" s="459">
        <f>+'ต.ค.-ธ.ค.'!L126+'ม.ค.-มี.ค.'!L125+'เม.ย.-มิ.ย.'!L125+'ก.ค.-ก.ย.'!L125</f>
        <v>0</v>
      </c>
      <c r="M125" s="459">
        <f>+'ต.ค.-ธ.ค.'!M126+'ม.ค.-มี.ค.'!M125+'เม.ย.-มิ.ย.'!M125+'ก.ค.-ก.ย.'!M125</f>
        <v>0</v>
      </c>
      <c r="N125" s="459">
        <f>+'ต.ค.-ธ.ค.'!N126+'ม.ค.-มี.ค.'!N125+'เม.ย.-มิ.ย.'!N125+'ก.ค.-ก.ย.'!N125</f>
        <v>0</v>
      </c>
      <c r="O125" s="459">
        <f>+'ต.ค.-ธ.ค.'!O126+'ม.ค.-มี.ค.'!O125+'เม.ย.-มิ.ย.'!O125+'ก.ค.-ก.ย.'!O125</f>
        <v>0</v>
      </c>
      <c r="P125" s="459">
        <f>+'ต.ค.-ธ.ค.'!P126+'ม.ค.-มี.ค.'!P125+'เม.ย.-มิ.ย.'!P125+'ก.ค.-ก.ย.'!P125</f>
        <v>0</v>
      </c>
      <c r="Q125" s="459">
        <f>+'ต.ค.-ธ.ค.'!Q126+'ม.ค.-มี.ค.'!Q125+'เม.ย.-มิ.ย.'!Q125+'ก.ค.-ก.ย.'!Q125</f>
        <v>0</v>
      </c>
      <c r="R125" s="459">
        <f>+'ต.ค.-ธ.ค.'!R126+'ม.ค.-มี.ค.'!R125+'เม.ย.-มิ.ย.'!R125+'ก.ค.-ก.ย.'!R125</f>
        <v>0</v>
      </c>
      <c r="S125" s="459">
        <f>+'ต.ค.-ธ.ค.'!S126+'ม.ค.-มี.ค.'!S125+'เม.ย.-มิ.ย.'!S125+'ก.ค.-ก.ย.'!S125</f>
        <v>0</v>
      </c>
      <c r="T125" s="459">
        <f>+'ต.ค.-ธ.ค.'!T126+'ม.ค.-มี.ค.'!T125+'เม.ย.-มิ.ย.'!T125+'ก.ค.-ก.ย.'!T125</f>
        <v>0</v>
      </c>
      <c r="U125" s="459">
        <f>+'ต.ค.-ธ.ค.'!U126+'ม.ค.-มี.ค.'!U125+'เม.ย.-มิ.ย.'!U125+'ก.ค.-ก.ย.'!U125</f>
        <v>0</v>
      </c>
      <c r="V125" s="459">
        <f>+'ต.ค.-ธ.ค.'!V126+'ม.ค.-มี.ค.'!V125+'เม.ย.-มิ.ย.'!V125+'ก.ค.-ก.ย.'!V125</f>
        <v>0</v>
      </c>
      <c r="W125" s="579"/>
      <c r="X125" s="364"/>
    </row>
    <row r="126" spans="1:24" s="310" customFormat="1" ht="25.5" customHeight="1">
      <c r="A126" s="9"/>
      <c r="B126" s="187" t="s">
        <v>327</v>
      </c>
      <c r="C126" s="419">
        <v>5000</v>
      </c>
      <c r="D126" s="450"/>
      <c r="E126" s="459">
        <f>+'ต.ค.-ธ.ค.'!E127+'ม.ค.-มี.ค.'!E126+'เม.ย.-มิ.ย.'!E126+'ก.ค.-ก.ย.'!E126</f>
        <v>0</v>
      </c>
      <c r="F126" s="459">
        <f>+'ต.ค.-ธ.ค.'!F127+'ม.ค.-มี.ค.'!F126+'เม.ย.-มิ.ย.'!F126+'ก.ค.-ก.ย.'!F126</f>
        <v>0</v>
      </c>
      <c r="G126" s="459">
        <f>+'ต.ค.-ธ.ค.'!G127+'ม.ค.-มี.ค.'!G126+'เม.ย.-มิ.ย.'!G126+'ก.ค.-ก.ย.'!G126</f>
        <v>0</v>
      </c>
      <c r="H126" s="459">
        <f>+'ต.ค.-ธ.ค.'!H127+'ม.ค.-มี.ค.'!H126+'เม.ย.-มิ.ย.'!H126+'ก.ค.-ก.ย.'!H126</f>
        <v>0</v>
      </c>
      <c r="I126" s="459">
        <f>+'ต.ค.-ธ.ค.'!I127+'ม.ค.-มี.ค.'!I126+'เม.ย.-มิ.ย.'!I126+'ก.ค.-ก.ย.'!I126</f>
        <v>0</v>
      </c>
      <c r="J126" s="459">
        <f>+'ต.ค.-ธ.ค.'!J127+'ม.ค.-มี.ค.'!J126+'เม.ย.-มิ.ย.'!J126+'ก.ค.-ก.ย.'!J126</f>
        <v>0</v>
      </c>
      <c r="K126" s="459">
        <f>+'ต.ค.-ธ.ค.'!K127+'ม.ค.-มี.ค.'!K126+'เม.ย.-มิ.ย.'!K126+'ก.ค.-ก.ย.'!K126</f>
        <v>0</v>
      </c>
      <c r="L126" s="459">
        <f>+'ต.ค.-ธ.ค.'!L127+'ม.ค.-มี.ค.'!L126+'เม.ย.-มิ.ย.'!L126+'ก.ค.-ก.ย.'!L126</f>
        <v>0</v>
      </c>
      <c r="M126" s="459">
        <f>+'ต.ค.-ธ.ค.'!M127+'ม.ค.-มี.ค.'!M126+'เม.ย.-มิ.ย.'!M126+'ก.ค.-ก.ย.'!M126</f>
        <v>0</v>
      </c>
      <c r="N126" s="459">
        <f>+'ต.ค.-ธ.ค.'!N127+'ม.ค.-มี.ค.'!N126+'เม.ย.-มิ.ย.'!N126+'ก.ค.-ก.ย.'!N126</f>
        <v>0</v>
      </c>
      <c r="O126" s="459">
        <f>+'ต.ค.-ธ.ค.'!O127+'ม.ค.-มี.ค.'!O126+'เม.ย.-มิ.ย.'!O126+'ก.ค.-ก.ย.'!O126</f>
        <v>0</v>
      </c>
      <c r="P126" s="459">
        <f>+'ต.ค.-ธ.ค.'!P127+'ม.ค.-มี.ค.'!P126+'เม.ย.-มิ.ย.'!P126+'ก.ค.-ก.ย.'!P126</f>
        <v>0</v>
      </c>
      <c r="Q126" s="459">
        <f>+'ต.ค.-ธ.ค.'!Q127+'ม.ค.-มี.ค.'!Q126+'เม.ย.-มิ.ย.'!Q126+'ก.ค.-ก.ย.'!Q126</f>
        <v>0</v>
      </c>
      <c r="R126" s="459">
        <f>+'ต.ค.-ธ.ค.'!R127+'ม.ค.-มี.ค.'!R126+'เม.ย.-มิ.ย.'!R126+'ก.ค.-ก.ย.'!R126</f>
        <v>0</v>
      </c>
      <c r="S126" s="459">
        <f>+'ต.ค.-ธ.ค.'!S127+'ม.ค.-มี.ค.'!S126+'เม.ย.-มิ.ย.'!S126+'ก.ค.-ก.ย.'!S126</f>
        <v>0</v>
      </c>
      <c r="T126" s="459">
        <f>+'ต.ค.-ธ.ค.'!T127+'ม.ค.-มี.ค.'!T126+'เม.ย.-มิ.ย.'!T126+'ก.ค.-ก.ย.'!T126</f>
        <v>0</v>
      </c>
      <c r="U126" s="459">
        <f>+'ต.ค.-ธ.ค.'!U127+'ม.ค.-มี.ค.'!U126+'เม.ย.-มิ.ย.'!U126+'ก.ค.-ก.ย.'!U126</f>
        <v>0</v>
      </c>
      <c r="V126" s="459">
        <f>+'ต.ค.-ธ.ค.'!V127+'ม.ค.-มี.ค.'!V126+'เม.ย.-มิ.ย.'!V126+'ก.ค.-ก.ย.'!V126</f>
        <v>0</v>
      </c>
      <c r="W126" s="579"/>
      <c r="X126" s="364"/>
    </row>
    <row r="127" spans="1:24" s="310" customFormat="1" ht="25.5" customHeight="1">
      <c r="A127" s="9"/>
      <c r="B127" s="187" t="s">
        <v>142</v>
      </c>
      <c r="C127" s="419">
        <v>20000</v>
      </c>
      <c r="D127" s="450"/>
      <c r="E127" s="459">
        <f>+'ต.ค.-ธ.ค.'!E128+'ม.ค.-มี.ค.'!E127+'เม.ย.-มิ.ย.'!E127+'ก.ค.-ก.ย.'!E127</f>
        <v>0</v>
      </c>
      <c r="F127" s="459">
        <f>+'ต.ค.-ธ.ค.'!F128+'ม.ค.-มี.ค.'!F127+'เม.ย.-มิ.ย.'!F127+'ก.ค.-ก.ย.'!F127</f>
        <v>0</v>
      </c>
      <c r="G127" s="459">
        <f>+'ต.ค.-ธ.ค.'!G128+'ม.ค.-มี.ค.'!G127+'เม.ย.-มิ.ย.'!G127+'ก.ค.-ก.ย.'!G127</f>
        <v>0</v>
      </c>
      <c r="H127" s="459">
        <f>+'ต.ค.-ธ.ค.'!H128+'ม.ค.-มี.ค.'!H127+'เม.ย.-มิ.ย.'!H127+'ก.ค.-ก.ย.'!H127</f>
        <v>0</v>
      </c>
      <c r="I127" s="459">
        <f>+'ต.ค.-ธ.ค.'!I128+'ม.ค.-มี.ค.'!I127+'เม.ย.-มิ.ย.'!I127+'ก.ค.-ก.ย.'!I127</f>
        <v>0</v>
      </c>
      <c r="J127" s="459">
        <f>+'ต.ค.-ธ.ค.'!J128+'ม.ค.-มี.ค.'!J127+'เม.ย.-มิ.ย.'!J127+'ก.ค.-ก.ย.'!J127</f>
        <v>0</v>
      </c>
      <c r="K127" s="459">
        <f>+'ต.ค.-ธ.ค.'!K128+'ม.ค.-มี.ค.'!K127+'เม.ย.-มิ.ย.'!K127+'ก.ค.-ก.ย.'!K127</f>
        <v>0</v>
      </c>
      <c r="L127" s="459">
        <f>+'ต.ค.-ธ.ค.'!L128+'ม.ค.-มี.ค.'!L127+'เม.ย.-มิ.ย.'!L127+'ก.ค.-ก.ย.'!L127</f>
        <v>0</v>
      </c>
      <c r="M127" s="459">
        <f>+'ต.ค.-ธ.ค.'!M128+'ม.ค.-มี.ค.'!M127+'เม.ย.-มิ.ย.'!M127+'ก.ค.-ก.ย.'!M127</f>
        <v>0</v>
      </c>
      <c r="N127" s="459">
        <f>+'ต.ค.-ธ.ค.'!N128+'ม.ค.-มี.ค.'!N127+'เม.ย.-มิ.ย.'!N127+'ก.ค.-ก.ย.'!N127</f>
        <v>0</v>
      </c>
      <c r="O127" s="459">
        <f>+'ต.ค.-ธ.ค.'!O128+'ม.ค.-มี.ค.'!O127+'เม.ย.-มิ.ย.'!O127+'ก.ค.-ก.ย.'!O127</f>
        <v>0</v>
      </c>
      <c r="P127" s="459">
        <f>+'ต.ค.-ธ.ค.'!P128+'ม.ค.-มี.ค.'!P127+'เม.ย.-มิ.ย.'!P127+'ก.ค.-ก.ย.'!P127</f>
        <v>0</v>
      </c>
      <c r="Q127" s="459">
        <f>+'ต.ค.-ธ.ค.'!Q128+'ม.ค.-มี.ค.'!Q127+'เม.ย.-มิ.ย.'!Q127+'ก.ค.-ก.ย.'!Q127</f>
        <v>0</v>
      </c>
      <c r="R127" s="459">
        <f>+'ต.ค.-ธ.ค.'!R128+'ม.ค.-มี.ค.'!R127+'เม.ย.-มิ.ย.'!R127+'ก.ค.-ก.ย.'!R127</f>
        <v>0</v>
      </c>
      <c r="S127" s="459">
        <f>+'ต.ค.-ธ.ค.'!S128+'ม.ค.-มี.ค.'!S127+'เม.ย.-มิ.ย.'!S127+'ก.ค.-ก.ย.'!S127</f>
        <v>0</v>
      </c>
      <c r="T127" s="459">
        <f>+'ต.ค.-ธ.ค.'!T128+'ม.ค.-มี.ค.'!T127+'เม.ย.-มิ.ย.'!T127+'ก.ค.-ก.ย.'!T127</f>
        <v>0</v>
      </c>
      <c r="U127" s="459">
        <f>+'ต.ค.-ธ.ค.'!U128+'ม.ค.-มี.ค.'!U127+'เม.ย.-มิ.ย.'!U127+'ก.ค.-ก.ย.'!U127</f>
        <v>0</v>
      </c>
      <c r="V127" s="459">
        <f>+'ต.ค.-ธ.ค.'!V128+'ม.ค.-มี.ค.'!V127+'เม.ย.-มิ.ย.'!V127+'ก.ค.-ก.ย.'!V127</f>
        <v>0</v>
      </c>
      <c r="W127" s="579"/>
      <c r="X127" s="364"/>
    </row>
    <row r="128" spans="1:24" s="310" customFormat="1" ht="25.5" customHeight="1">
      <c r="A128" s="9"/>
      <c r="B128" s="226" t="s">
        <v>328</v>
      </c>
      <c r="C128" s="419">
        <v>10000</v>
      </c>
      <c r="D128" s="450"/>
      <c r="E128" s="459">
        <f>+'ต.ค.-ธ.ค.'!E129+'ม.ค.-มี.ค.'!E128+'เม.ย.-มิ.ย.'!E128+'ก.ค.-ก.ย.'!E128</f>
        <v>0</v>
      </c>
      <c r="F128" s="459">
        <f>+'ต.ค.-ธ.ค.'!F129+'ม.ค.-มี.ค.'!F128+'เม.ย.-มิ.ย.'!F128+'ก.ค.-ก.ย.'!F128</f>
        <v>0</v>
      </c>
      <c r="G128" s="459">
        <f>+'ต.ค.-ธ.ค.'!G129+'ม.ค.-มี.ค.'!G128+'เม.ย.-มิ.ย.'!G128+'ก.ค.-ก.ย.'!G128</f>
        <v>0</v>
      </c>
      <c r="H128" s="459">
        <f>+'ต.ค.-ธ.ค.'!H129+'ม.ค.-มี.ค.'!H128+'เม.ย.-มิ.ย.'!H128+'ก.ค.-ก.ย.'!H128</f>
        <v>0</v>
      </c>
      <c r="I128" s="459">
        <f>+'ต.ค.-ธ.ค.'!I129+'ม.ค.-มี.ค.'!I128+'เม.ย.-มิ.ย.'!I128+'ก.ค.-ก.ย.'!I128</f>
        <v>0</v>
      </c>
      <c r="J128" s="459">
        <f>+'ต.ค.-ธ.ค.'!J129+'ม.ค.-มี.ค.'!J128+'เม.ย.-มิ.ย.'!J128+'ก.ค.-ก.ย.'!J128</f>
        <v>0</v>
      </c>
      <c r="K128" s="459">
        <f>+'ต.ค.-ธ.ค.'!K129+'ม.ค.-มี.ค.'!K128+'เม.ย.-มิ.ย.'!K128+'ก.ค.-ก.ย.'!K128</f>
        <v>0</v>
      </c>
      <c r="L128" s="459">
        <f>+'ต.ค.-ธ.ค.'!L129+'ม.ค.-มี.ค.'!L128+'เม.ย.-มิ.ย.'!L128+'ก.ค.-ก.ย.'!L128</f>
        <v>0</v>
      </c>
      <c r="M128" s="459">
        <f>+'ต.ค.-ธ.ค.'!M129+'ม.ค.-มี.ค.'!M128+'เม.ย.-มิ.ย.'!M128+'ก.ค.-ก.ย.'!M128</f>
        <v>0</v>
      </c>
      <c r="N128" s="459">
        <f>+'ต.ค.-ธ.ค.'!N129+'ม.ค.-มี.ค.'!N128+'เม.ย.-มิ.ย.'!N128+'ก.ค.-ก.ย.'!N128</f>
        <v>0</v>
      </c>
      <c r="O128" s="459">
        <f>+'ต.ค.-ธ.ค.'!O129+'ม.ค.-มี.ค.'!O128+'เม.ย.-มิ.ย.'!O128+'ก.ค.-ก.ย.'!O128</f>
        <v>0</v>
      </c>
      <c r="P128" s="459">
        <f>+'ต.ค.-ธ.ค.'!P129+'ม.ค.-มี.ค.'!P128+'เม.ย.-มิ.ย.'!P128+'ก.ค.-ก.ย.'!P128</f>
        <v>0</v>
      </c>
      <c r="Q128" s="459">
        <f>+'ต.ค.-ธ.ค.'!Q129+'ม.ค.-มี.ค.'!Q128+'เม.ย.-มิ.ย.'!Q128+'ก.ค.-ก.ย.'!Q128</f>
        <v>0</v>
      </c>
      <c r="R128" s="459">
        <f>+'ต.ค.-ธ.ค.'!R129+'ม.ค.-มี.ค.'!R128+'เม.ย.-มิ.ย.'!R128+'ก.ค.-ก.ย.'!R128</f>
        <v>0</v>
      </c>
      <c r="S128" s="459">
        <f>+'ต.ค.-ธ.ค.'!S129+'ม.ค.-มี.ค.'!S128+'เม.ย.-มิ.ย.'!S128+'ก.ค.-ก.ย.'!S128</f>
        <v>0</v>
      </c>
      <c r="T128" s="459">
        <f>+'ต.ค.-ธ.ค.'!T129+'ม.ค.-มี.ค.'!T128+'เม.ย.-มิ.ย.'!T128+'ก.ค.-ก.ย.'!T128</f>
        <v>0</v>
      </c>
      <c r="U128" s="459">
        <f>+'ต.ค.-ธ.ค.'!U129+'ม.ค.-มี.ค.'!U128+'เม.ย.-มิ.ย.'!U128+'ก.ค.-ก.ย.'!U128</f>
        <v>0</v>
      </c>
      <c r="V128" s="459">
        <f>+'ต.ค.-ธ.ค.'!V129+'ม.ค.-มี.ค.'!V128+'เม.ย.-มิ.ย.'!V128+'ก.ค.-ก.ย.'!V128</f>
        <v>0</v>
      </c>
      <c r="W128" s="579"/>
      <c r="X128" s="364"/>
    </row>
    <row r="129" spans="1:24" s="310" customFormat="1" ht="25.5" customHeight="1">
      <c r="A129" s="9"/>
      <c r="B129" s="226" t="s">
        <v>329</v>
      </c>
      <c r="C129" s="419">
        <v>10000</v>
      </c>
      <c r="D129" s="442"/>
      <c r="E129" s="459">
        <f>+'ต.ค.-ธ.ค.'!E130+'ม.ค.-มี.ค.'!E129+'เม.ย.-มิ.ย.'!E129+'ก.ค.-ก.ย.'!E129</f>
        <v>0</v>
      </c>
      <c r="F129" s="459">
        <f>+'ต.ค.-ธ.ค.'!F130+'ม.ค.-มี.ค.'!F129+'เม.ย.-มิ.ย.'!F129+'ก.ค.-ก.ย.'!F129</f>
        <v>0</v>
      </c>
      <c r="G129" s="459">
        <f>+'ต.ค.-ธ.ค.'!G130+'ม.ค.-มี.ค.'!G129+'เม.ย.-มิ.ย.'!G129+'ก.ค.-ก.ย.'!G129</f>
        <v>0</v>
      </c>
      <c r="H129" s="459">
        <f>+'ต.ค.-ธ.ค.'!H130+'ม.ค.-มี.ค.'!H129+'เม.ย.-มิ.ย.'!H129+'ก.ค.-ก.ย.'!H129</f>
        <v>0</v>
      </c>
      <c r="I129" s="459">
        <f>+'ต.ค.-ธ.ค.'!I130+'ม.ค.-มี.ค.'!I129+'เม.ย.-มิ.ย.'!I129+'ก.ค.-ก.ย.'!I129</f>
        <v>0</v>
      </c>
      <c r="J129" s="459">
        <f>+'ต.ค.-ธ.ค.'!J130+'ม.ค.-มี.ค.'!J129+'เม.ย.-มิ.ย.'!J129+'ก.ค.-ก.ย.'!J129</f>
        <v>0</v>
      </c>
      <c r="K129" s="459">
        <f>+'ต.ค.-ธ.ค.'!K130+'ม.ค.-มี.ค.'!K129+'เม.ย.-มิ.ย.'!K129+'ก.ค.-ก.ย.'!K129</f>
        <v>0</v>
      </c>
      <c r="L129" s="459">
        <f>+'ต.ค.-ธ.ค.'!L130+'ม.ค.-มี.ค.'!L129+'เม.ย.-มิ.ย.'!L129+'ก.ค.-ก.ย.'!L129</f>
        <v>0</v>
      </c>
      <c r="M129" s="459">
        <f>+'ต.ค.-ธ.ค.'!M130+'ม.ค.-มี.ค.'!M129+'เม.ย.-มิ.ย.'!M129+'ก.ค.-ก.ย.'!M129</f>
        <v>0</v>
      </c>
      <c r="N129" s="459">
        <f>+'ต.ค.-ธ.ค.'!N130+'ม.ค.-มี.ค.'!N129+'เม.ย.-มิ.ย.'!N129+'ก.ค.-ก.ย.'!N129</f>
        <v>0</v>
      </c>
      <c r="O129" s="459">
        <f>+'ต.ค.-ธ.ค.'!O130+'ม.ค.-มี.ค.'!O129+'เม.ย.-มิ.ย.'!O129+'ก.ค.-ก.ย.'!O129</f>
        <v>0</v>
      </c>
      <c r="P129" s="459">
        <f>+'ต.ค.-ธ.ค.'!P130+'ม.ค.-มี.ค.'!P129+'เม.ย.-มิ.ย.'!P129+'ก.ค.-ก.ย.'!P129</f>
        <v>0</v>
      </c>
      <c r="Q129" s="459">
        <f>+'ต.ค.-ธ.ค.'!Q130+'ม.ค.-มี.ค.'!Q129+'เม.ย.-มิ.ย.'!Q129+'ก.ค.-ก.ย.'!Q129</f>
        <v>0</v>
      </c>
      <c r="R129" s="459">
        <f>+'ต.ค.-ธ.ค.'!R130+'ม.ค.-มี.ค.'!R129+'เม.ย.-มิ.ย.'!R129+'ก.ค.-ก.ย.'!R129</f>
        <v>0</v>
      </c>
      <c r="S129" s="459">
        <f>+'ต.ค.-ธ.ค.'!S130+'ม.ค.-มี.ค.'!S129+'เม.ย.-มิ.ย.'!S129+'ก.ค.-ก.ย.'!S129</f>
        <v>0</v>
      </c>
      <c r="T129" s="459">
        <f>+'ต.ค.-ธ.ค.'!T130+'ม.ค.-มี.ค.'!T129+'เม.ย.-มิ.ย.'!T129+'ก.ค.-ก.ย.'!T129</f>
        <v>0</v>
      </c>
      <c r="U129" s="459">
        <f>+'ต.ค.-ธ.ค.'!U130+'ม.ค.-มี.ค.'!U129+'เม.ย.-มิ.ย.'!U129+'ก.ค.-ก.ย.'!U129</f>
        <v>0</v>
      </c>
      <c r="V129" s="459">
        <f>+'ต.ค.-ธ.ค.'!V130+'ม.ค.-มี.ค.'!V129+'เม.ย.-มิ.ย.'!V129+'ก.ค.-ก.ย.'!V129</f>
        <v>0</v>
      </c>
      <c r="W129" s="579"/>
      <c r="X129" s="364"/>
    </row>
    <row r="130" spans="1:24" s="310" customFormat="1" ht="25.5" customHeight="1">
      <c r="A130" s="9"/>
      <c r="B130" s="226" t="s">
        <v>330</v>
      </c>
      <c r="C130" s="419">
        <v>10000</v>
      </c>
      <c r="D130" s="450"/>
      <c r="E130" s="459">
        <f>+'ต.ค.-ธ.ค.'!E131+'ม.ค.-มี.ค.'!E130+'เม.ย.-มิ.ย.'!E130+'ก.ค.-ก.ย.'!E130</f>
        <v>0</v>
      </c>
      <c r="F130" s="459">
        <f>+'ต.ค.-ธ.ค.'!F131+'ม.ค.-มี.ค.'!F130+'เม.ย.-มิ.ย.'!F130+'ก.ค.-ก.ย.'!F130</f>
        <v>0</v>
      </c>
      <c r="G130" s="459">
        <f>+'ต.ค.-ธ.ค.'!G131+'ม.ค.-มี.ค.'!G130+'เม.ย.-มิ.ย.'!G130+'ก.ค.-ก.ย.'!G130</f>
        <v>0</v>
      </c>
      <c r="H130" s="459">
        <f>+'ต.ค.-ธ.ค.'!H131+'ม.ค.-มี.ค.'!H130+'เม.ย.-มิ.ย.'!H130+'ก.ค.-ก.ย.'!H130</f>
        <v>0</v>
      </c>
      <c r="I130" s="459">
        <f>+'ต.ค.-ธ.ค.'!I131+'ม.ค.-มี.ค.'!I130+'เม.ย.-มิ.ย.'!I130+'ก.ค.-ก.ย.'!I130</f>
        <v>0</v>
      </c>
      <c r="J130" s="459">
        <f>+'ต.ค.-ธ.ค.'!J131+'ม.ค.-มี.ค.'!J130+'เม.ย.-มิ.ย.'!J130+'ก.ค.-ก.ย.'!J130</f>
        <v>0</v>
      </c>
      <c r="K130" s="459">
        <f>+'ต.ค.-ธ.ค.'!K131+'ม.ค.-มี.ค.'!K130+'เม.ย.-มิ.ย.'!K130+'ก.ค.-ก.ย.'!K130</f>
        <v>1490.32</v>
      </c>
      <c r="L130" s="459">
        <f>+'ต.ค.-ธ.ค.'!L131+'ม.ค.-มี.ค.'!L130+'เม.ย.-มิ.ย.'!L130+'ก.ค.-ก.ย.'!L130</f>
        <v>0</v>
      </c>
      <c r="M130" s="459">
        <f>+'ต.ค.-ธ.ค.'!M131+'ม.ค.-มี.ค.'!M130+'เม.ย.-มิ.ย.'!M130+'ก.ค.-ก.ย.'!M130</f>
        <v>0</v>
      </c>
      <c r="N130" s="459">
        <f>+'ต.ค.-ธ.ค.'!N131+'ม.ค.-มี.ค.'!N130+'เม.ย.-มิ.ย.'!N130+'ก.ค.-ก.ย.'!N130</f>
        <v>0</v>
      </c>
      <c r="O130" s="459">
        <f>+'ต.ค.-ธ.ค.'!O131+'ม.ค.-มี.ค.'!O130+'เม.ย.-มิ.ย.'!O130+'ก.ค.-ก.ย.'!O130</f>
        <v>0</v>
      </c>
      <c r="P130" s="459">
        <f>+'ต.ค.-ธ.ค.'!P131+'ม.ค.-มี.ค.'!P130+'เม.ย.-มิ.ย.'!P130+'ก.ค.-ก.ย.'!P130</f>
        <v>0</v>
      </c>
      <c r="Q130" s="459">
        <f>+'ต.ค.-ธ.ค.'!Q131+'ม.ค.-มี.ค.'!Q130+'เม.ย.-มิ.ย.'!Q130+'ก.ค.-ก.ย.'!Q130</f>
        <v>0</v>
      </c>
      <c r="R130" s="459">
        <f>+'ต.ค.-ธ.ค.'!R131+'ม.ค.-มี.ค.'!R130+'เม.ย.-มิ.ย.'!R130+'ก.ค.-ก.ย.'!R130</f>
        <v>0</v>
      </c>
      <c r="S130" s="459">
        <f>+'ต.ค.-ธ.ค.'!S131+'ม.ค.-มี.ค.'!S130+'เม.ย.-มิ.ย.'!S130+'ก.ค.-ก.ย.'!S130</f>
        <v>0</v>
      </c>
      <c r="T130" s="459">
        <f>+'ต.ค.-ธ.ค.'!T131+'ม.ค.-มี.ค.'!T130+'เม.ย.-มิ.ย.'!T130+'ก.ค.-ก.ย.'!T130</f>
        <v>0</v>
      </c>
      <c r="U130" s="459">
        <f>+'ต.ค.-ธ.ค.'!U131+'ม.ค.-มี.ค.'!U130+'เม.ย.-มิ.ย.'!U130+'ก.ค.-ก.ย.'!U130</f>
        <v>0</v>
      </c>
      <c r="V130" s="459">
        <f>+'ต.ค.-ธ.ค.'!V131+'ม.ค.-มี.ค.'!V130+'เม.ย.-มิ.ย.'!V130+'ก.ค.-ก.ย.'!V130</f>
        <v>0</v>
      </c>
      <c r="W130" s="579"/>
      <c r="X130" s="364"/>
    </row>
    <row r="131" spans="1:24" s="310" customFormat="1" ht="25.5" customHeight="1">
      <c r="A131" s="9"/>
      <c r="B131" s="226" t="s">
        <v>331</v>
      </c>
      <c r="C131" s="419">
        <f>10000-10000</f>
        <v>0</v>
      </c>
      <c r="D131" s="450"/>
      <c r="E131" s="459">
        <f>+'ต.ค.-ธ.ค.'!E132+'ม.ค.-มี.ค.'!E131+'เม.ย.-มิ.ย.'!E131+'ก.ค.-ก.ย.'!E131</f>
        <v>0</v>
      </c>
      <c r="F131" s="459">
        <f>+'ต.ค.-ธ.ค.'!F132+'ม.ค.-มี.ค.'!F131+'เม.ย.-มิ.ย.'!F131+'ก.ค.-ก.ย.'!F131</f>
        <v>0</v>
      </c>
      <c r="G131" s="459">
        <f>+'ต.ค.-ธ.ค.'!G132+'ม.ค.-มี.ค.'!G131+'เม.ย.-มิ.ย.'!G131+'ก.ค.-ก.ย.'!G131</f>
        <v>0</v>
      </c>
      <c r="H131" s="459">
        <f>+'ต.ค.-ธ.ค.'!H132+'ม.ค.-มี.ค.'!H131+'เม.ย.-มิ.ย.'!H131+'ก.ค.-ก.ย.'!H131</f>
        <v>0</v>
      </c>
      <c r="I131" s="459">
        <f>+'ต.ค.-ธ.ค.'!I132+'ม.ค.-มี.ค.'!I131+'เม.ย.-มิ.ย.'!I131+'ก.ค.-ก.ย.'!I131</f>
        <v>0</v>
      </c>
      <c r="J131" s="459">
        <f>+'ต.ค.-ธ.ค.'!J132+'ม.ค.-มี.ค.'!J131+'เม.ย.-มิ.ย.'!J131+'ก.ค.-ก.ย.'!J131</f>
        <v>0</v>
      </c>
      <c r="K131" s="459">
        <f>+'ต.ค.-ธ.ค.'!K132+'ม.ค.-มี.ค.'!K131+'เม.ย.-มิ.ย.'!K131+'ก.ค.-ก.ย.'!K131</f>
        <v>0</v>
      </c>
      <c r="L131" s="459">
        <f>+'ต.ค.-ธ.ค.'!L132+'ม.ค.-มี.ค.'!L131+'เม.ย.-มิ.ย.'!L131+'ก.ค.-ก.ย.'!L131</f>
        <v>0</v>
      </c>
      <c r="M131" s="459">
        <f>+'ต.ค.-ธ.ค.'!M132+'ม.ค.-มี.ค.'!M131+'เม.ย.-มิ.ย.'!M131+'ก.ค.-ก.ย.'!M131</f>
        <v>0</v>
      </c>
      <c r="N131" s="459">
        <f>+'ต.ค.-ธ.ค.'!N132+'ม.ค.-มี.ค.'!N131+'เม.ย.-มิ.ย.'!N131+'ก.ค.-ก.ย.'!N131</f>
        <v>0</v>
      </c>
      <c r="O131" s="459">
        <f>+'ต.ค.-ธ.ค.'!O132+'ม.ค.-มี.ค.'!O131+'เม.ย.-มิ.ย.'!O131+'ก.ค.-ก.ย.'!O131</f>
        <v>0</v>
      </c>
      <c r="P131" s="459">
        <f>+'ต.ค.-ธ.ค.'!P132+'ม.ค.-มี.ค.'!P131+'เม.ย.-มิ.ย.'!P131+'ก.ค.-ก.ย.'!P131</f>
        <v>0</v>
      </c>
      <c r="Q131" s="459">
        <f>+'ต.ค.-ธ.ค.'!Q132+'ม.ค.-มี.ค.'!Q131+'เม.ย.-มิ.ย.'!Q131+'ก.ค.-ก.ย.'!Q131</f>
        <v>0</v>
      </c>
      <c r="R131" s="459">
        <f>+'ต.ค.-ธ.ค.'!R132+'ม.ค.-มี.ค.'!R131+'เม.ย.-มิ.ย.'!R131+'ก.ค.-ก.ย.'!R131</f>
        <v>0</v>
      </c>
      <c r="S131" s="459">
        <f>+'ต.ค.-ธ.ค.'!S132+'ม.ค.-มี.ค.'!S131+'เม.ย.-มิ.ย.'!S131+'ก.ค.-ก.ย.'!S131</f>
        <v>0</v>
      </c>
      <c r="T131" s="459">
        <f>+'ต.ค.-ธ.ค.'!T132+'ม.ค.-มี.ค.'!T131+'เม.ย.-มิ.ย.'!T131+'ก.ค.-ก.ย.'!T131</f>
        <v>0</v>
      </c>
      <c r="U131" s="459">
        <f>+'ต.ค.-ธ.ค.'!U132+'ม.ค.-มี.ค.'!U131+'เม.ย.-มิ.ย.'!U131+'ก.ค.-ก.ย.'!U131</f>
        <v>0</v>
      </c>
      <c r="V131" s="459">
        <f>+'ต.ค.-ธ.ค.'!V132+'ม.ค.-มี.ค.'!V131+'เม.ย.-มิ.ย.'!V131+'ก.ค.-ก.ย.'!V131</f>
        <v>0</v>
      </c>
      <c r="W131" s="579"/>
      <c r="X131" s="364"/>
    </row>
    <row r="132" spans="1:24" s="310" customFormat="1" ht="25.5" customHeight="1">
      <c r="A132" s="9"/>
      <c r="B132" s="226" t="s">
        <v>333</v>
      </c>
      <c r="C132" s="419">
        <v>15000</v>
      </c>
      <c r="D132" s="450"/>
      <c r="E132" s="459">
        <f>+'ต.ค.-ธ.ค.'!E133+'ม.ค.-มี.ค.'!E132+'เม.ย.-มิ.ย.'!E132+'ก.ค.-ก.ย.'!E132</f>
        <v>0</v>
      </c>
      <c r="F132" s="459">
        <f>+'ต.ค.-ธ.ค.'!F133+'ม.ค.-มี.ค.'!F132+'เม.ย.-มิ.ย.'!F132+'ก.ค.-ก.ย.'!F132</f>
        <v>0</v>
      </c>
      <c r="G132" s="459">
        <f>+'ต.ค.-ธ.ค.'!G133+'ม.ค.-มี.ค.'!G132+'เม.ย.-มิ.ย.'!G132+'ก.ค.-ก.ย.'!G132</f>
        <v>0</v>
      </c>
      <c r="H132" s="459">
        <f>+'ต.ค.-ธ.ค.'!H133+'ม.ค.-มี.ค.'!H132+'เม.ย.-มิ.ย.'!H132+'ก.ค.-ก.ย.'!H132</f>
        <v>0</v>
      </c>
      <c r="I132" s="459">
        <f>+'ต.ค.-ธ.ค.'!I133+'ม.ค.-มี.ค.'!I132+'เม.ย.-มิ.ย.'!I132+'ก.ค.-ก.ย.'!I132</f>
        <v>0</v>
      </c>
      <c r="J132" s="459">
        <f>+'ต.ค.-ธ.ค.'!J133+'ม.ค.-มี.ค.'!J132+'เม.ย.-มิ.ย.'!J132+'ก.ค.-ก.ย.'!J132</f>
        <v>0</v>
      </c>
      <c r="K132" s="459">
        <f>+'ต.ค.-ธ.ค.'!K133+'ม.ค.-มี.ค.'!K132+'เม.ย.-มิ.ย.'!K132+'ก.ค.-ก.ย.'!K132</f>
        <v>0</v>
      </c>
      <c r="L132" s="459">
        <f>+'ต.ค.-ธ.ค.'!L133+'ม.ค.-มี.ค.'!L132+'เม.ย.-มิ.ย.'!L132+'ก.ค.-ก.ย.'!L132</f>
        <v>0</v>
      </c>
      <c r="M132" s="459">
        <f>+'ต.ค.-ธ.ค.'!M133+'ม.ค.-มี.ค.'!M132+'เม.ย.-มิ.ย.'!M132+'ก.ค.-ก.ย.'!M132</f>
        <v>0</v>
      </c>
      <c r="N132" s="459">
        <f>+'ต.ค.-ธ.ค.'!N133+'ม.ค.-มี.ค.'!N132+'เม.ย.-มิ.ย.'!N132+'ก.ค.-ก.ย.'!N132</f>
        <v>0</v>
      </c>
      <c r="O132" s="459">
        <f>+'ต.ค.-ธ.ค.'!O133+'ม.ค.-มี.ค.'!O132+'เม.ย.-มิ.ย.'!O132+'ก.ค.-ก.ย.'!O132</f>
        <v>0</v>
      </c>
      <c r="P132" s="459">
        <f>+'ต.ค.-ธ.ค.'!P133+'ม.ค.-มี.ค.'!P132+'เม.ย.-มิ.ย.'!P132+'ก.ค.-ก.ย.'!P132</f>
        <v>0</v>
      </c>
      <c r="Q132" s="459">
        <f>+'ต.ค.-ธ.ค.'!Q133+'ม.ค.-มี.ค.'!Q132+'เม.ย.-มิ.ย.'!Q132+'ก.ค.-ก.ย.'!Q132</f>
        <v>0</v>
      </c>
      <c r="R132" s="459">
        <f>+'ต.ค.-ธ.ค.'!R133+'ม.ค.-มี.ค.'!R132+'เม.ย.-มิ.ย.'!R132+'ก.ค.-ก.ย.'!R132</f>
        <v>0</v>
      </c>
      <c r="S132" s="459">
        <f>+'ต.ค.-ธ.ค.'!S133+'ม.ค.-มี.ค.'!S132+'เม.ย.-มิ.ย.'!S132+'ก.ค.-ก.ย.'!S132</f>
        <v>0</v>
      </c>
      <c r="T132" s="459">
        <f>+'ต.ค.-ธ.ค.'!T133+'ม.ค.-มี.ค.'!T132+'เม.ย.-มิ.ย.'!T132+'ก.ค.-ก.ย.'!T132</f>
        <v>0</v>
      </c>
      <c r="U132" s="459">
        <f>+'ต.ค.-ธ.ค.'!U133+'ม.ค.-มี.ค.'!U132+'เม.ย.-มิ.ย.'!U132+'ก.ค.-ก.ย.'!U132</f>
        <v>0</v>
      </c>
      <c r="V132" s="459">
        <f>+'ต.ค.-ธ.ค.'!V133+'ม.ค.-มี.ค.'!V132+'เม.ย.-มิ.ย.'!V132+'ก.ค.-ก.ย.'!V132</f>
        <v>0</v>
      </c>
      <c r="W132" s="579"/>
      <c r="X132" s="364"/>
    </row>
    <row r="133" spans="1:24" s="310" customFormat="1" ht="25.5" customHeight="1">
      <c r="A133" s="9"/>
      <c r="B133" s="226" t="s">
        <v>157</v>
      </c>
      <c r="C133" s="419">
        <f>10000+8000</f>
        <v>18000</v>
      </c>
      <c r="D133" s="450"/>
      <c r="E133" s="459">
        <f>+'ต.ค.-ธ.ค.'!E134+'ม.ค.-มี.ค.'!E133+'เม.ย.-มิ.ย.'!E133+'ก.ค.-ก.ย.'!E133</f>
        <v>0</v>
      </c>
      <c r="F133" s="459">
        <f>+'ต.ค.-ธ.ค.'!F134+'ม.ค.-มี.ค.'!F133+'เม.ย.-มิ.ย.'!F133+'ก.ค.-ก.ย.'!F133</f>
        <v>0</v>
      </c>
      <c r="G133" s="459">
        <f>+'ต.ค.-ธ.ค.'!G134+'ม.ค.-มี.ค.'!G133+'เม.ย.-มิ.ย.'!G133+'ก.ค.-ก.ย.'!G133</f>
        <v>0</v>
      </c>
      <c r="H133" s="459">
        <f>+'ต.ค.-ธ.ค.'!H134+'ม.ค.-มี.ค.'!H133+'เม.ย.-มิ.ย.'!H133+'ก.ค.-ก.ย.'!H133</f>
        <v>0</v>
      </c>
      <c r="I133" s="459">
        <f>+'ต.ค.-ธ.ค.'!I134+'ม.ค.-มี.ค.'!I133+'เม.ย.-มิ.ย.'!I133+'ก.ค.-ก.ย.'!I133</f>
        <v>0</v>
      </c>
      <c r="J133" s="459">
        <f>+'ต.ค.-ธ.ค.'!J134+'ม.ค.-มี.ค.'!J133+'เม.ย.-มิ.ย.'!J133+'ก.ค.-ก.ย.'!J133</f>
        <v>0</v>
      </c>
      <c r="K133" s="459">
        <f>+'ต.ค.-ธ.ค.'!K134+'ม.ค.-มี.ค.'!K133+'เม.ย.-มิ.ย.'!K133+'ก.ค.-ก.ย.'!K133</f>
        <v>0</v>
      </c>
      <c r="L133" s="459">
        <f>+'ต.ค.-ธ.ค.'!L134+'ม.ค.-มี.ค.'!L133+'เม.ย.-มิ.ย.'!L133+'ก.ค.-ก.ย.'!L133</f>
        <v>0</v>
      </c>
      <c r="M133" s="459">
        <f>+'ต.ค.-ธ.ค.'!M134+'ม.ค.-มี.ค.'!M133+'เม.ย.-มิ.ย.'!M133+'ก.ค.-ก.ย.'!M133</f>
        <v>0</v>
      </c>
      <c r="N133" s="459">
        <f>+'ต.ค.-ธ.ค.'!N134+'ม.ค.-มี.ค.'!N133+'เม.ย.-มิ.ย.'!N133+'ก.ค.-ก.ย.'!N133</f>
        <v>0</v>
      </c>
      <c r="O133" s="459">
        <f>+'ต.ค.-ธ.ค.'!O134+'ม.ค.-มี.ค.'!O133+'เม.ย.-มิ.ย.'!O133+'ก.ค.-ก.ย.'!O133</f>
        <v>0</v>
      </c>
      <c r="P133" s="459">
        <f>+'ต.ค.-ธ.ค.'!P134+'ม.ค.-มี.ค.'!P133+'เม.ย.-มิ.ย.'!P133+'ก.ค.-ก.ย.'!P133</f>
        <v>17995</v>
      </c>
      <c r="Q133" s="459">
        <f>+'ต.ค.-ธ.ค.'!Q134+'ม.ค.-มี.ค.'!Q133+'เม.ย.-มิ.ย.'!Q133+'ก.ค.-ก.ย.'!Q133</f>
        <v>0</v>
      </c>
      <c r="R133" s="459">
        <f>+'ต.ค.-ธ.ค.'!R134+'ม.ค.-มี.ค.'!R133+'เม.ย.-มิ.ย.'!R133+'ก.ค.-ก.ย.'!R133</f>
        <v>0</v>
      </c>
      <c r="S133" s="459">
        <f>+'ต.ค.-ธ.ค.'!S134+'ม.ค.-มี.ค.'!S133+'เม.ย.-มิ.ย.'!S133+'ก.ค.-ก.ย.'!S133</f>
        <v>0</v>
      </c>
      <c r="T133" s="459">
        <f>+'ต.ค.-ธ.ค.'!T134+'ม.ค.-มี.ค.'!T133+'เม.ย.-มิ.ย.'!T133+'ก.ค.-ก.ย.'!T133</f>
        <v>0</v>
      </c>
      <c r="U133" s="459">
        <f>+'ต.ค.-ธ.ค.'!U134+'ม.ค.-มี.ค.'!U133+'เม.ย.-มิ.ย.'!U133+'ก.ค.-ก.ย.'!U133</f>
        <v>0</v>
      </c>
      <c r="V133" s="459">
        <f>+'ต.ค.-ธ.ค.'!V134+'ม.ค.-มี.ค.'!V133+'เม.ย.-มิ.ย.'!V133+'ก.ค.-ก.ย.'!V133</f>
        <v>0</v>
      </c>
      <c r="W133" s="579"/>
      <c r="X133" s="364"/>
    </row>
    <row r="134" spans="1:24" s="310" customFormat="1" ht="25.5" customHeight="1">
      <c r="A134" s="9"/>
      <c r="B134" s="226" t="s">
        <v>158</v>
      </c>
      <c r="C134" s="419">
        <f>10000-8000</f>
        <v>2000</v>
      </c>
      <c r="D134" s="450"/>
      <c r="E134" s="459">
        <f>+'ต.ค.-ธ.ค.'!E135+'ม.ค.-มี.ค.'!E134+'เม.ย.-มิ.ย.'!E134+'ก.ค.-ก.ย.'!E134</f>
        <v>0</v>
      </c>
      <c r="F134" s="459">
        <f>+'ต.ค.-ธ.ค.'!F135+'ม.ค.-มี.ค.'!F134+'เม.ย.-มิ.ย.'!F134+'ก.ค.-ก.ย.'!F134</f>
        <v>0</v>
      </c>
      <c r="G134" s="459">
        <f>+'ต.ค.-ธ.ค.'!G135+'ม.ค.-มี.ค.'!G134+'เม.ย.-มิ.ย.'!G134+'ก.ค.-ก.ย.'!G134</f>
        <v>0</v>
      </c>
      <c r="H134" s="459">
        <f>+'ต.ค.-ธ.ค.'!H135+'ม.ค.-มี.ค.'!H134+'เม.ย.-มิ.ย.'!H134+'ก.ค.-ก.ย.'!H134</f>
        <v>0</v>
      </c>
      <c r="I134" s="459">
        <f>+'ต.ค.-ธ.ค.'!I135+'ม.ค.-มี.ค.'!I134+'เม.ย.-มิ.ย.'!I134+'ก.ค.-ก.ย.'!I134</f>
        <v>0</v>
      </c>
      <c r="J134" s="459">
        <f>+'ต.ค.-ธ.ค.'!J135+'ม.ค.-มี.ค.'!J134+'เม.ย.-มิ.ย.'!J134+'ก.ค.-ก.ย.'!J134</f>
        <v>0</v>
      </c>
      <c r="K134" s="459">
        <f>+'ต.ค.-ธ.ค.'!K135+'ม.ค.-มี.ค.'!K134+'เม.ย.-มิ.ย.'!K134+'ก.ค.-ก.ย.'!K134</f>
        <v>0</v>
      </c>
      <c r="L134" s="459">
        <f>+'ต.ค.-ธ.ค.'!L135+'ม.ค.-มี.ค.'!L134+'เม.ย.-มิ.ย.'!L134+'ก.ค.-ก.ย.'!L134</f>
        <v>0</v>
      </c>
      <c r="M134" s="459">
        <f>+'ต.ค.-ธ.ค.'!M135+'ม.ค.-มี.ค.'!M134+'เม.ย.-มิ.ย.'!M134+'ก.ค.-ก.ย.'!M134</f>
        <v>0</v>
      </c>
      <c r="N134" s="459">
        <f>+'ต.ค.-ธ.ค.'!N135+'ม.ค.-มี.ค.'!N134+'เม.ย.-มิ.ย.'!N134+'ก.ค.-ก.ย.'!N134</f>
        <v>0</v>
      </c>
      <c r="O134" s="459">
        <f>+'ต.ค.-ธ.ค.'!O135+'ม.ค.-มี.ค.'!O134+'เม.ย.-มิ.ย.'!O134+'ก.ค.-ก.ย.'!O134</f>
        <v>0</v>
      </c>
      <c r="P134" s="459">
        <f>+'ต.ค.-ธ.ค.'!P135+'ม.ค.-มี.ค.'!P134+'เม.ย.-มิ.ย.'!P134+'ก.ค.-ก.ย.'!P134</f>
        <v>0</v>
      </c>
      <c r="Q134" s="459">
        <f>+'ต.ค.-ธ.ค.'!Q135+'ม.ค.-มี.ค.'!Q134+'เม.ย.-มิ.ย.'!Q134+'ก.ค.-ก.ย.'!Q134</f>
        <v>0</v>
      </c>
      <c r="R134" s="459">
        <f>+'ต.ค.-ธ.ค.'!R135+'ม.ค.-มี.ค.'!R134+'เม.ย.-มิ.ย.'!R134+'ก.ค.-ก.ย.'!R134</f>
        <v>0</v>
      </c>
      <c r="S134" s="459">
        <f>+'ต.ค.-ธ.ค.'!S135+'ม.ค.-มี.ค.'!S134+'เม.ย.-มิ.ย.'!S134+'ก.ค.-ก.ย.'!S134</f>
        <v>0</v>
      </c>
      <c r="T134" s="459">
        <f>+'ต.ค.-ธ.ค.'!T135+'ม.ค.-มี.ค.'!T134+'เม.ย.-มิ.ย.'!T134+'ก.ค.-ก.ย.'!T134</f>
        <v>0</v>
      </c>
      <c r="U134" s="459">
        <f>+'ต.ค.-ธ.ค.'!U135+'ม.ค.-มี.ค.'!U134+'เม.ย.-มิ.ย.'!U134+'ก.ค.-ก.ย.'!U134</f>
        <v>0</v>
      </c>
      <c r="V134" s="459">
        <f>+'ต.ค.-ธ.ค.'!V135+'ม.ค.-มี.ค.'!V134+'เม.ย.-มิ.ย.'!V134+'ก.ค.-ก.ย.'!V134</f>
        <v>0</v>
      </c>
      <c r="W134" s="579"/>
      <c r="X134" s="364"/>
    </row>
    <row r="135" spans="1:24" s="310" customFormat="1" ht="25.5" customHeight="1">
      <c r="A135" s="9"/>
      <c r="B135" s="226" t="s">
        <v>352</v>
      </c>
      <c r="C135" s="419">
        <f>10000+10000-20000</f>
        <v>0</v>
      </c>
      <c r="D135" s="450"/>
      <c r="E135" s="459">
        <f>+'ต.ค.-ธ.ค.'!E136+'ม.ค.-มี.ค.'!E135+'เม.ย.-มิ.ย.'!E135+'ก.ค.-ก.ย.'!E135</f>
        <v>0</v>
      </c>
      <c r="F135" s="459">
        <f>+'ต.ค.-ธ.ค.'!F136+'ม.ค.-มี.ค.'!F135+'เม.ย.-มิ.ย.'!F135+'ก.ค.-ก.ย.'!F135</f>
        <v>0</v>
      </c>
      <c r="G135" s="459">
        <f>+'ต.ค.-ธ.ค.'!G136+'ม.ค.-มี.ค.'!G135+'เม.ย.-มิ.ย.'!G135+'ก.ค.-ก.ย.'!G135</f>
        <v>0</v>
      </c>
      <c r="H135" s="459">
        <f>+'ต.ค.-ธ.ค.'!H136+'ม.ค.-มี.ค.'!H135+'เม.ย.-มิ.ย.'!H135+'ก.ค.-ก.ย.'!H135</f>
        <v>0</v>
      </c>
      <c r="I135" s="459">
        <f>+'ต.ค.-ธ.ค.'!I136+'ม.ค.-มี.ค.'!I135+'เม.ย.-มิ.ย.'!I135+'ก.ค.-ก.ย.'!I135</f>
        <v>0</v>
      </c>
      <c r="J135" s="459">
        <f>+'ต.ค.-ธ.ค.'!J136+'ม.ค.-มี.ค.'!J135+'เม.ย.-มิ.ย.'!J135+'ก.ค.-ก.ย.'!J135</f>
        <v>0</v>
      </c>
      <c r="K135" s="459">
        <f>+'ต.ค.-ธ.ค.'!K136+'ม.ค.-มี.ค.'!K135+'เม.ย.-มิ.ย.'!K135+'ก.ค.-ก.ย.'!K135</f>
        <v>0</v>
      </c>
      <c r="L135" s="459">
        <f>+'ต.ค.-ธ.ค.'!L136+'ม.ค.-มี.ค.'!L135+'เม.ย.-มิ.ย.'!L135+'ก.ค.-ก.ย.'!L135</f>
        <v>0</v>
      </c>
      <c r="M135" s="459">
        <f>+'ต.ค.-ธ.ค.'!M136+'ม.ค.-มี.ค.'!M135+'เม.ย.-มิ.ย.'!M135+'ก.ค.-ก.ย.'!M135</f>
        <v>0</v>
      </c>
      <c r="N135" s="459">
        <f>+'ต.ค.-ธ.ค.'!N136+'ม.ค.-มี.ค.'!N135+'เม.ย.-มิ.ย.'!N135+'ก.ค.-ก.ย.'!N135</f>
        <v>0</v>
      </c>
      <c r="O135" s="459">
        <f>+'ต.ค.-ธ.ค.'!O136+'ม.ค.-มี.ค.'!O135+'เม.ย.-มิ.ย.'!O135+'ก.ค.-ก.ย.'!O135</f>
        <v>0</v>
      </c>
      <c r="P135" s="459">
        <f>+'ต.ค.-ธ.ค.'!P136+'ม.ค.-มี.ค.'!P135+'เม.ย.-มิ.ย.'!P135+'ก.ค.-ก.ย.'!P135</f>
        <v>0</v>
      </c>
      <c r="Q135" s="459">
        <f>+'ต.ค.-ธ.ค.'!Q136+'ม.ค.-มี.ค.'!Q135+'เม.ย.-มิ.ย.'!Q135+'ก.ค.-ก.ย.'!Q135</f>
        <v>0</v>
      </c>
      <c r="R135" s="459">
        <f>+'ต.ค.-ธ.ค.'!R136+'ม.ค.-มี.ค.'!R135+'เม.ย.-มิ.ย.'!R135+'ก.ค.-ก.ย.'!R135</f>
        <v>0</v>
      </c>
      <c r="S135" s="459">
        <f>+'ต.ค.-ธ.ค.'!S136+'ม.ค.-มี.ค.'!S135+'เม.ย.-มิ.ย.'!S135+'ก.ค.-ก.ย.'!S135</f>
        <v>0</v>
      </c>
      <c r="T135" s="459">
        <f>+'ต.ค.-ธ.ค.'!T136+'ม.ค.-มี.ค.'!T135+'เม.ย.-มิ.ย.'!T135+'ก.ค.-ก.ย.'!T135</f>
        <v>0</v>
      </c>
      <c r="U135" s="459">
        <f>+'ต.ค.-ธ.ค.'!U136+'ม.ค.-มี.ค.'!U135+'เม.ย.-มิ.ย.'!U135+'ก.ค.-ก.ย.'!U135</f>
        <v>0</v>
      </c>
      <c r="V135" s="459">
        <f>+'ต.ค.-ธ.ค.'!V136+'ม.ค.-มี.ค.'!V135+'เม.ย.-มิ.ย.'!V135+'ก.ค.-ก.ย.'!V135</f>
        <v>0</v>
      </c>
      <c r="W135" s="579"/>
      <c r="X135" s="364"/>
    </row>
    <row r="136" spans="1:24" s="310" customFormat="1" ht="25.5" customHeight="1">
      <c r="A136" s="9"/>
      <c r="B136" s="226" t="s">
        <v>213</v>
      </c>
      <c r="C136" s="419">
        <v>15000</v>
      </c>
      <c r="D136" s="450"/>
      <c r="E136" s="459">
        <f>+'ต.ค.-ธ.ค.'!E137+'ม.ค.-มี.ค.'!E136+'เม.ย.-มิ.ย.'!E136+'ก.ค.-ก.ย.'!E136</f>
        <v>0</v>
      </c>
      <c r="F136" s="459">
        <f>+'ต.ค.-ธ.ค.'!F137+'ม.ค.-มี.ค.'!F136+'เม.ย.-มิ.ย.'!F136+'ก.ค.-ก.ย.'!F136</f>
        <v>0</v>
      </c>
      <c r="G136" s="459">
        <f>+'ต.ค.-ธ.ค.'!G137+'ม.ค.-มี.ค.'!G136+'เม.ย.-มิ.ย.'!G136+'ก.ค.-ก.ย.'!G136</f>
        <v>0</v>
      </c>
      <c r="H136" s="459">
        <f>+'ต.ค.-ธ.ค.'!H137+'ม.ค.-มี.ค.'!H136+'เม.ย.-มิ.ย.'!H136+'ก.ค.-ก.ย.'!H136</f>
        <v>0</v>
      </c>
      <c r="I136" s="459">
        <f>+'ต.ค.-ธ.ค.'!I137+'ม.ค.-มี.ค.'!I136+'เม.ย.-มิ.ย.'!I136+'ก.ค.-ก.ย.'!I136</f>
        <v>0</v>
      </c>
      <c r="J136" s="459">
        <f>+'ต.ค.-ธ.ค.'!J137+'ม.ค.-มี.ค.'!J136+'เม.ย.-มิ.ย.'!J136+'ก.ค.-ก.ย.'!J136</f>
        <v>0</v>
      </c>
      <c r="K136" s="459">
        <f>+'ต.ค.-ธ.ค.'!K137+'ม.ค.-มี.ค.'!K136+'เม.ย.-มิ.ย.'!K136+'ก.ค.-ก.ย.'!K136</f>
        <v>0</v>
      </c>
      <c r="L136" s="459">
        <f>+'ต.ค.-ธ.ค.'!L137+'ม.ค.-มี.ค.'!L136+'เม.ย.-มิ.ย.'!L136+'ก.ค.-ก.ย.'!L136</f>
        <v>0</v>
      </c>
      <c r="M136" s="459">
        <f>+'ต.ค.-ธ.ค.'!M137+'ม.ค.-มี.ค.'!M136+'เม.ย.-มิ.ย.'!M136+'ก.ค.-ก.ย.'!M136</f>
        <v>0</v>
      </c>
      <c r="N136" s="459">
        <f>+'ต.ค.-ธ.ค.'!N137+'ม.ค.-มี.ค.'!N136+'เม.ย.-มิ.ย.'!N136+'ก.ค.-ก.ย.'!N136</f>
        <v>0</v>
      </c>
      <c r="O136" s="459">
        <f>+'ต.ค.-ธ.ค.'!O137+'ม.ค.-มี.ค.'!O136+'เม.ย.-มิ.ย.'!O136+'ก.ค.-ก.ย.'!O136</f>
        <v>0</v>
      </c>
      <c r="P136" s="459">
        <f>+'ต.ค.-ธ.ค.'!P137+'ม.ค.-มี.ค.'!P136+'เม.ย.-มิ.ย.'!P136+'ก.ค.-ก.ย.'!P136</f>
        <v>0</v>
      </c>
      <c r="Q136" s="459">
        <f>+'ต.ค.-ธ.ค.'!Q137+'ม.ค.-มี.ค.'!Q136+'เม.ย.-มิ.ย.'!Q136+'ก.ค.-ก.ย.'!Q136</f>
        <v>0</v>
      </c>
      <c r="R136" s="459">
        <f>+'ต.ค.-ธ.ค.'!R137+'ม.ค.-มี.ค.'!R136+'เม.ย.-มิ.ย.'!R136+'ก.ค.-ก.ย.'!R136</f>
        <v>0</v>
      </c>
      <c r="S136" s="459">
        <f>+'ต.ค.-ธ.ค.'!S137+'ม.ค.-มี.ค.'!S136+'เม.ย.-มิ.ย.'!S136+'ก.ค.-ก.ย.'!S136</f>
        <v>0</v>
      </c>
      <c r="T136" s="459">
        <f>+'ต.ค.-ธ.ค.'!T137+'ม.ค.-มี.ค.'!T136+'เม.ย.-มิ.ย.'!T136+'ก.ค.-ก.ย.'!T136</f>
        <v>0</v>
      </c>
      <c r="U136" s="459">
        <f>+'ต.ค.-ธ.ค.'!U137+'ม.ค.-มี.ค.'!U136+'เม.ย.-มิ.ย.'!U136+'ก.ค.-ก.ย.'!U136</f>
        <v>0</v>
      </c>
      <c r="V136" s="459">
        <f>+'ต.ค.-ธ.ค.'!V137+'ม.ค.-มี.ค.'!V136+'เม.ย.-มิ.ย.'!V136+'ก.ค.-ก.ย.'!V136</f>
        <v>0</v>
      </c>
      <c r="W136" s="579"/>
      <c r="X136" s="364"/>
    </row>
    <row r="137" spans="1:24" s="310" customFormat="1" ht="25.5" customHeight="1">
      <c r="A137" s="9"/>
      <c r="B137" s="226" t="s">
        <v>265</v>
      </c>
      <c r="C137" s="419">
        <f>20000-20000</f>
        <v>0</v>
      </c>
      <c r="D137" s="450"/>
      <c r="E137" s="459">
        <f>+'ต.ค.-ธ.ค.'!E138+'ม.ค.-มี.ค.'!E137+'เม.ย.-มิ.ย.'!E137+'ก.ค.-ก.ย.'!E137</f>
        <v>0</v>
      </c>
      <c r="F137" s="459">
        <f>+'ต.ค.-ธ.ค.'!F138+'ม.ค.-มี.ค.'!F137+'เม.ย.-มิ.ย.'!F137+'ก.ค.-ก.ย.'!F137</f>
        <v>0</v>
      </c>
      <c r="G137" s="459">
        <f>+'ต.ค.-ธ.ค.'!G138+'ม.ค.-มี.ค.'!G137+'เม.ย.-มิ.ย.'!G137+'ก.ค.-ก.ย.'!G137</f>
        <v>0</v>
      </c>
      <c r="H137" s="459">
        <f>+'ต.ค.-ธ.ค.'!H138+'ม.ค.-มี.ค.'!H137+'เม.ย.-มิ.ย.'!H137+'ก.ค.-ก.ย.'!H137</f>
        <v>0</v>
      </c>
      <c r="I137" s="459">
        <f>+'ต.ค.-ธ.ค.'!I138+'ม.ค.-มี.ค.'!I137+'เม.ย.-มิ.ย.'!I137+'ก.ค.-ก.ย.'!I137</f>
        <v>0</v>
      </c>
      <c r="J137" s="459">
        <f>+'ต.ค.-ธ.ค.'!J138+'ม.ค.-มี.ค.'!J137+'เม.ย.-มิ.ย.'!J137+'ก.ค.-ก.ย.'!J137</f>
        <v>0</v>
      </c>
      <c r="K137" s="459">
        <f>+'ต.ค.-ธ.ค.'!K138+'ม.ค.-มี.ค.'!K137+'เม.ย.-มิ.ย.'!K137+'ก.ค.-ก.ย.'!K137</f>
        <v>0</v>
      </c>
      <c r="L137" s="459">
        <f>+'ต.ค.-ธ.ค.'!L138+'ม.ค.-มี.ค.'!L137+'เม.ย.-มิ.ย.'!L137+'ก.ค.-ก.ย.'!L137</f>
        <v>0</v>
      </c>
      <c r="M137" s="459">
        <f>+'ต.ค.-ธ.ค.'!M138+'ม.ค.-มี.ค.'!M137+'เม.ย.-มิ.ย.'!M137+'ก.ค.-ก.ย.'!M137</f>
        <v>0</v>
      </c>
      <c r="N137" s="459">
        <f>+'ต.ค.-ธ.ค.'!N138+'ม.ค.-มี.ค.'!N137+'เม.ย.-มิ.ย.'!N137+'ก.ค.-ก.ย.'!N137</f>
        <v>0</v>
      </c>
      <c r="O137" s="459">
        <f>+'ต.ค.-ธ.ค.'!O138+'ม.ค.-มี.ค.'!O137+'เม.ย.-มิ.ย.'!O137+'ก.ค.-ก.ย.'!O137</f>
        <v>0</v>
      </c>
      <c r="P137" s="459">
        <f>+'ต.ค.-ธ.ค.'!P138+'ม.ค.-มี.ค.'!P137+'เม.ย.-มิ.ย.'!P137+'ก.ค.-ก.ย.'!P137</f>
        <v>0</v>
      </c>
      <c r="Q137" s="459">
        <f>+'ต.ค.-ธ.ค.'!Q138+'ม.ค.-มี.ค.'!Q137+'เม.ย.-มิ.ย.'!Q137+'ก.ค.-ก.ย.'!Q137</f>
        <v>0</v>
      </c>
      <c r="R137" s="459">
        <f>+'ต.ค.-ธ.ค.'!R138+'ม.ค.-มี.ค.'!R137+'เม.ย.-มิ.ย.'!R137+'ก.ค.-ก.ย.'!R137</f>
        <v>0</v>
      </c>
      <c r="S137" s="459">
        <f>+'ต.ค.-ธ.ค.'!S138+'ม.ค.-มี.ค.'!S137+'เม.ย.-มิ.ย.'!S137+'ก.ค.-ก.ย.'!S137</f>
        <v>0</v>
      </c>
      <c r="T137" s="459">
        <f>+'ต.ค.-ธ.ค.'!T138+'ม.ค.-มี.ค.'!T137+'เม.ย.-มิ.ย.'!T137+'ก.ค.-ก.ย.'!T137</f>
        <v>0</v>
      </c>
      <c r="U137" s="459">
        <f>+'ต.ค.-ธ.ค.'!U138+'ม.ค.-มี.ค.'!U137+'เม.ย.-มิ.ย.'!U137+'ก.ค.-ก.ย.'!U137</f>
        <v>0</v>
      </c>
      <c r="V137" s="459">
        <f>+'ต.ค.-ธ.ค.'!V138+'ม.ค.-มี.ค.'!V137+'เม.ย.-มิ.ย.'!V137+'ก.ค.-ก.ย.'!V137</f>
        <v>0</v>
      </c>
      <c r="W137" s="579"/>
      <c r="X137" s="364"/>
    </row>
    <row r="138" spans="1:24" s="310" customFormat="1" ht="25.5" customHeight="1">
      <c r="A138" s="9"/>
      <c r="B138" s="226" t="s">
        <v>353</v>
      </c>
      <c r="C138" s="419">
        <v>5000</v>
      </c>
      <c r="D138" s="450"/>
      <c r="E138" s="459">
        <f>+'ต.ค.-ธ.ค.'!E139+'ม.ค.-มี.ค.'!E138+'เม.ย.-มิ.ย.'!E138+'ก.ค.-ก.ย.'!E138</f>
        <v>0</v>
      </c>
      <c r="F138" s="459">
        <f>+'ต.ค.-ธ.ค.'!F139+'ม.ค.-มี.ค.'!F138+'เม.ย.-มิ.ย.'!F138+'ก.ค.-ก.ย.'!F138</f>
        <v>0</v>
      </c>
      <c r="G138" s="459">
        <f>+'ต.ค.-ธ.ค.'!G139+'ม.ค.-มี.ค.'!G138+'เม.ย.-มิ.ย.'!G138+'ก.ค.-ก.ย.'!G138</f>
        <v>0</v>
      </c>
      <c r="H138" s="459">
        <f>+'ต.ค.-ธ.ค.'!H139+'ม.ค.-มี.ค.'!H138+'เม.ย.-มิ.ย.'!H138+'ก.ค.-ก.ย.'!H138</f>
        <v>0</v>
      </c>
      <c r="I138" s="459">
        <f>+'ต.ค.-ธ.ค.'!I139+'ม.ค.-มี.ค.'!I138+'เม.ย.-มิ.ย.'!I138+'ก.ค.-ก.ย.'!I138</f>
        <v>0</v>
      </c>
      <c r="J138" s="459">
        <f>+'ต.ค.-ธ.ค.'!J139+'ม.ค.-มี.ค.'!J138+'เม.ย.-มิ.ย.'!J138+'ก.ค.-ก.ย.'!J138</f>
        <v>0</v>
      </c>
      <c r="K138" s="459">
        <f>+'ต.ค.-ธ.ค.'!K139+'ม.ค.-มี.ค.'!K138+'เม.ย.-มิ.ย.'!K138+'ก.ค.-ก.ย.'!K138</f>
        <v>0</v>
      </c>
      <c r="L138" s="459">
        <f>+'ต.ค.-ธ.ค.'!L139+'ม.ค.-มี.ค.'!L138+'เม.ย.-มิ.ย.'!L138+'ก.ค.-ก.ย.'!L138</f>
        <v>0</v>
      </c>
      <c r="M138" s="459">
        <f>+'ต.ค.-ธ.ค.'!M139+'ม.ค.-มี.ค.'!M138+'เม.ย.-มิ.ย.'!M138+'ก.ค.-ก.ย.'!M138</f>
        <v>0</v>
      </c>
      <c r="N138" s="459">
        <f>+'ต.ค.-ธ.ค.'!N139+'ม.ค.-มี.ค.'!N138+'เม.ย.-มิ.ย.'!N138+'ก.ค.-ก.ย.'!N138</f>
        <v>0</v>
      </c>
      <c r="O138" s="459">
        <f>+'ต.ค.-ธ.ค.'!O139+'ม.ค.-มี.ค.'!O138+'เม.ย.-มิ.ย.'!O138+'ก.ค.-ก.ย.'!O138</f>
        <v>0</v>
      </c>
      <c r="P138" s="459">
        <f>+'ต.ค.-ธ.ค.'!P139+'ม.ค.-มี.ค.'!P138+'เม.ย.-มิ.ย.'!P138+'ก.ค.-ก.ย.'!P138</f>
        <v>0</v>
      </c>
      <c r="Q138" s="459">
        <f>+'ต.ค.-ธ.ค.'!Q139+'ม.ค.-มี.ค.'!Q138+'เม.ย.-มิ.ย.'!Q138+'ก.ค.-ก.ย.'!Q138</f>
        <v>4880</v>
      </c>
      <c r="R138" s="459">
        <f>+'ต.ค.-ธ.ค.'!R139+'ม.ค.-มี.ค.'!R138+'เม.ย.-มิ.ย.'!R138+'ก.ค.-ก.ย.'!R138</f>
        <v>0</v>
      </c>
      <c r="S138" s="459">
        <f>+'ต.ค.-ธ.ค.'!S139+'ม.ค.-มี.ค.'!S138+'เม.ย.-มิ.ย.'!S138+'ก.ค.-ก.ย.'!S138</f>
        <v>0</v>
      </c>
      <c r="T138" s="459">
        <f>+'ต.ค.-ธ.ค.'!T139+'ม.ค.-มี.ค.'!T138+'เม.ย.-มิ.ย.'!T138+'ก.ค.-ก.ย.'!T138</f>
        <v>0</v>
      </c>
      <c r="U138" s="459">
        <f>+'ต.ค.-ธ.ค.'!U139+'ม.ค.-มี.ค.'!U138+'เม.ย.-มิ.ย.'!U138+'ก.ค.-ก.ย.'!U138</f>
        <v>0</v>
      </c>
      <c r="V138" s="459">
        <f>+'ต.ค.-ธ.ค.'!V139+'ม.ค.-มี.ค.'!V138+'เม.ย.-มิ.ย.'!V138+'ก.ค.-ก.ย.'!V138</f>
        <v>0</v>
      </c>
      <c r="W138" s="579"/>
      <c r="X138" s="364"/>
    </row>
    <row r="139" spans="1:24" s="310" customFormat="1" ht="25.5" customHeight="1">
      <c r="A139" s="9"/>
      <c r="B139" s="226" t="s">
        <v>354</v>
      </c>
      <c r="C139" s="419">
        <v>10000</v>
      </c>
      <c r="D139" s="450"/>
      <c r="E139" s="459">
        <f>+'ต.ค.-ธ.ค.'!E140+'ม.ค.-มี.ค.'!E139+'เม.ย.-มิ.ย.'!E139+'ก.ค.-ก.ย.'!E139</f>
        <v>0</v>
      </c>
      <c r="F139" s="459">
        <f>+'ต.ค.-ธ.ค.'!F140+'ม.ค.-มี.ค.'!F139+'เม.ย.-มิ.ย.'!F139+'ก.ค.-ก.ย.'!F139</f>
        <v>0</v>
      </c>
      <c r="G139" s="459">
        <f>+'ต.ค.-ธ.ค.'!G140+'ม.ค.-มี.ค.'!G139+'เม.ย.-มิ.ย.'!G139+'ก.ค.-ก.ย.'!G139</f>
        <v>0</v>
      </c>
      <c r="H139" s="459">
        <f>+'ต.ค.-ธ.ค.'!H140+'ม.ค.-มี.ค.'!H139+'เม.ย.-มิ.ย.'!H139+'ก.ค.-ก.ย.'!H139</f>
        <v>0</v>
      </c>
      <c r="I139" s="459">
        <f>+'ต.ค.-ธ.ค.'!I140+'ม.ค.-มี.ค.'!I139+'เม.ย.-มิ.ย.'!I139+'ก.ค.-ก.ย.'!I139</f>
        <v>0</v>
      </c>
      <c r="J139" s="459">
        <f>+'ต.ค.-ธ.ค.'!J140+'ม.ค.-มี.ค.'!J139+'เม.ย.-มิ.ย.'!J139+'ก.ค.-ก.ย.'!J139</f>
        <v>0</v>
      </c>
      <c r="K139" s="459">
        <f>+'ต.ค.-ธ.ค.'!K140+'ม.ค.-มี.ค.'!K139+'เม.ย.-มิ.ย.'!K139+'ก.ค.-ก.ย.'!K139</f>
        <v>0</v>
      </c>
      <c r="L139" s="459">
        <f>+'ต.ค.-ธ.ค.'!L140+'ม.ค.-มี.ค.'!L139+'เม.ย.-มิ.ย.'!L139+'ก.ค.-ก.ย.'!L139</f>
        <v>0</v>
      </c>
      <c r="M139" s="459">
        <f>+'ต.ค.-ธ.ค.'!M140+'ม.ค.-มี.ค.'!M139+'เม.ย.-มิ.ย.'!M139+'ก.ค.-ก.ย.'!M139</f>
        <v>0</v>
      </c>
      <c r="N139" s="459">
        <f>+'ต.ค.-ธ.ค.'!N140+'ม.ค.-มี.ค.'!N139+'เม.ย.-มิ.ย.'!N139+'ก.ค.-ก.ย.'!N139</f>
        <v>0</v>
      </c>
      <c r="O139" s="459">
        <f>+'ต.ค.-ธ.ค.'!O140+'ม.ค.-มี.ค.'!O139+'เม.ย.-มิ.ย.'!O139+'ก.ค.-ก.ย.'!O139</f>
        <v>0</v>
      </c>
      <c r="P139" s="459">
        <f>+'ต.ค.-ธ.ค.'!P140+'ม.ค.-มี.ค.'!P139+'เม.ย.-มิ.ย.'!P139+'ก.ค.-ก.ย.'!P139</f>
        <v>0</v>
      </c>
      <c r="Q139" s="459">
        <f>+'ต.ค.-ธ.ค.'!Q140+'ม.ค.-มี.ค.'!Q139+'เม.ย.-มิ.ย.'!Q139+'ก.ค.-ก.ย.'!Q139</f>
        <v>0</v>
      </c>
      <c r="R139" s="459">
        <f>+'ต.ค.-ธ.ค.'!R140+'ม.ค.-มี.ค.'!R139+'เม.ย.-มิ.ย.'!R139+'ก.ค.-ก.ย.'!R139</f>
        <v>0</v>
      </c>
      <c r="S139" s="459">
        <f>+'ต.ค.-ธ.ค.'!S140+'ม.ค.-มี.ค.'!S139+'เม.ย.-มิ.ย.'!S139+'ก.ค.-ก.ย.'!S139</f>
        <v>0</v>
      </c>
      <c r="T139" s="459">
        <f>+'ต.ค.-ธ.ค.'!T140+'ม.ค.-มี.ค.'!T139+'เม.ย.-มิ.ย.'!T139+'ก.ค.-ก.ย.'!T139</f>
        <v>0</v>
      </c>
      <c r="U139" s="459">
        <f>+'ต.ค.-ธ.ค.'!U140+'ม.ค.-มี.ค.'!U139+'เม.ย.-มิ.ย.'!U139+'ก.ค.-ก.ย.'!U139</f>
        <v>0</v>
      </c>
      <c r="V139" s="459">
        <f>+'ต.ค.-ธ.ค.'!V140+'ม.ค.-มี.ค.'!V139+'เม.ย.-มิ.ย.'!V139+'ก.ค.-ก.ย.'!V139</f>
        <v>0</v>
      </c>
      <c r="W139" s="579"/>
      <c r="X139" s="364"/>
    </row>
    <row r="140" spans="1:24" s="310" customFormat="1" ht="25.5" customHeight="1">
      <c r="A140" s="9"/>
      <c r="B140" s="187" t="s">
        <v>355</v>
      </c>
      <c r="C140" s="419">
        <v>20000</v>
      </c>
      <c r="D140" s="450"/>
      <c r="E140" s="459">
        <f>+'ต.ค.-ธ.ค.'!E141+'ม.ค.-มี.ค.'!E140+'เม.ย.-มิ.ย.'!E140+'ก.ค.-ก.ย.'!E140</f>
        <v>0</v>
      </c>
      <c r="F140" s="459">
        <f>+'ต.ค.-ธ.ค.'!F141+'ม.ค.-มี.ค.'!F140+'เม.ย.-มิ.ย.'!F140+'ก.ค.-ก.ย.'!F140</f>
        <v>0</v>
      </c>
      <c r="G140" s="459">
        <f>+'ต.ค.-ธ.ค.'!G141+'ม.ค.-มี.ค.'!G140+'เม.ย.-มิ.ย.'!G140+'ก.ค.-ก.ย.'!G140</f>
        <v>0</v>
      </c>
      <c r="H140" s="459">
        <f>+'ต.ค.-ธ.ค.'!H141+'ม.ค.-มี.ค.'!H140+'เม.ย.-มิ.ย.'!H140+'ก.ค.-ก.ย.'!H140</f>
        <v>0</v>
      </c>
      <c r="I140" s="459">
        <f>+'ต.ค.-ธ.ค.'!I141+'ม.ค.-มี.ค.'!I140+'เม.ย.-มิ.ย.'!I140+'ก.ค.-ก.ย.'!I140</f>
        <v>0</v>
      </c>
      <c r="J140" s="459">
        <f>+'ต.ค.-ธ.ค.'!J141+'ม.ค.-มี.ค.'!J140+'เม.ย.-มิ.ย.'!J140+'ก.ค.-ก.ย.'!J140</f>
        <v>0</v>
      </c>
      <c r="K140" s="459">
        <f>+'ต.ค.-ธ.ค.'!K141+'ม.ค.-มี.ค.'!K140+'เม.ย.-มิ.ย.'!K140+'ก.ค.-ก.ย.'!K140</f>
        <v>0</v>
      </c>
      <c r="L140" s="459">
        <f>+'ต.ค.-ธ.ค.'!L141+'ม.ค.-มี.ค.'!L140+'เม.ย.-มิ.ย.'!L140+'ก.ค.-ก.ย.'!L140</f>
        <v>0</v>
      </c>
      <c r="M140" s="459">
        <f>+'ต.ค.-ธ.ค.'!M141+'ม.ค.-มี.ค.'!M140+'เม.ย.-มิ.ย.'!M140+'ก.ค.-ก.ย.'!M140</f>
        <v>0</v>
      </c>
      <c r="N140" s="459">
        <f>+'ต.ค.-ธ.ค.'!N141+'ม.ค.-มี.ค.'!N140+'เม.ย.-มิ.ย.'!N140+'ก.ค.-ก.ย.'!N140</f>
        <v>0</v>
      </c>
      <c r="O140" s="459">
        <f>+'ต.ค.-ธ.ค.'!O141+'ม.ค.-มี.ค.'!O140+'เม.ย.-มิ.ย.'!O140+'ก.ค.-ก.ย.'!O140</f>
        <v>0</v>
      </c>
      <c r="P140" s="459">
        <f>+'ต.ค.-ธ.ค.'!P141+'ม.ค.-มี.ค.'!P140+'เม.ย.-มิ.ย.'!P140+'ก.ค.-ก.ย.'!P140</f>
        <v>0</v>
      </c>
      <c r="Q140" s="459">
        <f>+'ต.ค.-ธ.ค.'!Q141+'ม.ค.-มี.ค.'!Q140+'เม.ย.-มิ.ย.'!Q140+'ก.ค.-ก.ย.'!Q140</f>
        <v>0</v>
      </c>
      <c r="R140" s="459">
        <f>+'ต.ค.-ธ.ค.'!R141+'ม.ค.-มี.ค.'!R140+'เม.ย.-มิ.ย.'!R140+'ก.ค.-ก.ย.'!R140</f>
        <v>0</v>
      </c>
      <c r="S140" s="459">
        <f>+'ต.ค.-ธ.ค.'!S141+'ม.ค.-มี.ค.'!S140+'เม.ย.-มิ.ย.'!S140+'ก.ค.-ก.ย.'!S140</f>
        <v>0</v>
      </c>
      <c r="T140" s="459">
        <f>+'ต.ค.-ธ.ค.'!T141+'ม.ค.-มี.ค.'!T140+'เม.ย.-มิ.ย.'!T140+'ก.ค.-ก.ย.'!T140</f>
        <v>0</v>
      </c>
      <c r="U140" s="459">
        <f>+'ต.ค.-ธ.ค.'!U141+'ม.ค.-มี.ค.'!U140+'เม.ย.-มิ.ย.'!U140+'ก.ค.-ก.ย.'!U140</f>
        <v>0</v>
      </c>
      <c r="V140" s="459">
        <f>+'ต.ค.-ธ.ค.'!V141+'ม.ค.-มี.ค.'!V140+'เม.ย.-มิ.ย.'!V140+'ก.ค.-ก.ย.'!V140</f>
        <v>0</v>
      </c>
      <c r="W140" s="579"/>
      <c r="X140" s="364"/>
    </row>
    <row r="141" spans="1:24" s="310" customFormat="1" ht="25.5" customHeight="1">
      <c r="A141" s="9"/>
      <c r="B141" s="187" t="s">
        <v>356</v>
      </c>
      <c r="C141" s="419">
        <v>20000</v>
      </c>
      <c r="D141" s="450"/>
      <c r="E141" s="459">
        <f>+'ต.ค.-ธ.ค.'!E142+'ม.ค.-มี.ค.'!E141+'เม.ย.-มิ.ย.'!E141+'ก.ค.-ก.ย.'!E141</f>
        <v>0</v>
      </c>
      <c r="F141" s="459">
        <f>+'ต.ค.-ธ.ค.'!F142+'ม.ค.-มี.ค.'!F141+'เม.ย.-มิ.ย.'!F141+'ก.ค.-ก.ย.'!F141</f>
        <v>0</v>
      </c>
      <c r="G141" s="459">
        <f>+'ต.ค.-ธ.ค.'!G142+'ม.ค.-มี.ค.'!G141+'เม.ย.-มิ.ย.'!G141+'ก.ค.-ก.ย.'!G141</f>
        <v>0</v>
      </c>
      <c r="H141" s="459">
        <f>+'ต.ค.-ธ.ค.'!H142+'ม.ค.-มี.ค.'!H141+'เม.ย.-มิ.ย.'!H141+'ก.ค.-ก.ย.'!H141</f>
        <v>0</v>
      </c>
      <c r="I141" s="459">
        <f>+'ต.ค.-ธ.ค.'!I142+'ม.ค.-มี.ค.'!I141+'เม.ย.-มิ.ย.'!I141+'ก.ค.-ก.ย.'!I141</f>
        <v>0</v>
      </c>
      <c r="J141" s="459">
        <f>+'ต.ค.-ธ.ค.'!J142+'ม.ค.-มี.ค.'!J141+'เม.ย.-มิ.ย.'!J141+'ก.ค.-ก.ย.'!J141</f>
        <v>0</v>
      </c>
      <c r="K141" s="459">
        <f>+'ต.ค.-ธ.ค.'!K142+'ม.ค.-มี.ค.'!K141+'เม.ย.-มิ.ย.'!K141+'ก.ค.-ก.ย.'!K141</f>
        <v>0</v>
      </c>
      <c r="L141" s="459">
        <f>+'ต.ค.-ธ.ค.'!L142+'ม.ค.-มี.ค.'!L141+'เม.ย.-มิ.ย.'!L141+'ก.ค.-ก.ย.'!L141</f>
        <v>0</v>
      </c>
      <c r="M141" s="459">
        <f>+'ต.ค.-ธ.ค.'!M142+'ม.ค.-มี.ค.'!M141+'เม.ย.-มิ.ย.'!M141+'ก.ค.-ก.ย.'!M141</f>
        <v>0</v>
      </c>
      <c r="N141" s="459">
        <f>+'ต.ค.-ธ.ค.'!N142+'ม.ค.-มี.ค.'!N141+'เม.ย.-มิ.ย.'!N141+'ก.ค.-ก.ย.'!N141</f>
        <v>0</v>
      </c>
      <c r="O141" s="459">
        <f>+'ต.ค.-ธ.ค.'!O142+'ม.ค.-มี.ค.'!O141+'เม.ย.-มิ.ย.'!O141+'ก.ค.-ก.ย.'!O141</f>
        <v>0</v>
      </c>
      <c r="P141" s="459">
        <f>+'ต.ค.-ธ.ค.'!P142+'ม.ค.-มี.ค.'!P141+'เม.ย.-มิ.ย.'!P141+'ก.ค.-ก.ย.'!P141</f>
        <v>0</v>
      </c>
      <c r="Q141" s="459">
        <f>+'ต.ค.-ธ.ค.'!Q142+'ม.ค.-มี.ค.'!Q141+'เม.ย.-มิ.ย.'!Q141+'ก.ค.-ก.ย.'!Q141</f>
        <v>0</v>
      </c>
      <c r="R141" s="459">
        <f>+'ต.ค.-ธ.ค.'!R142+'ม.ค.-มี.ค.'!R141+'เม.ย.-มิ.ย.'!R141+'ก.ค.-ก.ย.'!R141</f>
        <v>0</v>
      </c>
      <c r="S141" s="459">
        <f>+'ต.ค.-ธ.ค.'!S142+'ม.ค.-มี.ค.'!S141+'เม.ย.-มิ.ย.'!S141+'ก.ค.-ก.ย.'!S141</f>
        <v>0</v>
      </c>
      <c r="T141" s="459">
        <f>+'ต.ค.-ธ.ค.'!T142+'ม.ค.-มี.ค.'!T141+'เม.ย.-มิ.ย.'!T141+'ก.ค.-ก.ย.'!T141</f>
        <v>0</v>
      </c>
      <c r="U141" s="459">
        <f>+'ต.ค.-ธ.ค.'!U142+'ม.ค.-มี.ค.'!U141+'เม.ย.-มิ.ย.'!U141+'ก.ค.-ก.ย.'!U141</f>
        <v>0</v>
      </c>
      <c r="V141" s="459">
        <f>+'ต.ค.-ธ.ค.'!V142+'ม.ค.-มี.ค.'!V141+'เม.ย.-มิ.ย.'!V141+'ก.ค.-ก.ย.'!V141</f>
        <v>0</v>
      </c>
      <c r="W141" s="579"/>
      <c r="X141" s="364"/>
    </row>
    <row r="142" spans="1:24" s="310" customFormat="1" ht="25.5" customHeight="1">
      <c r="A142" s="9"/>
      <c r="B142" s="187" t="s">
        <v>357</v>
      </c>
      <c r="C142" s="419">
        <v>10000</v>
      </c>
      <c r="D142" s="450"/>
      <c r="E142" s="459">
        <f>+'ต.ค.-ธ.ค.'!E143+'ม.ค.-มี.ค.'!E142+'เม.ย.-มิ.ย.'!E142+'ก.ค.-ก.ย.'!E142</f>
        <v>0</v>
      </c>
      <c r="F142" s="459">
        <f>+'ต.ค.-ธ.ค.'!F143+'ม.ค.-มี.ค.'!F142+'เม.ย.-มิ.ย.'!F142+'ก.ค.-ก.ย.'!F142</f>
        <v>0</v>
      </c>
      <c r="G142" s="459">
        <f>+'ต.ค.-ธ.ค.'!G143+'ม.ค.-มี.ค.'!G142+'เม.ย.-มิ.ย.'!G142+'ก.ค.-ก.ย.'!G142</f>
        <v>0</v>
      </c>
      <c r="H142" s="459">
        <f>+'ต.ค.-ธ.ค.'!H143+'ม.ค.-มี.ค.'!H142+'เม.ย.-มิ.ย.'!H142+'ก.ค.-ก.ย.'!H142</f>
        <v>0</v>
      </c>
      <c r="I142" s="459">
        <f>+'ต.ค.-ธ.ค.'!I143+'ม.ค.-มี.ค.'!I142+'เม.ย.-มิ.ย.'!I142+'ก.ค.-ก.ย.'!I142</f>
        <v>0</v>
      </c>
      <c r="J142" s="459">
        <f>+'ต.ค.-ธ.ค.'!J143+'ม.ค.-มี.ค.'!J142+'เม.ย.-มิ.ย.'!J142+'ก.ค.-ก.ย.'!J142</f>
        <v>0</v>
      </c>
      <c r="K142" s="459">
        <f>+'ต.ค.-ธ.ค.'!K143+'ม.ค.-มี.ค.'!K142+'เม.ย.-มิ.ย.'!K142+'ก.ค.-ก.ย.'!K142</f>
        <v>0</v>
      </c>
      <c r="L142" s="459">
        <f>+'ต.ค.-ธ.ค.'!L143+'ม.ค.-มี.ค.'!L142+'เม.ย.-มิ.ย.'!L142+'ก.ค.-ก.ย.'!L142</f>
        <v>0</v>
      </c>
      <c r="M142" s="459">
        <f>+'ต.ค.-ธ.ค.'!M143+'ม.ค.-มี.ค.'!M142+'เม.ย.-มิ.ย.'!M142+'ก.ค.-ก.ย.'!M142</f>
        <v>0</v>
      </c>
      <c r="N142" s="459">
        <f>+'ต.ค.-ธ.ค.'!N143+'ม.ค.-มี.ค.'!N142+'เม.ย.-มิ.ย.'!N142+'ก.ค.-ก.ย.'!N142</f>
        <v>0</v>
      </c>
      <c r="O142" s="459">
        <f>+'ต.ค.-ธ.ค.'!O143+'ม.ค.-มี.ค.'!O142+'เม.ย.-มิ.ย.'!O142+'ก.ค.-ก.ย.'!O142</f>
        <v>0</v>
      </c>
      <c r="P142" s="459">
        <f>+'ต.ค.-ธ.ค.'!P143+'ม.ค.-มี.ค.'!P142+'เม.ย.-มิ.ย.'!P142+'ก.ค.-ก.ย.'!P142</f>
        <v>0</v>
      </c>
      <c r="Q142" s="459">
        <f>+'ต.ค.-ธ.ค.'!Q143+'ม.ค.-มี.ค.'!Q142+'เม.ย.-มิ.ย.'!Q142+'ก.ค.-ก.ย.'!Q142</f>
        <v>0</v>
      </c>
      <c r="R142" s="459">
        <f>+'ต.ค.-ธ.ค.'!R143+'ม.ค.-มี.ค.'!R142+'เม.ย.-มิ.ย.'!R142+'ก.ค.-ก.ย.'!R142</f>
        <v>0</v>
      </c>
      <c r="S142" s="459">
        <f>+'ต.ค.-ธ.ค.'!S143+'ม.ค.-มี.ค.'!S142+'เม.ย.-มิ.ย.'!S142+'ก.ค.-ก.ย.'!S142</f>
        <v>0</v>
      </c>
      <c r="T142" s="459">
        <f>+'ต.ค.-ธ.ค.'!T143+'ม.ค.-มี.ค.'!T142+'เม.ย.-มิ.ย.'!T142+'ก.ค.-ก.ย.'!T142</f>
        <v>0</v>
      </c>
      <c r="U142" s="459">
        <f>+'ต.ค.-ธ.ค.'!U143+'ม.ค.-มี.ค.'!U142+'เม.ย.-มิ.ย.'!U142+'ก.ค.-ก.ย.'!U142</f>
        <v>0</v>
      </c>
      <c r="V142" s="459">
        <f>+'ต.ค.-ธ.ค.'!V143+'ม.ค.-มี.ค.'!V142+'เม.ย.-มิ.ย.'!V142+'ก.ค.-ก.ย.'!V142</f>
        <v>0</v>
      </c>
      <c r="W142" s="579"/>
      <c r="X142" s="364"/>
    </row>
    <row r="143" spans="1:24" s="310" customFormat="1" ht="25.5" customHeight="1">
      <c r="A143" s="9"/>
      <c r="B143" s="187" t="s">
        <v>358</v>
      </c>
      <c r="C143" s="419">
        <v>10000</v>
      </c>
      <c r="D143" s="450"/>
      <c r="E143" s="459">
        <f>+'ต.ค.-ธ.ค.'!E144+'ม.ค.-มี.ค.'!E143+'เม.ย.-มิ.ย.'!E143+'ก.ค.-ก.ย.'!E143</f>
        <v>0</v>
      </c>
      <c r="F143" s="459">
        <f>+'ต.ค.-ธ.ค.'!F144+'ม.ค.-มี.ค.'!F143+'เม.ย.-มิ.ย.'!F143+'ก.ค.-ก.ย.'!F143</f>
        <v>0</v>
      </c>
      <c r="G143" s="459">
        <f>+'ต.ค.-ธ.ค.'!G144+'ม.ค.-มี.ค.'!G143+'เม.ย.-มิ.ย.'!G143+'ก.ค.-ก.ย.'!G143</f>
        <v>0</v>
      </c>
      <c r="H143" s="459">
        <f>+'ต.ค.-ธ.ค.'!H144+'ม.ค.-มี.ค.'!H143+'เม.ย.-มิ.ย.'!H143+'ก.ค.-ก.ย.'!H143</f>
        <v>0</v>
      </c>
      <c r="I143" s="459">
        <f>+'ต.ค.-ธ.ค.'!I144+'ม.ค.-มี.ค.'!I143+'เม.ย.-มิ.ย.'!I143+'ก.ค.-ก.ย.'!I143</f>
        <v>0</v>
      </c>
      <c r="J143" s="459">
        <f>+'ต.ค.-ธ.ค.'!J144+'ม.ค.-มี.ค.'!J143+'เม.ย.-มิ.ย.'!J143+'ก.ค.-ก.ย.'!J143</f>
        <v>0</v>
      </c>
      <c r="K143" s="459">
        <f>+'ต.ค.-ธ.ค.'!K144+'ม.ค.-มี.ค.'!K143+'เม.ย.-มิ.ย.'!K143+'ก.ค.-ก.ย.'!K143</f>
        <v>0</v>
      </c>
      <c r="L143" s="459">
        <f>+'ต.ค.-ธ.ค.'!L144+'ม.ค.-มี.ค.'!L143+'เม.ย.-มิ.ย.'!L143+'ก.ค.-ก.ย.'!L143</f>
        <v>0</v>
      </c>
      <c r="M143" s="459">
        <f>+'ต.ค.-ธ.ค.'!M144+'ม.ค.-มี.ค.'!M143+'เม.ย.-มิ.ย.'!M143+'ก.ค.-ก.ย.'!M143</f>
        <v>0</v>
      </c>
      <c r="N143" s="459">
        <f>+'ต.ค.-ธ.ค.'!N144+'ม.ค.-มี.ค.'!N143+'เม.ย.-มิ.ย.'!N143+'ก.ค.-ก.ย.'!N143</f>
        <v>0</v>
      </c>
      <c r="O143" s="459">
        <f>+'ต.ค.-ธ.ค.'!O144+'ม.ค.-มี.ค.'!O143+'เม.ย.-มิ.ย.'!O143+'ก.ค.-ก.ย.'!O143</f>
        <v>0</v>
      </c>
      <c r="P143" s="459">
        <f>+'ต.ค.-ธ.ค.'!P144+'ม.ค.-มี.ค.'!P143+'เม.ย.-มิ.ย.'!P143+'ก.ค.-ก.ย.'!P143</f>
        <v>0</v>
      </c>
      <c r="Q143" s="459">
        <f>+'ต.ค.-ธ.ค.'!Q144+'ม.ค.-มี.ค.'!Q143+'เม.ย.-มิ.ย.'!Q143+'ก.ค.-ก.ย.'!Q143</f>
        <v>0</v>
      </c>
      <c r="R143" s="459">
        <f>+'ต.ค.-ธ.ค.'!R144+'ม.ค.-มี.ค.'!R143+'เม.ย.-มิ.ย.'!R143+'ก.ค.-ก.ย.'!R143</f>
        <v>0</v>
      </c>
      <c r="S143" s="459">
        <f>+'ต.ค.-ธ.ค.'!S144+'ม.ค.-มี.ค.'!S143+'เม.ย.-มิ.ย.'!S143+'ก.ค.-ก.ย.'!S143</f>
        <v>0</v>
      </c>
      <c r="T143" s="459">
        <f>+'ต.ค.-ธ.ค.'!T144+'ม.ค.-มี.ค.'!T143+'เม.ย.-มิ.ย.'!T143+'ก.ค.-ก.ย.'!T143</f>
        <v>0</v>
      </c>
      <c r="U143" s="459">
        <f>+'ต.ค.-ธ.ค.'!U144+'ม.ค.-มี.ค.'!U143+'เม.ย.-มิ.ย.'!U143+'ก.ค.-ก.ย.'!U143</f>
        <v>0</v>
      </c>
      <c r="V143" s="459">
        <f>+'ต.ค.-ธ.ค.'!V144+'ม.ค.-มี.ค.'!V143+'เม.ย.-มิ.ย.'!V143+'ก.ค.-ก.ย.'!V143</f>
        <v>0</v>
      </c>
      <c r="W143" s="579"/>
      <c r="X143" s="364"/>
    </row>
    <row r="144" spans="1:24" s="310" customFormat="1" ht="25.5" customHeight="1">
      <c r="A144" s="9"/>
      <c r="B144" s="187" t="s">
        <v>359</v>
      </c>
      <c r="C144" s="419">
        <v>5000</v>
      </c>
      <c r="D144" s="450"/>
      <c r="E144" s="459">
        <f>+'ต.ค.-ธ.ค.'!E145+'ม.ค.-มี.ค.'!E144+'เม.ย.-มิ.ย.'!E144+'ก.ค.-ก.ย.'!E144</f>
        <v>0</v>
      </c>
      <c r="F144" s="459">
        <f>+'ต.ค.-ธ.ค.'!F145+'ม.ค.-มี.ค.'!F144+'เม.ย.-มิ.ย.'!F144+'ก.ค.-ก.ย.'!F144</f>
        <v>0</v>
      </c>
      <c r="G144" s="459">
        <f>+'ต.ค.-ธ.ค.'!G145+'ม.ค.-มี.ค.'!G144+'เม.ย.-มิ.ย.'!G144+'ก.ค.-ก.ย.'!G144</f>
        <v>0</v>
      </c>
      <c r="H144" s="459">
        <f>+'ต.ค.-ธ.ค.'!H145+'ม.ค.-มี.ค.'!H144+'เม.ย.-มิ.ย.'!H144+'ก.ค.-ก.ย.'!H144</f>
        <v>0</v>
      </c>
      <c r="I144" s="459">
        <f>+'ต.ค.-ธ.ค.'!I145+'ม.ค.-มี.ค.'!I144+'เม.ย.-มิ.ย.'!I144+'ก.ค.-ก.ย.'!I144</f>
        <v>0</v>
      </c>
      <c r="J144" s="459">
        <f>+'ต.ค.-ธ.ค.'!J145+'ม.ค.-มี.ค.'!J144+'เม.ย.-มิ.ย.'!J144+'ก.ค.-ก.ย.'!J144</f>
        <v>0</v>
      </c>
      <c r="K144" s="459">
        <f>+'ต.ค.-ธ.ค.'!K145+'ม.ค.-มี.ค.'!K144+'เม.ย.-มิ.ย.'!K144+'ก.ค.-ก.ย.'!K144</f>
        <v>0</v>
      </c>
      <c r="L144" s="459">
        <f>+'ต.ค.-ธ.ค.'!L145+'ม.ค.-มี.ค.'!L144+'เม.ย.-มิ.ย.'!L144+'ก.ค.-ก.ย.'!L144</f>
        <v>0</v>
      </c>
      <c r="M144" s="459">
        <f>+'ต.ค.-ธ.ค.'!M145+'ม.ค.-มี.ค.'!M144+'เม.ย.-มิ.ย.'!M144+'ก.ค.-ก.ย.'!M144</f>
        <v>0</v>
      </c>
      <c r="N144" s="459">
        <f>+'ต.ค.-ธ.ค.'!N145+'ม.ค.-มี.ค.'!N144+'เม.ย.-มิ.ย.'!N144+'ก.ค.-ก.ย.'!N144</f>
        <v>0</v>
      </c>
      <c r="O144" s="459">
        <f>+'ต.ค.-ธ.ค.'!O145+'ม.ค.-มี.ค.'!O144+'เม.ย.-มิ.ย.'!O144+'ก.ค.-ก.ย.'!O144</f>
        <v>0</v>
      </c>
      <c r="P144" s="459">
        <f>+'ต.ค.-ธ.ค.'!P145+'ม.ค.-มี.ค.'!P144+'เม.ย.-มิ.ย.'!P144+'ก.ค.-ก.ย.'!P144</f>
        <v>0</v>
      </c>
      <c r="Q144" s="459">
        <f>+'ต.ค.-ธ.ค.'!Q145+'ม.ค.-มี.ค.'!Q144+'เม.ย.-มิ.ย.'!Q144+'ก.ค.-ก.ย.'!Q144</f>
        <v>0</v>
      </c>
      <c r="R144" s="459">
        <f>+'ต.ค.-ธ.ค.'!R145+'ม.ค.-มี.ค.'!R144+'เม.ย.-มิ.ย.'!R144+'ก.ค.-ก.ย.'!R144</f>
        <v>0</v>
      </c>
      <c r="S144" s="459">
        <f>+'ต.ค.-ธ.ค.'!S145+'ม.ค.-มี.ค.'!S144+'เม.ย.-มิ.ย.'!S144+'ก.ค.-ก.ย.'!S144</f>
        <v>0</v>
      </c>
      <c r="T144" s="459">
        <f>+'ต.ค.-ธ.ค.'!T145+'ม.ค.-มี.ค.'!T144+'เม.ย.-มิ.ย.'!T144+'ก.ค.-ก.ย.'!T144</f>
        <v>0</v>
      </c>
      <c r="U144" s="459">
        <f>+'ต.ค.-ธ.ค.'!U145+'ม.ค.-มี.ค.'!U144+'เม.ย.-มิ.ย.'!U144+'ก.ค.-ก.ย.'!U144</f>
        <v>0</v>
      </c>
      <c r="V144" s="459">
        <f>+'ต.ค.-ธ.ค.'!V145+'ม.ค.-มี.ค.'!V144+'เม.ย.-มิ.ย.'!V144+'ก.ค.-ก.ย.'!V144</f>
        <v>0</v>
      </c>
      <c r="W144" s="579"/>
      <c r="X144" s="364"/>
    </row>
    <row r="145" spans="1:24" s="310" customFormat="1" ht="25.5" customHeight="1">
      <c r="A145" s="9"/>
      <c r="B145" s="187" t="s">
        <v>360</v>
      </c>
      <c r="C145" s="419">
        <v>5000</v>
      </c>
      <c r="D145" s="450"/>
      <c r="E145" s="459">
        <f>+'ต.ค.-ธ.ค.'!E146+'ม.ค.-มี.ค.'!E145+'เม.ย.-มิ.ย.'!E145+'ก.ค.-ก.ย.'!E145</f>
        <v>0</v>
      </c>
      <c r="F145" s="459">
        <f>+'ต.ค.-ธ.ค.'!F146+'ม.ค.-มี.ค.'!F145+'เม.ย.-มิ.ย.'!F145+'ก.ค.-ก.ย.'!F145</f>
        <v>0</v>
      </c>
      <c r="G145" s="459">
        <f>+'ต.ค.-ธ.ค.'!G146+'ม.ค.-มี.ค.'!G145+'เม.ย.-มิ.ย.'!G145+'ก.ค.-ก.ย.'!G145</f>
        <v>0</v>
      </c>
      <c r="H145" s="459">
        <f>+'ต.ค.-ธ.ค.'!H146+'ม.ค.-มี.ค.'!H145+'เม.ย.-มิ.ย.'!H145+'ก.ค.-ก.ย.'!H145</f>
        <v>0</v>
      </c>
      <c r="I145" s="459">
        <f>+'ต.ค.-ธ.ค.'!I146+'ม.ค.-มี.ค.'!I145+'เม.ย.-มิ.ย.'!I145+'ก.ค.-ก.ย.'!I145</f>
        <v>0</v>
      </c>
      <c r="J145" s="459">
        <f>+'ต.ค.-ธ.ค.'!J146+'ม.ค.-มี.ค.'!J145+'เม.ย.-มิ.ย.'!J145+'ก.ค.-ก.ย.'!J145</f>
        <v>0</v>
      </c>
      <c r="K145" s="459">
        <f>+'ต.ค.-ธ.ค.'!K146+'ม.ค.-มี.ค.'!K145+'เม.ย.-มิ.ย.'!K145+'ก.ค.-ก.ย.'!K145</f>
        <v>0</v>
      </c>
      <c r="L145" s="459">
        <f>+'ต.ค.-ธ.ค.'!L146+'ม.ค.-มี.ค.'!L145+'เม.ย.-มิ.ย.'!L145+'ก.ค.-ก.ย.'!L145</f>
        <v>0</v>
      </c>
      <c r="M145" s="459">
        <f>+'ต.ค.-ธ.ค.'!M146+'ม.ค.-มี.ค.'!M145+'เม.ย.-มิ.ย.'!M145+'ก.ค.-ก.ย.'!M145</f>
        <v>0</v>
      </c>
      <c r="N145" s="459">
        <f>+'ต.ค.-ธ.ค.'!N146+'ม.ค.-มี.ค.'!N145+'เม.ย.-มิ.ย.'!N145+'ก.ค.-ก.ย.'!N145</f>
        <v>0</v>
      </c>
      <c r="O145" s="459">
        <f>+'ต.ค.-ธ.ค.'!O146+'ม.ค.-มี.ค.'!O145+'เม.ย.-มิ.ย.'!O145+'ก.ค.-ก.ย.'!O145</f>
        <v>0</v>
      </c>
      <c r="P145" s="459">
        <f>+'ต.ค.-ธ.ค.'!P146+'ม.ค.-มี.ค.'!P145+'เม.ย.-มิ.ย.'!P145+'ก.ค.-ก.ย.'!P145</f>
        <v>0</v>
      </c>
      <c r="Q145" s="459">
        <f>+'ต.ค.-ธ.ค.'!Q146+'ม.ค.-มี.ค.'!Q145+'เม.ย.-มิ.ย.'!Q145+'ก.ค.-ก.ย.'!Q145</f>
        <v>0</v>
      </c>
      <c r="R145" s="459">
        <f>+'ต.ค.-ธ.ค.'!R146+'ม.ค.-มี.ค.'!R145+'เม.ย.-มิ.ย.'!R145+'ก.ค.-ก.ย.'!R145</f>
        <v>0</v>
      </c>
      <c r="S145" s="459">
        <f>+'ต.ค.-ธ.ค.'!S146+'ม.ค.-มี.ค.'!S145+'เม.ย.-มิ.ย.'!S145+'ก.ค.-ก.ย.'!S145</f>
        <v>0</v>
      </c>
      <c r="T145" s="459">
        <f>+'ต.ค.-ธ.ค.'!T146+'ม.ค.-มี.ค.'!T145+'เม.ย.-มิ.ย.'!T145+'ก.ค.-ก.ย.'!T145</f>
        <v>0</v>
      </c>
      <c r="U145" s="459">
        <f>+'ต.ค.-ธ.ค.'!U146+'ม.ค.-มี.ค.'!U145+'เม.ย.-มิ.ย.'!U145+'ก.ค.-ก.ย.'!U145</f>
        <v>0</v>
      </c>
      <c r="V145" s="459">
        <f>+'ต.ค.-ธ.ค.'!V146+'ม.ค.-มี.ค.'!V145+'เม.ย.-มิ.ย.'!V145+'ก.ค.-ก.ย.'!V145</f>
        <v>0</v>
      </c>
      <c r="W145" s="579"/>
      <c r="X145" s="364"/>
    </row>
    <row r="146" spans="1:24" s="310" customFormat="1" ht="25.5" customHeight="1">
      <c r="A146" s="9"/>
      <c r="B146" s="187" t="s">
        <v>361</v>
      </c>
      <c r="C146" s="419">
        <v>5000</v>
      </c>
      <c r="D146" s="450"/>
      <c r="E146" s="459">
        <f>+'ต.ค.-ธ.ค.'!E147+'ม.ค.-มี.ค.'!E146+'เม.ย.-มิ.ย.'!E146+'ก.ค.-ก.ย.'!E146</f>
        <v>0</v>
      </c>
      <c r="F146" s="459">
        <f>+'ต.ค.-ธ.ค.'!F147+'ม.ค.-มี.ค.'!F146+'เม.ย.-มิ.ย.'!F146+'ก.ค.-ก.ย.'!F146</f>
        <v>0</v>
      </c>
      <c r="G146" s="459">
        <f>+'ต.ค.-ธ.ค.'!G147+'ม.ค.-มี.ค.'!G146+'เม.ย.-มิ.ย.'!G146+'ก.ค.-ก.ย.'!G146</f>
        <v>0</v>
      </c>
      <c r="H146" s="459">
        <f>+'ต.ค.-ธ.ค.'!H147+'ม.ค.-มี.ค.'!H146+'เม.ย.-มิ.ย.'!H146+'ก.ค.-ก.ย.'!H146</f>
        <v>0</v>
      </c>
      <c r="I146" s="459">
        <f>+'ต.ค.-ธ.ค.'!I147+'ม.ค.-มี.ค.'!I146+'เม.ย.-มิ.ย.'!I146+'ก.ค.-ก.ย.'!I146</f>
        <v>0</v>
      </c>
      <c r="J146" s="459">
        <f>+'ต.ค.-ธ.ค.'!J147+'ม.ค.-มี.ค.'!J146+'เม.ย.-มิ.ย.'!J146+'ก.ค.-ก.ย.'!J146</f>
        <v>0</v>
      </c>
      <c r="K146" s="459">
        <f>+'ต.ค.-ธ.ค.'!K147+'ม.ค.-มี.ค.'!K146+'เม.ย.-มิ.ย.'!K146+'ก.ค.-ก.ย.'!K146</f>
        <v>0</v>
      </c>
      <c r="L146" s="459">
        <f>+'ต.ค.-ธ.ค.'!L147+'ม.ค.-มี.ค.'!L146+'เม.ย.-มิ.ย.'!L146+'ก.ค.-ก.ย.'!L146</f>
        <v>0</v>
      </c>
      <c r="M146" s="459">
        <f>+'ต.ค.-ธ.ค.'!M147+'ม.ค.-มี.ค.'!M146+'เม.ย.-มิ.ย.'!M146+'ก.ค.-ก.ย.'!M146</f>
        <v>0</v>
      </c>
      <c r="N146" s="459">
        <f>+'ต.ค.-ธ.ค.'!N147+'ม.ค.-มี.ค.'!N146+'เม.ย.-มิ.ย.'!N146+'ก.ค.-ก.ย.'!N146</f>
        <v>0</v>
      </c>
      <c r="O146" s="459">
        <f>+'ต.ค.-ธ.ค.'!O147+'ม.ค.-มี.ค.'!O146+'เม.ย.-มิ.ย.'!O146+'ก.ค.-ก.ย.'!O146</f>
        <v>0</v>
      </c>
      <c r="P146" s="459">
        <f>+'ต.ค.-ธ.ค.'!P147+'ม.ค.-มี.ค.'!P146+'เม.ย.-มิ.ย.'!P146+'ก.ค.-ก.ย.'!P146</f>
        <v>0</v>
      </c>
      <c r="Q146" s="459">
        <f>+'ต.ค.-ธ.ค.'!Q147+'ม.ค.-มี.ค.'!Q146+'เม.ย.-มิ.ย.'!Q146+'ก.ค.-ก.ย.'!Q146</f>
        <v>0</v>
      </c>
      <c r="R146" s="459">
        <f>+'ต.ค.-ธ.ค.'!R147+'ม.ค.-มี.ค.'!R146+'เม.ย.-มิ.ย.'!R146+'ก.ค.-ก.ย.'!R146</f>
        <v>0</v>
      </c>
      <c r="S146" s="459">
        <f>+'ต.ค.-ธ.ค.'!S147+'ม.ค.-มี.ค.'!S146+'เม.ย.-มิ.ย.'!S146+'ก.ค.-ก.ย.'!S146</f>
        <v>0</v>
      </c>
      <c r="T146" s="459">
        <f>+'ต.ค.-ธ.ค.'!T147+'ม.ค.-มี.ค.'!T146+'เม.ย.-มิ.ย.'!T146+'ก.ค.-ก.ย.'!T146</f>
        <v>0</v>
      </c>
      <c r="U146" s="459">
        <f>+'ต.ค.-ธ.ค.'!U147+'ม.ค.-มี.ค.'!U146+'เม.ย.-มิ.ย.'!U146+'ก.ค.-ก.ย.'!U146</f>
        <v>0</v>
      </c>
      <c r="V146" s="459">
        <f>+'ต.ค.-ธ.ค.'!V147+'ม.ค.-มี.ค.'!V146+'เม.ย.-มิ.ย.'!V146+'ก.ค.-ก.ย.'!V146</f>
        <v>0</v>
      </c>
      <c r="W146" s="579"/>
      <c r="X146" s="364"/>
    </row>
    <row r="147" spans="1:24" s="310" customFormat="1" ht="25.5" customHeight="1">
      <c r="A147" s="9"/>
      <c r="B147" s="187" t="s">
        <v>362</v>
      </c>
      <c r="C147" s="419">
        <v>5000</v>
      </c>
      <c r="D147" s="450"/>
      <c r="E147" s="459">
        <f>+'ต.ค.-ธ.ค.'!E148+'ม.ค.-มี.ค.'!E147+'เม.ย.-มิ.ย.'!E147+'ก.ค.-ก.ย.'!E147</f>
        <v>0</v>
      </c>
      <c r="F147" s="459">
        <f>+'ต.ค.-ธ.ค.'!F148+'ม.ค.-มี.ค.'!F147+'เม.ย.-มิ.ย.'!F147+'ก.ค.-ก.ย.'!F147</f>
        <v>0</v>
      </c>
      <c r="G147" s="459">
        <f>+'ต.ค.-ธ.ค.'!G148+'ม.ค.-มี.ค.'!G147+'เม.ย.-มิ.ย.'!G147+'ก.ค.-ก.ย.'!G147</f>
        <v>0</v>
      </c>
      <c r="H147" s="459">
        <f>+'ต.ค.-ธ.ค.'!H148+'ม.ค.-มี.ค.'!H147+'เม.ย.-มิ.ย.'!H147+'ก.ค.-ก.ย.'!H147</f>
        <v>0</v>
      </c>
      <c r="I147" s="459">
        <f>+'ต.ค.-ธ.ค.'!I148+'ม.ค.-มี.ค.'!I147+'เม.ย.-มิ.ย.'!I147+'ก.ค.-ก.ย.'!I147</f>
        <v>0</v>
      </c>
      <c r="J147" s="459">
        <f>+'ต.ค.-ธ.ค.'!J148+'ม.ค.-มี.ค.'!J147+'เม.ย.-มิ.ย.'!J147+'ก.ค.-ก.ย.'!J147</f>
        <v>0</v>
      </c>
      <c r="K147" s="459">
        <f>+'ต.ค.-ธ.ค.'!K148+'ม.ค.-มี.ค.'!K147+'เม.ย.-มิ.ย.'!K147+'ก.ค.-ก.ย.'!K147</f>
        <v>0</v>
      </c>
      <c r="L147" s="459">
        <f>+'ต.ค.-ธ.ค.'!L148+'ม.ค.-มี.ค.'!L147+'เม.ย.-มิ.ย.'!L147+'ก.ค.-ก.ย.'!L147</f>
        <v>0</v>
      </c>
      <c r="M147" s="459">
        <f>+'ต.ค.-ธ.ค.'!M148+'ม.ค.-มี.ค.'!M147+'เม.ย.-มิ.ย.'!M147+'ก.ค.-ก.ย.'!M147</f>
        <v>0</v>
      </c>
      <c r="N147" s="459">
        <f>+'ต.ค.-ธ.ค.'!N148+'ม.ค.-มี.ค.'!N147+'เม.ย.-มิ.ย.'!N147+'ก.ค.-ก.ย.'!N147</f>
        <v>0</v>
      </c>
      <c r="O147" s="459">
        <f>+'ต.ค.-ธ.ค.'!O148+'ม.ค.-มี.ค.'!O147+'เม.ย.-มิ.ย.'!O147+'ก.ค.-ก.ย.'!O147</f>
        <v>0</v>
      </c>
      <c r="P147" s="459">
        <f>+'ต.ค.-ธ.ค.'!P148+'ม.ค.-มี.ค.'!P147+'เม.ย.-มิ.ย.'!P147+'ก.ค.-ก.ย.'!P147</f>
        <v>0</v>
      </c>
      <c r="Q147" s="459">
        <f>+'ต.ค.-ธ.ค.'!Q148+'ม.ค.-มี.ค.'!Q147+'เม.ย.-มิ.ย.'!Q147+'ก.ค.-ก.ย.'!Q147</f>
        <v>0</v>
      </c>
      <c r="R147" s="459">
        <f>+'ต.ค.-ธ.ค.'!R148+'ม.ค.-มี.ค.'!R147+'เม.ย.-มิ.ย.'!R147+'ก.ค.-ก.ย.'!R147</f>
        <v>0</v>
      </c>
      <c r="S147" s="459">
        <f>+'ต.ค.-ธ.ค.'!S148+'ม.ค.-มี.ค.'!S147+'เม.ย.-มิ.ย.'!S147+'ก.ค.-ก.ย.'!S147</f>
        <v>0</v>
      </c>
      <c r="T147" s="459">
        <f>+'ต.ค.-ธ.ค.'!T148+'ม.ค.-มี.ค.'!T147+'เม.ย.-มิ.ย.'!T147+'ก.ค.-ก.ย.'!T147</f>
        <v>0</v>
      </c>
      <c r="U147" s="459">
        <f>+'ต.ค.-ธ.ค.'!U148+'ม.ค.-มี.ค.'!U147+'เม.ย.-มิ.ย.'!U147+'ก.ค.-ก.ย.'!U147</f>
        <v>0</v>
      </c>
      <c r="V147" s="459">
        <f>+'ต.ค.-ธ.ค.'!V148+'ม.ค.-มี.ค.'!V147+'เม.ย.-มิ.ย.'!V147+'ก.ค.-ก.ย.'!V147</f>
        <v>0</v>
      </c>
      <c r="W147" s="579"/>
      <c r="X147" s="364"/>
    </row>
    <row r="148" spans="1:24" s="310" customFormat="1" ht="25.5" customHeight="1">
      <c r="A148" s="9"/>
      <c r="B148" s="187" t="s">
        <v>363</v>
      </c>
      <c r="C148" s="419">
        <v>5000</v>
      </c>
      <c r="D148" s="442"/>
      <c r="E148" s="459">
        <f>+'ต.ค.-ธ.ค.'!E149+'ม.ค.-มี.ค.'!E148+'เม.ย.-มิ.ย.'!E148+'ก.ค.-ก.ย.'!E148</f>
        <v>0</v>
      </c>
      <c r="F148" s="459">
        <f>+'ต.ค.-ธ.ค.'!F149+'ม.ค.-มี.ค.'!F148+'เม.ย.-มิ.ย.'!F148+'ก.ค.-ก.ย.'!F148</f>
        <v>0</v>
      </c>
      <c r="G148" s="459">
        <f>+'ต.ค.-ธ.ค.'!G149+'ม.ค.-มี.ค.'!G148+'เม.ย.-มิ.ย.'!G148+'ก.ค.-ก.ย.'!G148</f>
        <v>0</v>
      </c>
      <c r="H148" s="459">
        <f>+'ต.ค.-ธ.ค.'!H149+'ม.ค.-มี.ค.'!H148+'เม.ย.-มิ.ย.'!H148+'ก.ค.-ก.ย.'!H148</f>
        <v>0</v>
      </c>
      <c r="I148" s="459">
        <f>+'ต.ค.-ธ.ค.'!I149+'ม.ค.-มี.ค.'!I148+'เม.ย.-มิ.ย.'!I148+'ก.ค.-ก.ย.'!I148</f>
        <v>0</v>
      </c>
      <c r="J148" s="459">
        <f>+'ต.ค.-ธ.ค.'!J149+'ม.ค.-มี.ค.'!J148+'เม.ย.-มิ.ย.'!J148+'ก.ค.-ก.ย.'!J148</f>
        <v>0</v>
      </c>
      <c r="K148" s="459">
        <f>+'ต.ค.-ธ.ค.'!K149+'ม.ค.-มี.ค.'!K148+'เม.ย.-มิ.ย.'!K148+'ก.ค.-ก.ย.'!K148</f>
        <v>0</v>
      </c>
      <c r="L148" s="459">
        <f>+'ต.ค.-ธ.ค.'!L149+'ม.ค.-มี.ค.'!L148+'เม.ย.-มิ.ย.'!L148+'ก.ค.-ก.ย.'!L148</f>
        <v>0</v>
      </c>
      <c r="M148" s="459">
        <f>+'ต.ค.-ธ.ค.'!M149+'ม.ค.-มี.ค.'!M148+'เม.ย.-มิ.ย.'!M148+'ก.ค.-ก.ย.'!M148</f>
        <v>0</v>
      </c>
      <c r="N148" s="459">
        <f>+'ต.ค.-ธ.ค.'!N149+'ม.ค.-มี.ค.'!N148+'เม.ย.-มิ.ย.'!N148+'ก.ค.-ก.ย.'!N148</f>
        <v>0</v>
      </c>
      <c r="O148" s="459">
        <f>+'ต.ค.-ธ.ค.'!O149+'ม.ค.-มี.ค.'!O148+'เม.ย.-มิ.ย.'!O148+'ก.ค.-ก.ย.'!O148</f>
        <v>0</v>
      </c>
      <c r="P148" s="459">
        <f>+'ต.ค.-ธ.ค.'!P149+'ม.ค.-มี.ค.'!P148+'เม.ย.-มิ.ย.'!P148+'ก.ค.-ก.ย.'!P148</f>
        <v>0</v>
      </c>
      <c r="Q148" s="459">
        <f>+'ต.ค.-ธ.ค.'!Q149+'ม.ค.-มี.ค.'!Q148+'เม.ย.-มิ.ย.'!Q148+'ก.ค.-ก.ย.'!Q148</f>
        <v>0</v>
      </c>
      <c r="R148" s="459">
        <f>+'ต.ค.-ธ.ค.'!R149+'ม.ค.-มี.ค.'!R148+'เม.ย.-มิ.ย.'!R148+'ก.ค.-ก.ย.'!R148</f>
        <v>0</v>
      </c>
      <c r="S148" s="459">
        <f>+'ต.ค.-ธ.ค.'!S149+'ม.ค.-มี.ค.'!S148+'เม.ย.-มิ.ย.'!S148+'ก.ค.-ก.ย.'!S148</f>
        <v>0</v>
      </c>
      <c r="T148" s="459">
        <f>+'ต.ค.-ธ.ค.'!T149+'ม.ค.-มี.ค.'!T148+'เม.ย.-มิ.ย.'!T148+'ก.ค.-ก.ย.'!T148</f>
        <v>0</v>
      </c>
      <c r="U148" s="459">
        <f>+'ต.ค.-ธ.ค.'!U149+'ม.ค.-มี.ค.'!U148+'เม.ย.-มิ.ย.'!U148+'ก.ค.-ก.ย.'!U148</f>
        <v>0</v>
      </c>
      <c r="V148" s="459">
        <f>+'ต.ค.-ธ.ค.'!V149+'ม.ค.-มี.ค.'!V148+'เม.ย.-มิ.ย.'!V148+'ก.ค.-ก.ย.'!V148</f>
        <v>0</v>
      </c>
      <c r="W148" s="579"/>
      <c r="X148" s="364"/>
    </row>
    <row r="149" spans="1:24" s="310" customFormat="1" ht="25.5" customHeight="1">
      <c r="A149" s="9"/>
      <c r="B149" s="187" t="s">
        <v>364</v>
      </c>
      <c r="C149" s="419">
        <v>5000</v>
      </c>
      <c r="D149" s="442"/>
      <c r="E149" s="459">
        <f>+'ต.ค.-ธ.ค.'!E150+'ม.ค.-มี.ค.'!E149+'เม.ย.-มิ.ย.'!E149+'ก.ค.-ก.ย.'!E149</f>
        <v>0</v>
      </c>
      <c r="F149" s="459">
        <f>+'ต.ค.-ธ.ค.'!F150+'ม.ค.-มี.ค.'!F149+'เม.ย.-มิ.ย.'!F149+'ก.ค.-ก.ย.'!F149</f>
        <v>0</v>
      </c>
      <c r="G149" s="459">
        <f>+'ต.ค.-ธ.ค.'!G150+'ม.ค.-มี.ค.'!G149+'เม.ย.-มิ.ย.'!G149+'ก.ค.-ก.ย.'!G149</f>
        <v>0</v>
      </c>
      <c r="H149" s="459">
        <f>+'ต.ค.-ธ.ค.'!H150+'ม.ค.-มี.ค.'!H149+'เม.ย.-มิ.ย.'!H149+'ก.ค.-ก.ย.'!H149</f>
        <v>0</v>
      </c>
      <c r="I149" s="459">
        <f>+'ต.ค.-ธ.ค.'!I150+'ม.ค.-มี.ค.'!I149+'เม.ย.-มิ.ย.'!I149+'ก.ค.-ก.ย.'!I149</f>
        <v>0</v>
      </c>
      <c r="J149" s="459">
        <f>+'ต.ค.-ธ.ค.'!J150+'ม.ค.-มี.ค.'!J149+'เม.ย.-มิ.ย.'!J149+'ก.ค.-ก.ย.'!J149</f>
        <v>0</v>
      </c>
      <c r="K149" s="459">
        <f>+'ต.ค.-ธ.ค.'!K150+'ม.ค.-มี.ค.'!K149+'เม.ย.-มิ.ย.'!K149+'ก.ค.-ก.ย.'!K149</f>
        <v>0</v>
      </c>
      <c r="L149" s="459">
        <f>+'ต.ค.-ธ.ค.'!L150+'ม.ค.-มี.ค.'!L149+'เม.ย.-มิ.ย.'!L149+'ก.ค.-ก.ย.'!L149</f>
        <v>0</v>
      </c>
      <c r="M149" s="459">
        <f>+'ต.ค.-ธ.ค.'!M150+'ม.ค.-มี.ค.'!M149+'เม.ย.-มิ.ย.'!M149+'ก.ค.-ก.ย.'!M149</f>
        <v>0</v>
      </c>
      <c r="N149" s="459">
        <f>+'ต.ค.-ธ.ค.'!N150+'ม.ค.-มี.ค.'!N149+'เม.ย.-มิ.ย.'!N149+'ก.ค.-ก.ย.'!N149</f>
        <v>0</v>
      </c>
      <c r="O149" s="459">
        <f>+'ต.ค.-ธ.ค.'!O150+'ม.ค.-มี.ค.'!O149+'เม.ย.-มิ.ย.'!O149+'ก.ค.-ก.ย.'!O149</f>
        <v>0</v>
      </c>
      <c r="P149" s="459">
        <f>+'ต.ค.-ธ.ค.'!P150+'ม.ค.-มี.ค.'!P149+'เม.ย.-มิ.ย.'!P149+'ก.ค.-ก.ย.'!P149</f>
        <v>0</v>
      </c>
      <c r="Q149" s="459">
        <f>+'ต.ค.-ธ.ค.'!Q150+'ม.ค.-มี.ค.'!Q149+'เม.ย.-มิ.ย.'!Q149+'ก.ค.-ก.ย.'!Q149</f>
        <v>0</v>
      </c>
      <c r="R149" s="459">
        <f>+'ต.ค.-ธ.ค.'!R150+'ม.ค.-มี.ค.'!R149+'เม.ย.-มิ.ย.'!R149+'ก.ค.-ก.ย.'!R149</f>
        <v>0</v>
      </c>
      <c r="S149" s="459">
        <f>+'ต.ค.-ธ.ค.'!S150+'ม.ค.-มี.ค.'!S149+'เม.ย.-มิ.ย.'!S149+'ก.ค.-ก.ย.'!S149</f>
        <v>0</v>
      </c>
      <c r="T149" s="459">
        <f>+'ต.ค.-ธ.ค.'!T150+'ม.ค.-มี.ค.'!T149+'เม.ย.-มิ.ย.'!T149+'ก.ค.-ก.ย.'!T149</f>
        <v>0</v>
      </c>
      <c r="U149" s="459">
        <f>+'ต.ค.-ธ.ค.'!U150+'ม.ค.-มี.ค.'!U149+'เม.ย.-มิ.ย.'!U149+'ก.ค.-ก.ย.'!U149</f>
        <v>0</v>
      </c>
      <c r="V149" s="459">
        <f>+'ต.ค.-ธ.ค.'!V150+'ม.ค.-มี.ค.'!V149+'เม.ย.-มิ.ย.'!V149+'ก.ค.-ก.ย.'!V149</f>
        <v>0</v>
      </c>
      <c r="W149" s="579"/>
      <c r="X149" s="364"/>
    </row>
    <row r="150" spans="1:24" s="310" customFormat="1" ht="25.5" customHeight="1">
      <c r="A150" s="9"/>
      <c r="B150" s="187" t="s">
        <v>365</v>
      </c>
      <c r="C150" s="419">
        <v>5000</v>
      </c>
      <c r="D150" s="442"/>
      <c r="E150" s="459">
        <f>+'ต.ค.-ธ.ค.'!E151+'ม.ค.-มี.ค.'!E150+'เม.ย.-มิ.ย.'!E150+'ก.ค.-ก.ย.'!E150</f>
        <v>0</v>
      </c>
      <c r="F150" s="459">
        <f>+'ต.ค.-ธ.ค.'!F151+'ม.ค.-มี.ค.'!F150+'เม.ย.-มิ.ย.'!F150+'ก.ค.-ก.ย.'!F150</f>
        <v>0</v>
      </c>
      <c r="G150" s="459">
        <f>+'ต.ค.-ธ.ค.'!G151+'ม.ค.-มี.ค.'!G150+'เม.ย.-มิ.ย.'!G150+'ก.ค.-ก.ย.'!G150</f>
        <v>0</v>
      </c>
      <c r="H150" s="459">
        <f>+'ต.ค.-ธ.ค.'!H151+'ม.ค.-มี.ค.'!H150+'เม.ย.-มิ.ย.'!H150+'ก.ค.-ก.ย.'!H150</f>
        <v>0</v>
      </c>
      <c r="I150" s="459">
        <f>+'ต.ค.-ธ.ค.'!I151+'ม.ค.-มี.ค.'!I150+'เม.ย.-มิ.ย.'!I150+'ก.ค.-ก.ย.'!I150</f>
        <v>0</v>
      </c>
      <c r="J150" s="459">
        <f>+'ต.ค.-ธ.ค.'!J151+'ม.ค.-มี.ค.'!J150+'เม.ย.-มิ.ย.'!J150+'ก.ค.-ก.ย.'!J150</f>
        <v>0</v>
      </c>
      <c r="K150" s="459">
        <f>+'ต.ค.-ธ.ค.'!K151+'ม.ค.-มี.ค.'!K150+'เม.ย.-มิ.ย.'!K150+'ก.ค.-ก.ย.'!K150</f>
        <v>0</v>
      </c>
      <c r="L150" s="459">
        <f>+'ต.ค.-ธ.ค.'!L151+'ม.ค.-มี.ค.'!L150+'เม.ย.-มิ.ย.'!L150+'ก.ค.-ก.ย.'!L150</f>
        <v>0</v>
      </c>
      <c r="M150" s="459">
        <f>+'ต.ค.-ธ.ค.'!M151+'ม.ค.-มี.ค.'!M150+'เม.ย.-มิ.ย.'!M150+'ก.ค.-ก.ย.'!M150</f>
        <v>0</v>
      </c>
      <c r="N150" s="459">
        <f>+'ต.ค.-ธ.ค.'!N151+'ม.ค.-มี.ค.'!N150+'เม.ย.-มิ.ย.'!N150+'ก.ค.-ก.ย.'!N150</f>
        <v>0</v>
      </c>
      <c r="O150" s="459">
        <f>+'ต.ค.-ธ.ค.'!O151+'ม.ค.-มี.ค.'!O150+'เม.ย.-มิ.ย.'!O150+'ก.ค.-ก.ย.'!O150</f>
        <v>0</v>
      </c>
      <c r="P150" s="459">
        <f>+'ต.ค.-ธ.ค.'!P151+'ม.ค.-มี.ค.'!P150+'เม.ย.-มิ.ย.'!P150+'ก.ค.-ก.ย.'!P150</f>
        <v>0</v>
      </c>
      <c r="Q150" s="459">
        <f>+'ต.ค.-ธ.ค.'!Q151+'ม.ค.-มี.ค.'!Q150+'เม.ย.-มิ.ย.'!Q150+'ก.ค.-ก.ย.'!Q150</f>
        <v>0</v>
      </c>
      <c r="R150" s="459">
        <f>+'ต.ค.-ธ.ค.'!R151+'ม.ค.-มี.ค.'!R150+'เม.ย.-มิ.ย.'!R150+'ก.ค.-ก.ย.'!R150</f>
        <v>0</v>
      </c>
      <c r="S150" s="459">
        <f>+'ต.ค.-ธ.ค.'!S151+'ม.ค.-มี.ค.'!S150+'เม.ย.-มิ.ย.'!S150+'ก.ค.-ก.ย.'!S150</f>
        <v>0</v>
      </c>
      <c r="T150" s="459">
        <f>+'ต.ค.-ธ.ค.'!T151+'ม.ค.-มี.ค.'!T150+'เม.ย.-มิ.ย.'!T150+'ก.ค.-ก.ย.'!T150</f>
        <v>0</v>
      </c>
      <c r="U150" s="459">
        <f>+'ต.ค.-ธ.ค.'!U151+'ม.ค.-มี.ค.'!U150+'เม.ย.-มิ.ย.'!U150+'ก.ค.-ก.ย.'!U150</f>
        <v>0</v>
      </c>
      <c r="V150" s="459">
        <f>+'ต.ค.-ธ.ค.'!V151+'ม.ค.-มี.ค.'!V150+'เม.ย.-มิ.ย.'!V150+'ก.ค.-ก.ย.'!V150</f>
        <v>0</v>
      </c>
      <c r="W150" s="579"/>
      <c r="X150" s="364"/>
    </row>
    <row r="151" spans="1:24" s="310" customFormat="1" ht="25.5" customHeight="1">
      <c r="A151" s="9"/>
      <c r="B151" s="187" t="s">
        <v>366</v>
      </c>
      <c r="C151" s="419">
        <v>5000</v>
      </c>
      <c r="D151" s="442"/>
      <c r="E151" s="459">
        <f>+'ต.ค.-ธ.ค.'!E152+'ม.ค.-มี.ค.'!E151+'เม.ย.-มิ.ย.'!E151+'ก.ค.-ก.ย.'!E151</f>
        <v>0</v>
      </c>
      <c r="F151" s="459">
        <f>+'ต.ค.-ธ.ค.'!F152+'ม.ค.-มี.ค.'!F151+'เม.ย.-มิ.ย.'!F151+'ก.ค.-ก.ย.'!F151</f>
        <v>0</v>
      </c>
      <c r="G151" s="459">
        <f>+'ต.ค.-ธ.ค.'!G152+'ม.ค.-มี.ค.'!G151+'เม.ย.-มิ.ย.'!G151+'ก.ค.-ก.ย.'!G151</f>
        <v>0</v>
      </c>
      <c r="H151" s="459">
        <f>+'ต.ค.-ธ.ค.'!H152+'ม.ค.-มี.ค.'!H151+'เม.ย.-มิ.ย.'!H151+'ก.ค.-ก.ย.'!H151</f>
        <v>0</v>
      </c>
      <c r="I151" s="459">
        <f>+'ต.ค.-ธ.ค.'!I152+'ม.ค.-มี.ค.'!I151+'เม.ย.-มิ.ย.'!I151+'ก.ค.-ก.ย.'!I151</f>
        <v>0</v>
      </c>
      <c r="J151" s="459">
        <f>+'ต.ค.-ธ.ค.'!J152+'ม.ค.-มี.ค.'!J151+'เม.ย.-มิ.ย.'!J151+'ก.ค.-ก.ย.'!J151</f>
        <v>0</v>
      </c>
      <c r="K151" s="459">
        <f>+'ต.ค.-ธ.ค.'!K152+'ม.ค.-มี.ค.'!K151+'เม.ย.-มิ.ย.'!K151+'ก.ค.-ก.ย.'!K151</f>
        <v>0</v>
      </c>
      <c r="L151" s="459">
        <f>+'ต.ค.-ธ.ค.'!L152+'ม.ค.-มี.ค.'!L151+'เม.ย.-มิ.ย.'!L151+'ก.ค.-ก.ย.'!L151</f>
        <v>0</v>
      </c>
      <c r="M151" s="459">
        <f>+'ต.ค.-ธ.ค.'!M152+'ม.ค.-มี.ค.'!M151+'เม.ย.-มิ.ย.'!M151+'ก.ค.-ก.ย.'!M151</f>
        <v>0</v>
      </c>
      <c r="N151" s="459">
        <f>+'ต.ค.-ธ.ค.'!N152+'ม.ค.-มี.ค.'!N151+'เม.ย.-มิ.ย.'!N151+'ก.ค.-ก.ย.'!N151</f>
        <v>0</v>
      </c>
      <c r="O151" s="459">
        <f>+'ต.ค.-ธ.ค.'!O152+'ม.ค.-มี.ค.'!O151+'เม.ย.-มิ.ย.'!O151+'ก.ค.-ก.ย.'!O151</f>
        <v>0</v>
      </c>
      <c r="P151" s="459">
        <f>+'ต.ค.-ธ.ค.'!P152+'ม.ค.-มี.ค.'!P151+'เม.ย.-มิ.ย.'!P151+'ก.ค.-ก.ย.'!P151</f>
        <v>0</v>
      </c>
      <c r="Q151" s="459">
        <f>+'ต.ค.-ธ.ค.'!Q152+'ม.ค.-มี.ค.'!Q151+'เม.ย.-มิ.ย.'!Q151+'ก.ค.-ก.ย.'!Q151</f>
        <v>0</v>
      </c>
      <c r="R151" s="459">
        <f>+'ต.ค.-ธ.ค.'!R152+'ม.ค.-มี.ค.'!R151+'เม.ย.-มิ.ย.'!R151+'ก.ค.-ก.ย.'!R151</f>
        <v>0</v>
      </c>
      <c r="S151" s="459">
        <f>+'ต.ค.-ธ.ค.'!S152+'ม.ค.-มี.ค.'!S151+'เม.ย.-มิ.ย.'!S151+'ก.ค.-ก.ย.'!S151</f>
        <v>0</v>
      </c>
      <c r="T151" s="459">
        <f>+'ต.ค.-ธ.ค.'!T152+'ม.ค.-มี.ค.'!T151+'เม.ย.-มิ.ย.'!T151+'ก.ค.-ก.ย.'!T151</f>
        <v>0</v>
      </c>
      <c r="U151" s="459">
        <f>+'ต.ค.-ธ.ค.'!U152+'ม.ค.-มี.ค.'!U151+'เม.ย.-มิ.ย.'!U151+'ก.ค.-ก.ย.'!U151</f>
        <v>0</v>
      </c>
      <c r="V151" s="459">
        <f>+'ต.ค.-ธ.ค.'!V152+'ม.ค.-มี.ค.'!V151+'เม.ย.-มิ.ย.'!V151+'ก.ค.-ก.ย.'!V151</f>
        <v>0</v>
      </c>
      <c r="W151" s="579"/>
      <c r="X151" s="364"/>
    </row>
    <row r="152" spans="1:24" s="310" customFormat="1" ht="25.5" customHeight="1">
      <c r="A152" s="9"/>
      <c r="B152" s="187" t="s">
        <v>367</v>
      </c>
      <c r="C152" s="419">
        <v>5000</v>
      </c>
      <c r="D152" s="442"/>
      <c r="E152" s="459">
        <f>+'ต.ค.-ธ.ค.'!E153+'ม.ค.-มี.ค.'!E152+'เม.ย.-มิ.ย.'!E152+'ก.ค.-ก.ย.'!E152</f>
        <v>0</v>
      </c>
      <c r="F152" s="459">
        <f>+'ต.ค.-ธ.ค.'!F153+'ม.ค.-มี.ค.'!F152+'เม.ย.-มิ.ย.'!F152+'ก.ค.-ก.ย.'!F152</f>
        <v>0</v>
      </c>
      <c r="G152" s="459">
        <f>+'ต.ค.-ธ.ค.'!G153+'ม.ค.-มี.ค.'!G152+'เม.ย.-มิ.ย.'!G152+'ก.ค.-ก.ย.'!G152</f>
        <v>0</v>
      </c>
      <c r="H152" s="459">
        <f>+'ต.ค.-ธ.ค.'!H153+'ม.ค.-มี.ค.'!H152+'เม.ย.-มิ.ย.'!H152+'ก.ค.-ก.ย.'!H152</f>
        <v>0</v>
      </c>
      <c r="I152" s="459">
        <f>+'ต.ค.-ธ.ค.'!I153+'ม.ค.-มี.ค.'!I152+'เม.ย.-มิ.ย.'!I152+'ก.ค.-ก.ย.'!I152</f>
        <v>0</v>
      </c>
      <c r="J152" s="459">
        <f>+'ต.ค.-ธ.ค.'!J153+'ม.ค.-มี.ค.'!J152+'เม.ย.-มิ.ย.'!J152+'ก.ค.-ก.ย.'!J152</f>
        <v>0</v>
      </c>
      <c r="K152" s="459">
        <f>+'ต.ค.-ธ.ค.'!K153+'ม.ค.-มี.ค.'!K152+'เม.ย.-มิ.ย.'!K152+'ก.ค.-ก.ย.'!K152</f>
        <v>0</v>
      </c>
      <c r="L152" s="459">
        <f>+'ต.ค.-ธ.ค.'!L153+'ม.ค.-มี.ค.'!L152+'เม.ย.-มิ.ย.'!L152+'ก.ค.-ก.ย.'!L152</f>
        <v>0</v>
      </c>
      <c r="M152" s="459">
        <f>+'ต.ค.-ธ.ค.'!M153+'ม.ค.-มี.ค.'!M152+'เม.ย.-มิ.ย.'!M152+'ก.ค.-ก.ย.'!M152</f>
        <v>0</v>
      </c>
      <c r="N152" s="459">
        <f>+'ต.ค.-ธ.ค.'!N153+'ม.ค.-มี.ค.'!N152+'เม.ย.-มิ.ย.'!N152+'ก.ค.-ก.ย.'!N152</f>
        <v>0</v>
      </c>
      <c r="O152" s="459">
        <f>+'ต.ค.-ธ.ค.'!O153+'ม.ค.-มี.ค.'!O152+'เม.ย.-มิ.ย.'!O152+'ก.ค.-ก.ย.'!O152</f>
        <v>0</v>
      </c>
      <c r="P152" s="459">
        <f>+'ต.ค.-ธ.ค.'!P153+'ม.ค.-มี.ค.'!P152+'เม.ย.-มิ.ย.'!P152+'ก.ค.-ก.ย.'!P152</f>
        <v>0</v>
      </c>
      <c r="Q152" s="459">
        <f>+'ต.ค.-ธ.ค.'!Q153+'ม.ค.-มี.ค.'!Q152+'เม.ย.-มิ.ย.'!Q152+'ก.ค.-ก.ย.'!Q152</f>
        <v>0</v>
      </c>
      <c r="R152" s="459">
        <f>+'ต.ค.-ธ.ค.'!R153+'ม.ค.-มี.ค.'!R152+'เม.ย.-มิ.ย.'!R152+'ก.ค.-ก.ย.'!R152</f>
        <v>0</v>
      </c>
      <c r="S152" s="459">
        <f>+'ต.ค.-ธ.ค.'!S153+'ม.ค.-มี.ค.'!S152+'เม.ย.-มิ.ย.'!S152+'ก.ค.-ก.ย.'!S152</f>
        <v>0</v>
      </c>
      <c r="T152" s="459">
        <f>+'ต.ค.-ธ.ค.'!T153+'ม.ค.-มี.ค.'!T152+'เม.ย.-มิ.ย.'!T152+'ก.ค.-ก.ย.'!T152</f>
        <v>0</v>
      </c>
      <c r="U152" s="459">
        <f>+'ต.ค.-ธ.ค.'!U153+'ม.ค.-มี.ค.'!U152+'เม.ย.-มิ.ย.'!U152+'ก.ค.-ก.ย.'!U152</f>
        <v>0</v>
      </c>
      <c r="V152" s="459">
        <f>+'ต.ค.-ธ.ค.'!V153+'ม.ค.-มี.ค.'!V152+'เม.ย.-มิ.ย.'!V152+'ก.ค.-ก.ย.'!V152</f>
        <v>0</v>
      </c>
      <c r="W152" s="579"/>
      <c r="X152" s="364"/>
    </row>
    <row r="153" spans="1:24" s="310" customFormat="1" ht="25.5" customHeight="1">
      <c r="A153" s="9"/>
      <c r="B153" s="187" t="s">
        <v>368</v>
      </c>
      <c r="C153" s="419">
        <v>5000</v>
      </c>
      <c r="D153" s="442"/>
      <c r="E153" s="459">
        <f>+'ต.ค.-ธ.ค.'!E154+'ม.ค.-มี.ค.'!E153+'เม.ย.-มิ.ย.'!E153+'ก.ค.-ก.ย.'!E153</f>
        <v>0</v>
      </c>
      <c r="F153" s="459">
        <f>+'ต.ค.-ธ.ค.'!F154+'ม.ค.-มี.ค.'!F153+'เม.ย.-มิ.ย.'!F153+'ก.ค.-ก.ย.'!F153</f>
        <v>0</v>
      </c>
      <c r="G153" s="459">
        <f>+'ต.ค.-ธ.ค.'!G154+'ม.ค.-มี.ค.'!G153+'เม.ย.-มิ.ย.'!G153+'ก.ค.-ก.ย.'!G153</f>
        <v>0</v>
      </c>
      <c r="H153" s="459">
        <f>+'ต.ค.-ธ.ค.'!H154+'ม.ค.-มี.ค.'!H153+'เม.ย.-มิ.ย.'!H153+'ก.ค.-ก.ย.'!H153</f>
        <v>0</v>
      </c>
      <c r="I153" s="459">
        <f>+'ต.ค.-ธ.ค.'!I154+'ม.ค.-มี.ค.'!I153+'เม.ย.-มิ.ย.'!I153+'ก.ค.-ก.ย.'!I153</f>
        <v>0</v>
      </c>
      <c r="J153" s="459">
        <f>+'ต.ค.-ธ.ค.'!J154+'ม.ค.-มี.ค.'!J153+'เม.ย.-มิ.ย.'!J153+'ก.ค.-ก.ย.'!J153</f>
        <v>0</v>
      </c>
      <c r="K153" s="459">
        <f>+'ต.ค.-ธ.ค.'!K154+'ม.ค.-มี.ค.'!K153+'เม.ย.-มิ.ย.'!K153+'ก.ค.-ก.ย.'!K153</f>
        <v>0</v>
      </c>
      <c r="L153" s="459">
        <f>+'ต.ค.-ธ.ค.'!L154+'ม.ค.-มี.ค.'!L153+'เม.ย.-มิ.ย.'!L153+'ก.ค.-ก.ย.'!L153</f>
        <v>0</v>
      </c>
      <c r="M153" s="459">
        <f>+'ต.ค.-ธ.ค.'!M154+'ม.ค.-มี.ค.'!M153+'เม.ย.-มิ.ย.'!M153+'ก.ค.-ก.ย.'!M153</f>
        <v>0</v>
      </c>
      <c r="N153" s="459">
        <f>+'ต.ค.-ธ.ค.'!N154+'ม.ค.-มี.ค.'!N153+'เม.ย.-มิ.ย.'!N153+'ก.ค.-ก.ย.'!N153</f>
        <v>0</v>
      </c>
      <c r="O153" s="459">
        <f>+'ต.ค.-ธ.ค.'!O154+'ม.ค.-มี.ค.'!O153+'เม.ย.-มิ.ย.'!O153+'ก.ค.-ก.ย.'!O153</f>
        <v>0</v>
      </c>
      <c r="P153" s="459">
        <f>+'ต.ค.-ธ.ค.'!P154+'ม.ค.-มี.ค.'!P153+'เม.ย.-มิ.ย.'!P153+'ก.ค.-ก.ย.'!P153</f>
        <v>0</v>
      </c>
      <c r="Q153" s="459">
        <f>+'ต.ค.-ธ.ค.'!Q154+'ม.ค.-มี.ค.'!Q153+'เม.ย.-มิ.ย.'!Q153+'ก.ค.-ก.ย.'!Q153</f>
        <v>0</v>
      </c>
      <c r="R153" s="459">
        <f>+'ต.ค.-ธ.ค.'!R154+'ม.ค.-มี.ค.'!R153+'เม.ย.-มิ.ย.'!R153+'ก.ค.-ก.ย.'!R153</f>
        <v>0</v>
      </c>
      <c r="S153" s="459">
        <f>+'ต.ค.-ธ.ค.'!S154+'ม.ค.-มี.ค.'!S153+'เม.ย.-มิ.ย.'!S153+'ก.ค.-ก.ย.'!S153</f>
        <v>0</v>
      </c>
      <c r="T153" s="459">
        <f>+'ต.ค.-ธ.ค.'!T154+'ม.ค.-มี.ค.'!T153+'เม.ย.-มิ.ย.'!T153+'ก.ค.-ก.ย.'!T153</f>
        <v>0</v>
      </c>
      <c r="U153" s="459">
        <f>+'ต.ค.-ธ.ค.'!U154+'ม.ค.-มี.ค.'!U153+'เม.ย.-มิ.ย.'!U153+'ก.ค.-ก.ย.'!U153</f>
        <v>0</v>
      </c>
      <c r="V153" s="459">
        <f>+'ต.ค.-ธ.ค.'!V154+'ม.ค.-มี.ค.'!V153+'เม.ย.-มิ.ย.'!V153+'ก.ค.-ก.ย.'!V153</f>
        <v>0</v>
      </c>
      <c r="W153" s="579"/>
      <c r="X153" s="364"/>
    </row>
    <row r="154" spans="1:24" s="310" customFormat="1" ht="25.5" customHeight="1">
      <c r="A154" s="9"/>
      <c r="B154" s="187" t="s">
        <v>369</v>
      </c>
      <c r="C154" s="419">
        <f>10000-10000</f>
        <v>0</v>
      </c>
      <c r="D154" s="442"/>
      <c r="E154" s="459">
        <f>+'ต.ค.-ธ.ค.'!E155+'ม.ค.-มี.ค.'!E154+'เม.ย.-มิ.ย.'!E154+'ก.ค.-ก.ย.'!E154</f>
        <v>0</v>
      </c>
      <c r="F154" s="459">
        <f>+'ต.ค.-ธ.ค.'!F155+'ม.ค.-มี.ค.'!F154+'เม.ย.-มิ.ย.'!F154+'ก.ค.-ก.ย.'!F154</f>
        <v>0</v>
      </c>
      <c r="G154" s="459">
        <f>+'ต.ค.-ธ.ค.'!G155+'ม.ค.-มี.ค.'!G154+'เม.ย.-มิ.ย.'!G154+'ก.ค.-ก.ย.'!G154</f>
        <v>0</v>
      </c>
      <c r="H154" s="459">
        <f>+'ต.ค.-ธ.ค.'!H155+'ม.ค.-มี.ค.'!H154+'เม.ย.-มิ.ย.'!H154+'ก.ค.-ก.ย.'!H154</f>
        <v>0</v>
      </c>
      <c r="I154" s="459">
        <f>+'ต.ค.-ธ.ค.'!I155+'ม.ค.-มี.ค.'!I154+'เม.ย.-มิ.ย.'!I154+'ก.ค.-ก.ย.'!I154</f>
        <v>0</v>
      </c>
      <c r="J154" s="459">
        <f>+'ต.ค.-ธ.ค.'!J155+'ม.ค.-มี.ค.'!J154+'เม.ย.-มิ.ย.'!J154+'ก.ค.-ก.ย.'!J154</f>
        <v>0</v>
      </c>
      <c r="K154" s="459">
        <f>+'ต.ค.-ธ.ค.'!K155+'ม.ค.-มี.ค.'!K154+'เม.ย.-มิ.ย.'!K154+'ก.ค.-ก.ย.'!K154</f>
        <v>0</v>
      </c>
      <c r="L154" s="459">
        <f>+'ต.ค.-ธ.ค.'!L155+'ม.ค.-มี.ค.'!L154+'เม.ย.-มิ.ย.'!L154+'ก.ค.-ก.ย.'!L154</f>
        <v>0</v>
      </c>
      <c r="M154" s="459">
        <f>+'ต.ค.-ธ.ค.'!M155+'ม.ค.-มี.ค.'!M154+'เม.ย.-มิ.ย.'!M154+'ก.ค.-ก.ย.'!M154</f>
        <v>0</v>
      </c>
      <c r="N154" s="459">
        <f>+'ต.ค.-ธ.ค.'!N155+'ม.ค.-มี.ค.'!N154+'เม.ย.-มิ.ย.'!N154+'ก.ค.-ก.ย.'!N154</f>
        <v>0</v>
      </c>
      <c r="O154" s="459">
        <f>+'ต.ค.-ธ.ค.'!O155+'ม.ค.-มี.ค.'!O154+'เม.ย.-มิ.ย.'!O154+'ก.ค.-ก.ย.'!O154</f>
        <v>0</v>
      </c>
      <c r="P154" s="459">
        <f>+'ต.ค.-ธ.ค.'!P155+'ม.ค.-มี.ค.'!P154+'เม.ย.-มิ.ย.'!P154+'ก.ค.-ก.ย.'!P154</f>
        <v>0</v>
      </c>
      <c r="Q154" s="459">
        <f>+'ต.ค.-ธ.ค.'!Q155+'ม.ค.-มี.ค.'!Q154+'เม.ย.-มิ.ย.'!Q154+'ก.ค.-ก.ย.'!Q154</f>
        <v>0</v>
      </c>
      <c r="R154" s="459">
        <f>+'ต.ค.-ธ.ค.'!R155+'ม.ค.-มี.ค.'!R154+'เม.ย.-มิ.ย.'!R154+'ก.ค.-ก.ย.'!R154</f>
        <v>0</v>
      </c>
      <c r="S154" s="459">
        <f>+'ต.ค.-ธ.ค.'!S155+'ม.ค.-มี.ค.'!S154+'เม.ย.-มิ.ย.'!S154+'ก.ค.-ก.ย.'!S154</f>
        <v>0</v>
      </c>
      <c r="T154" s="459">
        <f>+'ต.ค.-ธ.ค.'!T155+'ม.ค.-มี.ค.'!T154+'เม.ย.-มิ.ย.'!T154+'ก.ค.-ก.ย.'!T154</f>
        <v>0</v>
      </c>
      <c r="U154" s="459">
        <f>+'ต.ค.-ธ.ค.'!U155+'ม.ค.-มี.ค.'!U154+'เม.ย.-มิ.ย.'!U154+'ก.ค.-ก.ย.'!U154</f>
        <v>0</v>
      </c>
      <c r="V154" s="459">
        <f>+'ต.ค.-ธ.ค.'!V155+'ม.ค.-มี.ค.'!V154+'เม.ย.-มิ.ย.'!V154+'ก.ค.-ก.ย.'!V154</f>
        <v>0</v>
      </c>
      <c r="W154" s="579"/>
      <c r="X154" s="364"/>
    </row>
    <row r="155" spans="1:24" s="310" customFormat="1" ht="25.5" customHeight="1">
      <c r="A155" s="9"/>
      <c r="B155" s="187" t="s">
        <v>370</v>
      </c>
      <c r="C155" s="419">
        <v>10000</v>
      </c>
      <c r="D155" s="442"/>
      <c r="E155" s="459">
        <f>+'ต.ค.-ธ.ค.'!E156+'ม.ค.-มี.ค.'!E155+'เม.ย.-มิ.ย.'!E155+'ก.ค.-ก.ย.'!E155</f>
        <v>0</v>
      </c>
      <c r="F155" s="459">
        <f>+'ต.ค.-ธ.ค.'!F156+'ม.ค.-มี.ค.'!F155+'เม.ย.-มิ.ย.'!F155+'ก.ค.-ก.ย.'!F155</f>
        <v>0</v>
      </c>
      <c r="G155" s="459">
        <f>+'ต.ค.-ธ.ค.'!G156+'ม.ค.-มี.ค.'!G155+'เม.ย.-มิ.ย.'!G155+'ก.ค.-ก.ย.'!G155</f>
        <v>0</v>
      </c>
      <c r="H155" s="459">
        <f>+'ต.ค.-ธ.ค.'!H156+'ม.ค.-มี.ค.'!H155+'เม.ย.-มิ.ย.'!H155+'ก.ค.-ก.ย.'!H155</f>
        <v>0</v>
      </c>
      <c r="I155" s="459">
        <f>+'ต.ค.-ธ.ค.'!I156+'ม.ค.-มี.ค.'!I155+'เม.ย.-มิ.ย.'!I155+'ก.ค.-ก.ย.'!I155</f>
        <v>0</v>
      </c>
      <c r="J155" s="459">
        <f>+'ต.ค.-ธ.ค.'!J156+'ม.ค.-มี.ค.'!J155+'เม.ย.-มิ.ย.'!J155+'ก.ค.-ก.ย.'!J155</f>
        <v>0</v>
      </c>
      <c r="K155" s="459">
        <f>+'ต.ค.-ธ.ค.'!K156+'ม.ค.-มี.ค.'!K155+'เม.ย.-มิ.ย.'!K155+'ก.ค.-ก.ย.'!K155</f>
        <v>0</v>
      </c>
      <c r="L155" s="459">
        <f>+'ต.ค.-ธ.ค.'!L156+'ม.ค.-มี.ค.'!L155+'เม.ย.-มิ.ย.'!L155+'ก.ค.-ก.ย.'!L155</f>
        <v>0</v>
      </c>
      <c r="M155" s="459">
        <f>+'ต.ค.-ธ.ค.'!M156+'ม.ค.-มี.ค.'!M155+'เม.ย.-มิ.ย.'!M155+'ก.ค.-ก.ย.'!M155</f>
        <v>0</v>
      </c>
      <c r="N155" s="459">
        <f>+'ต.ค.-ธ.ค.'!N156+'ม.ค.-มี.ค.'!N155+'เม.ย.-มิ.ย.'!N155+'ก.ค.-ก.ย.'!N155</f>
        <v>0</v>
      </c>
      <c r="O155" s="459">
        <f>+'ต.ค.-ธ.ค.'!O156+'ม.ค.-มี.ค.'!O155+'เม.ย.-มิ.ย.'!O155+'ก.ค.-ก.ย.'!O155</f>
        <v>0</v>
      </c>
      <c r="P155" s="459">
        <f>+'ต.ค.-ธ.ค.'!P156+'ม.ค.-มี.ค.'!P155+'เม.ย.-มิ.ย.'!P155+'ก.ค.-ก.ย.'!P155</f>
        <v>0</v>
      </c>
      <c r="Q155" s="459">
        <f>+'ต.ค.-ธ.ค.'!Q156+'ม.ค.-มี.ค.'!Q155+'เม.ย.-มิ.ย.'!Q155+'ก.ค.-ก.ย.'!Q155</f>
        <v>0</v>
      </c>
      <c r="R155" s="459">
        <f>+'ต.ค.-ธ.ค.'!R156+'ม.ค.-มี.ค.'!R155+'เม.ย.-มิ.ย.'!R155+'ก.ค.-ก.ย.'!R155</f>
        <v>0</v>
      </c>
      <c r="S155" s="459">
        <f>+'ต.ค.-ธ.ค.'!S156+'ม.ค.-มี.ค.'!S155+'เม.ย.-มิ.ย.'!S155+'ก.ค.-ก.ย.'!S155</f>
        <v>0</v>
      </c>
      <c r="T155" s="459">
        <f>+'ต.ค.-ธ.ค.'!T156+'ม.ค.-มี.ค.'!T155+'เม.ย.-มิ.ย.'!T155+'ก.ค.-ก.ย.'!T155</f>
        <v>0</v>
      </c>
      <c r="U155" s="459">
        <f>+'ต.ค.-ธ.ค.'!U156+'ม.ค.-มี.ค.'!U155+'เม.ย.-มิ.ย.'!U155+'ก.ค.-ก.ย.'!U155</f>
        <v>0</v>
      </c>
      <c r="V155" s="459">
        <f>+'ต.ค.-ธ.ค.'!V156+'ม.ค.-มี.ค.'!V155+'เม.ย.-มิ.ย.'!V155+'ก.ค.-ก.ย.'!V155</f>
        <v>0</v>
      </c>
      <c r="W155" s="579"/>
      <c r="X155" s="364"/>
    </row>
    <row r="156" spans="1:24" s="310" customFormat="1" ht="25.5" customHeight="1">
      <c r="A156" s="9"/>
      <c r="B156" s="187" t="s">
        <v>163</v>
      </c>
      <c r="C156" s="419">
        <f>350000-156000-153000-11000-10000-20000</f>
        <v>0</v>
      </c>
      <c r="D156" s="442"/>
      <c r="E156" s="459">
        <f>+'ต.ค.-ธ.ค.'!E157+'ม.ค.-มี.ค.'!E156+'เม.ย.-มิ.ย.'!E156+'ก.ค.-ก.ย.'!E156</f>
        <v>0</v>
      </c>
      <c r="F156" s="459">
        <f>+'ต.ค.-ธ.ค.'!F157+'ม.ค.-มี.ค.'!F156+'เม.ย.-มิ.ย.'!F156+'ก.ค.-ก.ย.'!F156</f>
        <v>0</v>
      </c>
      <c r="G156" s="459">
        <f>+'ต.ค.-ธ.ค.'!G157+'ม.ค.-มี.ค.'!G156+'เม.ย.-มิ.ย.'!G156+'ก.ค.-ก.ย.'!G156</f>
        <v>0</v>
      </c>
      <c r="H156" s="459">
        <f>+'ต.ค.-ธ.ค.'!H157+'ม.ค.-มี.ค.'!H156+'เม.ย.-มิ.ย.'!H156+'ก.ค.-ก.ย.'!H156</f>
        <v>0</v>
      </c>
      <c r="I156" s="459">
        <f>+'ต.ค.-ธ.ค.'!I157+'ม.ค.-มี.ค.'!I156+'เม.ย.-มิ.ย.'!I156+'ก.ค.-ก.ย.'!I156</f>
        <v>0</v>
      </c>
      <c r="J156" s="459">
        <f>+'ต.ค.-ธ.ค.'!J157+'ม.ค.-มี.ค.'!J156+'เม.ย.-มิ.ย.'!J156+'ก.ค.-ก.ย.'!J156</f>
        <v>0</v>
      </c>
      <c r="K156" s="459">
        <f>+'ต.ค.-ธ.ค.'!K157+'ม.ค.-มี.ค.'!K156+'เม.ย.-มิ.ย.'!K156+'ก.ค.-ก.ย.'!K156</f>
        <v>0</v>
      </c>
      <c r="L156" s="459">
        <f>+'ต.ค.-ธ.ค.'!L157+'ม.ค.-มี.ค.'!L156+'เม.ย.-มิ.ย.'!L156+'ก.ค.-ก.ย.'!L156</f>
        <v>0</v>
      </c>
      <c r="M156" s="459">
        <f>+'ต.ค.-ธ.ค.'!M157+'ม.ค.-มี.ค.'!M156+'เม.ย.-มิ.ย.'!M156+'ก.ค.-ก.ย.'!M156</f>
        <v>0</v>
      </c>
      <c r="N156" s="459">
        <f>+'ต.ค.-ธ.ค.'!N157+'ม.ค.-มี.ค.'!N156+'เม.ย.-มิ.ย.'!N156+'ก.ค.-ก.ย.'!N156</f>
        <v>0</v>
      </c>
      <c r="O156" s="459">
        <f>+'ต.ค.-ธ.ค.'!O157+'ม.ค.-มี.ค.'!O156+'เม.ย.-มิ.ย.'!O156+'ก.ค.-ก.ย.'!O156</f>
        <v>0</v>
      </c>
      <c r="P156" s="459">
        <f>+'ต.ค.-ธ.ค.'!P157+'ม.ค.-มี.ค.'!P156+'เม.ย.-มิ.ย.'!P156+'ก.ค.-ก.ย.'!P156</f>
        <v>0</v>
      </c>
      <c r="Q156" s="459">
        <f>+'ต.ค.-ธ.ค.'!Q157+'ม.ค.-มี.ค.'!Q156+'เม.ย.-มิ.ย.'!Q156+'ก.ค.-ก.ย.'!Q156</f>
        <v>0</v>
      </c>
      <c r="R156" s="459">
        <f>+'ต.ค.-ธ.ค.'!R157+'ม.ค.-มี.ค.'!R156+'เม.ย.-มิ.ย.'!R156+'ก.ค.-ก.ย.'!R156</f>
        <v>0</v>
      </c>
      <c r="S156" s="459">
        <f>+'ต.ค.-ธ.ค.'!S157+'ม.ค.-มี.ค.'!S156+'เม.ย.-มิ.ย.'!S156+'ก.ค.-ก.ย.'!S156</f>
        <v>0</v>
      </c>
      <c r="T156" s="459">
        <f>+'ต.ค.-ธ.ค.'!T157+'ม.ค.-มี.ค.'!T156+'เม.ย.-มิ.ย.'!T156+'ก.ค.-ก.ย.'!T156</f>
        <v>0</v>
      </c>
      <c r="U156" s="459">
        <f>+'ต.ค.-ธ.ค.'!U157+'ม.ค.-มี.ค.'!U156+'เม.ย.-มิ.ย.'!U156+'ก.ค.-ก.ย.'!U156</f>
        <v>0</v>
      </c>
      <c r="V156" s="459">
        <f>+'ต.ค.-ธ.ค.'!V157+'ม.ค.-มี.ค.'!V156+'เม.ย.-มิ.ย.'!V156+'ก.ค.-ก.ย.'!V156</f>
        <v>0</v>
      </c>
      <c r="W156" s="579"/>
      <c r="X156" s="364"/>
    </row>
    <row r="157" spans="1:24" s="310" customFormat="1" ht="25.5" customHeight="1">
      <c r="A157" s="9"/>
      <c r="B157" s="187" t="s">
        <v>214</v>
      </c>
      <c r="C157" s="419">
        <v>25000</v>
      </c>
      <c r="D157" s="442"/>
      <c r="E157" s="459">
        <f>+'ต.ค.-ธ.ค.'!E158+'ม.ค.-มี.ค.'!E157+'เม.ย.-มิ.ย.'!E157+'ก.ค.-ก.ย.'!E157</f>
        <v>0</v>
      </c>
      <c r="F157" s="459">
        <f>+'ต.ค.-ธ.ค.'!F158+'ม.ค.-มี.ค.'!F157+'เม.ย.-มิ.ย.'!F157+'ก.ค.-ก.ย.'!F157</f>
        <v>0</v>
      </c>
      <c r="G157" s="459">
        <f>+'ต.ค.-ธ.ค.'!G158+'ม.ค.-มี.ค.'!G157+'เม.ย.-มิ.ย.'!G157+'ก.ค.-ก.ย.'!G157</f>
        <v>0</v>
      </c>
      <c r="H157" s="459">
        <f>+'ต.ค.-ธ.ค.'!H158+'ม.ค.-มี.ค.'!H157+'เม.ย.-มิ.ย.'!H157+'ก.ค.-ก.ย.'!H157</f>
        <v>0</v>
      </c>
      <c r="I157" s="459">
        <f>+'ต.ค.-ธ.ค.'!I158+'ม.ค.-มี.ค.'!I157+'เม.ย.-มิ.ย.'!I157+'ก.ค.-ก.ย.'!I157</f>
        <v>0</v>
      </c>
      <c r="J157" s="459">
        <f>+'ต.ค.-ธ.ค.'!J158+'ม.ค.-มี.ค.'!J157+'เม.ย.-มิ.ย.'!J157+'ก.ค.-ก.ย.'!J157</f>
        <v>0</v>
      </c>
      <c r="K157" s="459">
        <f>+'ต.ค.-ธ.ค.'!K158+'ม.ค.-มี.ค.'!K157+'เม.ย.-มิ.ย.'!K157+'ก.ค.-ก.ย.'!K157</f>
        <v>0</v>
      </c>
      <c r="L157" s="459">
        <f>+'ต.ค.-ธ.ค.'!L158+'ม.ค.-มี.ค.'!L157+'เม.ย.-มิ.ย.'!L157+'ก.ค.-ก.ย.'!L157</f>
        <v>0</v>
      </c>
      <c r="M157" s="459">
        <f>+'ต.ค.-ธ.ค.'!M158+'ม.ค.-มี.ค.'!M157+'เม.ย.-มิ.ย.'!M157+'ก.ค.-ก.ย.'!M157</f>
        <v>0</v>
      </c>
      <c r="N157" s="459">
        <f>+'ต.ค.-ธ.ค.'!N158+'ม.ค.-มี.ค.'!N157+'เม.ย.-มิ.ย.'!N157+'ก.ค.-ก.ย.'!N157</f>
        <v>0</v>
      </c>
      <c r="O157" s="459">
        <f>+'ต.ค.-ธ.ค.'!O158+'ม.ค.-มี.ค.'!O157+'เม.ย.-มิ.ย.'!O157+'ก.ค.-ก.ย.'!O157</f>
        <v>0</v>
      </c>
      <c r="P157" s="459">
        <f>+'ต.ค.-ธ.ค.'!P158+'ม.ค.-มี.ค.'!P157+'เม.ย.-มิ.ย.'!P157+'ก.ค.-ก.ย.'!P157</f>
        <v>0</v>
      </c>
      <c r="Q157" s="459">
        <f>+'ต.ค.-ธ.ค.'!Q158+'ม.ค.-มี.ค.'!Q157+'เม.ย.-มิ.ย.'!Q157+'ก.ค.-ก.ย.'!Q157</f>
        <v>0</v>
      </c>
      <c r="R157" s="459">
        <f>+'ต.ค.-ธ.ค.'!R158+'ม.ค.-มี.ค.'!R157+'เม.ย.-มิ.ย.'!R157+'ก.ค.-ก.ย.'!R157</f>
        <v>24450</v>
      </c>
      <c r="S157" s="459">
        <f>+'ต.ค.-ธ.ค.'!S158+'ม.ค.-มี.ค.'!S157+'เม.ย.-มิ.ย.'!S157+'ก.ค.-ก.ย.'!S157</f>
        <v>0</v>
      </c>
      <c r="T157" s="459">
        <f>+'ต.ค.-ธ.ค.'!T158+'ม.ค.-มี.ค.'!T157+'เม.ย.-มิ.ย.'!T157+'ก.ค.-ก.ย.'!T157</f>
        <v>0</v>
      </c>
      <c r="U157" s="459">
        <f>+'ต.ค.-ธ.ค.'!U158+'ม.ค.-มี.ค.'!U157+'เม.ย.-มิ.ย.'!U157+'ก.ค.-ก.ย.'!U157</f>
        <v>0</v>
      </c>
      <c r="V157" s="459">
        <f>+'ต.ค.-ธ.ค.'!V158+'ม.ค.-มี.ค.'!V157+'เม.ย.-มิ.ย.'!V157+'ก.ค.-ก.ย.'!V157</f>
        <v>0</v>
      </c>
      <c r="W157" s="579"/>
      <c r="X157" s="364"/>
    </row>
    <row r="158" spans="1:24" s="310" customFormat="1" ht="25.5" customHeight="1">
      <c r="A158" s="9"/>
      <c r="B158" s="187" t="s">
        <v>167</v>
      </c>
      <c r="C158" s="419">
        <f>30000-30000</f>
        <v>0</v>
      </c>
      <c r="D158" s="442"/>
      <c r="E158" s="459">
        <f>+'ต.ค.-ธ.ค.'!E159+'ม.ค.-มี.ค.'!E158+'เม.ย.-มิ.ย.'!E158+'ก.ค.-ก.ย.'!E158</f>
        <v>0</v>
      </c>
      <c r="F158" s="459">
        <f>+'ต.ค.-ธ.ค.'!F159+'ม.ค.-มี.ค.'!F158+'เม.ย.-มิ.ย.'!F158+'ก.ค.-ก.ย.'!F158</f>
        <v>0</v>
      </c>
      <c r="G158" s="459">
        <f>+'ต.ค.-ธ.ค.'!G159+'ม.ค.-มี.ค.'!G158+'เม.ย.-มิ.ย.'!G158+'ก.ค.-ก.ย.'!G158</f>
        <v>0</v>
      </c>
      <c r="H158" s="459">
        <f>+'ต.ค.-ธ.ค.'!H159+'ม.ค.-มี.ค.'!H158+'เม.ย.-มิ.ย.'!H158+'ก.ค.-ก.ย.'!H158</f>
        <v>0</v>
      </c>
      <c r="I158" s="459">
        <f>+'ต.ค.-ธ.ค.'!I159+'ม.ค.-มี.ค.'!I158+'เม.ย.-มิ.ย.'!I158+'ก.ค.-ก.ย.'!I158</f>
        <v>0</v>
      </c>
      <c r="J158" s="459">
        <f>+'ต.ค.-ธ.ค.'!J159+'ม.ค.-มี.ค.'!J158+'เม.ย.-มิ.ย.'!J158+'ก.ค.-ก.ย.'!J158</f>
        <v>0</v>
      </c>
      <c r="K158" s="459">
        <f>+'ต.ค.-ธ.ค.'!K159+'ม.ค.-มี.ค.'!K158+'เม.ย.-มิ.ย.'!K158+'ก.ค.-ก.ย.'!K158</f>
        <v>0</v>
      </c>
      <c r="L158" s="459">
        <f>+'ต.ค.-ธ.ค.'!L159+'ม.ค.-มี.ค.'!L158+'เม.ย.-มิ.ย.'!L158+'ก.ค.-ก.ย.'!L158</f>
        <v>0</v>
      </c>
      <c r="M158" s="459">
        <f>+'ต.ค.-ธ.ค.'!M159+'ม.ค.-มี.ค.'!M158+'เม.ย.-มิ.ย.'!M158+'ก.ค.-ก.ย.'!M158</f>
        <v>0</v>
      </c>
      <c r="N158" s="459">
        <f>+'ต.ค.-ธ.ค.'!N159+'ม.ค.-มี.ค.'!N158+'เม.ย.-มิ.ย.'!N158+'ก.ค.-ก.ย.'!N158</f>
        <v>0</v>
      </c>
      <c r="O158" s="459">
        <f>+'ต.ค.-ธ.ค.'!O159+'ม.ค.-มี.ค.'!O158+'เม.ย.-มิ.ย.'!O158+'ก.ค.-ก.ย.'!O158</f>
        <v>0</v>
      </c>
      <c r="P158" s="459">
        <f>+'ต.ค.-ธ.ค.'!P159+'ม.ค.-มี.ค.'!P158+'เม.ย.-มิ.ย.'!P158+'ก.ค.-ก.ย.'!P158</f>
        <v>0</v>
      </c>
      <c r="Q158" s="459">
        <f>+'ต.ค.-ธ.ค.'!Q159+'ม.ค.-มี.ค.'!Q158+'เม.ย.-มิ.ย.'!Q158+'ก.ค.-ก.ย.'!Q158</f>
        <v>0</v>
      </c>
      <c r="R158" s="459">
        <f>+'ต.ค.-ธ.ค.'!R159+'ม.ค.-มี.ค.'!R158+'เม.ย.-มิ.ย.'!R158+'ก.ค.-ก.ย.'!R158</f>
        <v>0</v>
      </c>
      <c r="S158" s="459">
        <f>+'ต.ค.-ธ.ค.'!S159+'ม.ค.-มี.ค.'!S158+'เม.ย.-มิ.ย.'!S158+'ก.ค.-ก.ย.'!S158</f>
        <v>0</v>
      </c>
      <c r="T158" s="459">
        <f>+'ต.ค.-ธ.ค.'!T159+'ม.ค.-มี.ค.'!T158+'เม.ย.-มิ.ย.'!T158+'ก.ค.-ก.ย.'!T158</f>
        <v>0</v>
      </c>
      <c r="U158" s="459">
        <f>+'ต.ค.-ธ.ค.'!U159+'ม.ค.-มี.ค.'!U158+'เม.ย.-มิ.ย.'!U158+'ก.ค.-ก.ย.'!U158</f>
        <v>0</v>
      </c>
      <c r="V158" s="459">
        <f>+'ต.ค.-ธ.ค.'!V159+'ม.ค.-มี.ค.'!V158+'เม.ย.-มิ.ย.'!V158+'ก.ค.-ก.ย.'!V158</f>
        <v>0</v>
      </c>
      <c r="W158" s="579"/>
      <c r="X158" s="364"/>
    </row>
    <row r="159" spans="1:24" s="310" customFormat="1" ht="25.5" customHeight="1">
      <c r="A159" s="9"/>
      <c r="B159" s="187" t="s">
        <v>371</v>
      </c>
      <c r="C159" s="419">
        <v>30000</v>
      </c>
      <c r="D159" s="442"/>
      <c r="E159" s="459">
        <f>+'ต.ค.-ธ.ค.'!E160+'ม.ค.-มี.ค.'!E159+'เม.ย.-มิ.ย.'!E159+'ก.ค.-ก.ย.'!E159</f>
        <v>0</v>
      </c>
      <c r="F159" s="459">
        <f>+'ต.ค.-ธ.ค.'!F160+'ม.ค.-มี.ค.'!F159+'เม.ย.-มิ.ย.'!F159+'ก.ค.-ก.ย.'!F159</f>
        <v>0</v>
      </c>
      <c r="G159" s="459">
        <f>+'ต.ค.-ธ.ค.'!G160+'ม.ค.-มี.ค.'!G159+'เม.ย.-มิ.ย.'!G159+'ก.ค.-ก.ย.'!G159</f>
        <v>0</v>
      </c>
      <c r="H159" s="459">
        <f>+'ต.ค.-ธ.ค.'!H160+'ม.ค.-มี.ค.'!H159+'เม.ย.-มิ.ย.'!H159+'ก.ค.-ก.ย.'!H159</f>
        <v>0</v>
      </c>
      <c r="I159" s="459">
        <f>+'ต.ค.-ธ.ค.'!I160+'ม.ค.-มี.ค.'!I159+'เม.ย.-มิ.ย.'!I159+'ก.ค.-ก.ย.'!I159</f>
        <v>0</v>
      </c>
      <c r="J159" s="459">
        <f>+'ต.ค.-ธ.ค.'!J160+'ม.ค.-มี.ค.'!J159+'เม.ย.-มิ.ย.'!J159+'ก.ค.-ก.ย.'!J159</f>
        <v>0</v>
      </c>
      <c r="K159" s="459">
        <f>+'ต.ค.-ธ.ค.'!K160+'ม.ค.-มี.ค.'!K159+'เม.ย.-มิ.ย.'!K159+'ก.ค.-ก.ย.'!K159</f>
        <v>0</v>
      </c>
      <c r="L159" s="459">
        <f>+'ต.ค.-ธ.ค.'!L160+'ม.ค.-มี.ค.'!L159+'เม.ย.-มิ.ย.'!L159+'ก.ค.-ก.ย.'!L159</f>
        <v>0</v>
      </c>
      <c r="M159" s="459">
        <f>+'ต.ค.-ธ.ค.'!M160+'ม.ค.-มี.ค.'!M159+'เม.ย.-มิ.ย.'!M159+'ก.ค.-ก.ย.'!M159</f>
        <v>0</v>
      </c>
      <c r="N159" s="459">
        <f>+'ต.ค.-ธ.ค.'!N160+'ม.ค.-มี.ค.'!N159+'เม.ย.-มิ.ย.'!N159+'ก.ค.-ก.ย.'!N159</f>
        <v>0</v>
      </c>
      <c r="O159" s="459">
        <f>+'ต.ค.-ธ.ค.'!O160+'ม.ค.-มี.ค.'!O159+'เม.ย.-มิ.ย.'!O159+'ก.ค.-ก.ย.'!O159</f>
        <v>0</v>
      </c>
      <c r="P159" s="459">
        <f>+'ต.ค.-ธ.ค.'!P160+'ม.ค.-มี.ค.'!P159+'เม.ย.-มิ.ย.'!P159+'ก.ค.-ก.ย.'!P159</f>
        <v>0</v>
      </c>
      <c r="Q159" s="459">
        <f>+'ต.ค.-ธ.ค.'!Q160+'ม.ค.-มี.ค.'!Q159+'เม.ย.-มิ.ย.'!Q159+'ก.ค.-ก.ย.'!Q159</f>
        <v>0</v>
      </c>
      <c r="R159" s="459">
        <f>+'ต.ค.-ธ.ค.'!R160+'ม.ค.-มี.ค.'!R159+'เม.ย.-มิ.ย.'!R159+'ก.ค.-ก.ย.'!R159</f>
        <v>0</v>
      </c>
      <c r="S159" s="459">
        <f>+'ต.ค.-ธ.ค.'!S160+'ม.ค.-มี.ค.'!S159+'เม.ย.-มิ.ย.'!S159+'ก.ค.-ก.ย.'!S159</f>
        <v>30000</v>
      </c>
      <c r="T159" s="459">
        <f>+'ต.ค.-ธ.ค.'!T160+'ม.ค.-มี.ค.'!T159+'เม.ย.-มิ.ย.'!T159+'ก.ค.-ก.ย.'!T159</f>
        <v>0</v>
      </c>
      <c r="U159" s="459">
        <f>+'ต.ค.-ธ.ค.'!U160+'ม.ค.-มี.ค.'!U159+'เม.ย.-มิ.ย.'!U159+'ก.ค.-ก.ย.'!U159</f>
        <v>0</v>
      </c>
      <c r="V159" s="459">
        <f>+'ต.ค.-ธ.ค.'!V160+'ม.ค.-มี.ค.'!V159+'เม.ย.-มิ.ย.'!V159+'ก.ค.-ก.ย.'!V159</f>
        <v>0</v>
      </c>
      <c r="W159" s="579"/>
      <c r="X159" s="364"/>
    </row>
    <row r="160" spans="1:24" s="310" customFormat="1" ht="25.5" customHeight="1">
      <c r="A160" s="9"/>
      <c r="B160" s="187" t="s">
        <v>170</v>
      </c>
      <c r="C160" s="419">
        <v>40000</v>
      </c>
      <c r="D160" s="442"/>
      <c r="E160" s="459">
        <f>+'ต.ค.-ธ.ค.'!E161+'ม.ค.-มี.ค.'!E160+'เม.ย.-มิ.ย.'!E160+'ก.ค.-ก.ย.'!E160</f>
        <v>0</v>
      </c>
      <c r="F160" s="459">
        <f>+'ต.ค.-ธ.ค.'!F161+'ม.ค.-มี.ค.'!F160+'เม.ย.-มิ.ย.'!F160+'ก.ค.-ก.ย.'!F160</f>
        <v>0</v>
      </c>
      <c r="G160" s="459">
        <f>+'ต.ค.-ธ.ค.'!G161+'ม.ค.-มี.ค.'!G160+'เม.ย.-มิ.ย.'!G160+'ก.ค.-ก.ย.'!G160</f>
        <v>0</v>
      </c>
      <c r="H160" s="459">
        <f>+'ต.ค.-ธ.ค.'!H161+'ม.ค.-มี.ค.'!H160+'เม.ย.-มิ.ย.'!H160+'ก.ค.-ก.ย.'!H160</f>
        <v>0</v>
      </c>
      <c r="I160" s="459">
        <f>+'ต.ค.-ธ.ค.'!I161+'ม.ค.-มี.ค.'!I160+'เม.ย.-มิ.ย.'!I160+'ก.ค.-ก.ย.'!I160</f>
        <v>0</v>
      </c>
      <c r="J160" s="459">
        <f>+'ต.ค.-ธ.ค.'!J161+'ม.ค.-มี.ค.'!J160+'เม.ย.-มิ.ย.'!J160+'ก.ค.-ก.ย.'!J160</f>
        <v>0</v>
      </c>
      <c r="K160" s="459">
        <f>+'ต.ค.-ธ.ค.'!K161+'ม.ค.-มี.ค.'!K160+'เม.ย.-มิ.ย.'!K160+'ก.ค.-ก.ย.'!K160</f>
        <v>0</v>
      </c>
      <c r="L160" s="459">
        <f>+'ต.ค.-ธ.ค.'!L161+'ม.ค.-มี.ค.'!L160+'เม.ย.-มิ.ย.'!L160+'ก.ค.-ก.ย.'!L160</f>
        <v>0</v>
      </c>
      <c r="M160" s="459">
        <f>+'ต.ค.-ธ.ค.'!M161+'ม.ค.-มี.ค.'!M160+'เม.ย.-มิ.ย.'!M160+'ก.ค.-ก.ย.'!M160</f>
        <v>0</v>
      </c>
      <c r="N160" s="459">
        <f>+'ต.ค.-ธ.ค.'!N161+'ม.ค.-มี.ค.'!N160+'เม.ย.-มิ.ย.'!N160+'ก.ค.-ก.ย.'!N160</f>
        <v>0</v>
      </c>
      <c r="O160" s="459">
        <f>+'ต.ค.-ธ.ค.'!O161+'ม.ค.-มี.ค.'!O160+'เม.ย.-มิ.ย.'!O160+'ก.ค.-ก.ย.'!O160</f>
        <v>0</v>
      </c>
      <c r="P160" s="459">
        <f>+'ต.ค.-ธ.ค.'!P161+'ม.ค.-มี.ค.'!P160+'เม.ย.-มิ.ย.'!P160+'ก.ค.-ก.ย.'!P160</f>
        <v>0</v>
      </c>
      <c r="Q160" s="459">
        <f>+'ต.ค.-ธ.ค.'!Q161+'ม.ค.-มี.ค.'!Q160+'เม.ย.-มิ.ย.'!Q160+'ก.ค.-ก.ย.'!Q160</f>
        <v>0</v>
      </c>
      <c r="R160" s="459">
        <f>+'ต.ค.-ธ.ค.'!R161+'ม.ค.-มี.ค.'!R160+'เม.ย.-มิ.ย.'!R160+'ก.ค.-ก.ย.'!R160</f>
        <v>0</v>
      </c>
      <c r="S160" s="459">
        <f>+'ต.ค.-ธ.ค.'!S161+'ม.ค.-มี.ค.'!S160+'เม.ย.-มิ.ย.'!S160+'ก.ค.-ก.ย.'!S160</f>
        <v>40000</v>
      </c>
      <c r="T160" s="459">
        <f>+'ต.ค.-ธ.ค.'!T161+'ม.ค.-มี.ค.'!T160+'เม.ย.-มิ.ย.'!T160+'ก.ค.-ก.ย.'!T160</f>
        <v>0</v>
      </c>
      <c r="U160" s="459">
        <f>+'ต.ค.-ธ.ค.'!U161+'ม.ค.-มี.ค.'!U160+'เม.ย.-มิ.ย.'!U160+'ก.ค.-ก.ย.'!U160</f>
        <v>0</v>
      </c>
      <c r="V160" s="459">
        <f>+'ต.ค.-ธ.ค.'!V161+'ม.ค.-มี.ค.'!V160+'เม.ย.-มิ.ย.'!V160+'ก.ค.-ก.ย.'!V160</f>
        <v>0</v>
      </c>
      <c r="W160" s="579"/>
      <c r="X160" s="364"/>
    </row>
    <row r="161" spans="1:24" s="310" customFormat="1" ht="25.5" customHeight="1">
      <c r="A161" s="9"/>
      <c r="B161" s="187" t="s">
        <v>266</v>
      </c>
      <c r="C161" s="419">
        <v>15000</v>
      </c>
      <c r="D161" s="442"/>
      <c r="E161" s="459">
        <f>+'ต.ค.-ธ.ค.'!E162+'ม.ค.-มี.ค.'!E161+'เม.ย.-มิ.ย.'!E161+'ก.ค.-ก.ย.'!E161</f>
        <v>0</v>
      </c>
      <c r="F161" s="459">
        <f>+'ต.ค.-ธ.ค.'!F162+'ม.ค.-มี.ค.'!F161+'เม.ย.-มิ.ย.'!F161+'ก.ค.-ก.ย.'!F161</f>
        <v>0</v>
      </c>
      <c r="G161" s="459">
        <f>+'ต.ค.-ธ.ค.'!G162+'ม.ค.-มี.ค.'!G161+'เม.ย.-มิ.ย.'!G161+'ก.ค.-ก.ย.'!G161</f>
        <v>0</v>
      </c>
      <c r="H161" s="459">
        <f>+'ต.ค.-ธ.ค.'!H162+'ม.ค.-มี.ค.'!H161+'เม.ย.-มิ.ย.'!H161+'ก.ค.-ก.ย.'!H161</f>
        <v>0</v>
      </c>
      <c r="I161" s="459">
        <f>+'ต.ค.-ธ.ค.'!I162+'ม.ค.-มี.ค.'!I161+'เม.ย.-มิ.ย.'!I161+'ก.ค.-ก.ย.'!I161</f>
        <v>0</v>
      </c>
      <c r="J161" s="459">
        <f>+'ต.ค.-ธ.ค.'!J162+'ม.ค.-มี.ค.'!J161+'เม.ย.-มิ.ย.'!J161+'ก.ค.-ก.ย.'!J161</f>
        <v>0</v>
      </c>
      <c r="K161" s="459">
        <f>+'ต.ค.-ธ.ค.'!K162+'ม.ค.-มี.ค.'!K161+'เม.ย.-มิ.ย.'!K161+'ก.ค.-ก.ย.'!K161</f>
        <v>0</v>
      </c>
      <c r="L161" s="459">
        <f>+'ต.ค.-ธ.ค.'!L162+'ม.ค.-มี.ค.'!L161+'เม.ย.-มิ.ย.'!L161+'ก.ค.-ก.ย.'!L161</f>
        <v>0</v>
      </c>
      <c r="M161" s="459">
        <f>+'ต.ค.-ธ.ค.'!M162+'ม.ค.-มี.ค.'!M161+'เม.ย.-มิ.ย.'!M161+'ก.ค.-ก.ย.'!M161</f>
        <v>0</v>
      </c>
      <c r="N161" s="459">
        <f>+'ต.ค.-ธ.ค.'!N162+'ม.ค.-มี.ค.'!N161+'เม.ย.-มิ.ย.'!N161+'ก.ค.-ก.ย.'!N161</f>
        <v>0</v>
      </c>
      <c r="O161" s="459">
        <f>+'ต.ค.-ธ.ค.'!O162+'ม.ค.-มี.ค.'!O161+'เม.ย.-มิ.ย.'!O161+'ก.ค.-ก.ย.'!O161</f>
        <v>0</v>
      </c>
      <c r="P161" s="459">
        <f>+'ต.ค.-ธ.ค.'!P162+'ม.ค.-มี.ค.'!P161+'เม.ย.-มิ.ย.'!P161+'ก.ค.-ก.ย.'!P161</f>
        <v>0</v>
      </c>
      <c r="Q161" s="459">
        <f>+'ต.ค.-ธ.ค.'!Q162+'ม.ค.-มี.ค.'!Q161+'เม.ย.-มิ.ย.'!Q161+'ก.ค.-ก.ย.'!Q161</f>
        <v>0</v>
      </c>
      <c r="R161" s="459">
        <f>+'ต.ค.-ธ.ค.'!R162+'ม.ค.-มี.ค.'!R161+'เม.ย.-มิ.ย.'!R161+'ก.ค.-ก.ย.'!R161</f>
        <v>0</v>
      </c>
      <c r="S161" s="459">
        <f>+'ต.ค.-ธ.ค.'!S162+'ม.ค.-มี.ค.'!S161+'เม.ย.-มิ.ย.'!S161+'ก.ค.-ก.ย.'!S161</f>
        <v>14984</v>
      </c>
      <c r="T161" s="459">
        <f>+'ต.ค.-ธ.ค.'!T162+'ม.ค.-มี.ค.'!T161+'เม.ย.-มิ.ย.'!T161+'ก.ค.-ก.ย.'!T161</f>
        <v>0</v>
      </c>
      <c r="U161" s="459">
        <f>+'ต.ค.-ธ.ค.'!U162+'ม.ค.-มี.ค.'!U161+'เม.ย.-มิ.ย.'!U161+'ก.ค.-ก.ย.'!U161</f>
        <v>0</v>
      </c>
      <c r="V161" s="459">
        <f>+'ต.ค.-ธ.ค.'!V162+'ม.ค.-มี.ค.'!V161+'เม.ย.-มิ.ย.'!V161+'ก.ค.-ก.ย.'!V161</f>
        <v>0</v>
      </c>
      <c r="W161" s="579"/>
      <c r="X161" s="364"/>
    </row>
    <row r="162" spans="1:24" s="310" customFormat="1" ht="25.5" customHeight="1">
      <c r="A162" s="9"/>
      <c r="B162" s="187" t="s">
        <v>372</v>
      </c>
      <c r="C162" s="419">
        <v>65000</v>
      </c>
      <c r="D162" s="442"/>
      <c r="E162" s="459">
        <f>+'ต.ค.-ธ.ค.'!E163+'ม.ค.-มี.ค.'!E162+'เม.ย.-มิ.ย.'!E162+'ก.ค.-ก.ย.'!E162</f>
        <v>0</v>
      </c>
      <c r="F162" s="459">
        <f>+'ต.ค.-ธ.ค.'!F163+'ม.ค.-มี.ค.'!F162+'เม.ย.-มิ.ย.'!F162+'ก.ค.-ก.ย.'!F162</f>
        <v>0</v>
      </c>
      <c r="G162" s="459">
        <f>+'ต.ค.-ธ.ค.'!G163+'ม.ค.-มี.ค.'!G162+'เม.ย.-มิ.ย.'!G162+'ก.ค.-ก.ย.'!G162</f>
        <v>0</v>
      </c>
      <c r="H162" s="459">
        <f>+'ต.ค.-ธ.ค.'!H163+'ม.ค.-มี.ค.'!H162+'เม.ย.-มิ.ย.'!H162+'ก.ค.-ก.ย.'!H162</f>
        <v>0</v>
      </c>
      <c r="I162" s="459">
        <f>+'ต.ค.-ธ.ค.'!I163+'ม.ค.-มี.ค.'!I162+'เม.ย.-มิ.ย.'!I162+'ก.ค.-ก.ย.'!I162</f>
        <v>0</v>
      </c>
      <c r="J162" s="459">
        <f>+'ต.ค.-ธ.ค.'!J163+'ม.ค.-มี.ค.'!J162+'เม.ย.-มิ.ย.'!J162+'ก.ค.-ก.ย.'!J162</f>
        <v>0</v>
      </c>
      <c r="K162" s="459">
        <f>+'ต.ค.-ธ.ค.'!K163+'ม.ค.-มี.ค.'!K162+'เม.ย.-มิ.ย.'!K162+'ก.ค.-ก.ย.'!K162</f>
        <v>0</v>
      </c>
      <c r="L162" s="459">
        <f>+'ต.ค.-ธ.ค.'!L163+'ม.ค.-มี.ค.'!L162+'เม.ย.-มิ.ย.'!L162+'ก.ค.-ก.ย.'!L162</f>
        <v>0</v>
      </c>
      <c r="M162" s="459">
        <f>+'ต.ค.-ธ.ค.'!M163+'ม.ค.-มี.ค.'!M162+'เม.ย.-มิ.ย.'!M162+'ก.ค.-ก.ย.'!M162</f>
        <v>0</v>
      </c>
      <c r="N162" s="459">
        <f>+'ต.ค.-ธ.ค.'!N163+'ม.ค.-มี.ค.'!N162+'เม.ย.-มิ.ย.'!N162+'ก.ค.-ก.ย.'!N162</f>
        <v>0</v>
      </c>
      <c r="O162" s="459">
        <f>+'ต.ค.-ธ.ค.'!O163+'ม.ค.-มี.ค.'!O162+'เม.ย.-มิ.ย.'!O162+'ก.ค.-ก.ย.'!O162</f>
        <v>0</v>
      </c>
      <c r="P162" s="459">
        <f>+'ต.ค.-ธ.ค.'!P163+'ม.ค.-มี.ค.'!P162+'เม.ย.-มิ.ย.'!P162+'ก.ค.-ก.ย.'!P162</f>
        <v>0</v>
      </c>
      <c r="Q162" s="459">
        <f>+'ต.ค.-ธ.ค.'!Q163+'ม.ค.-มี.ค.'!Q162+'เม.ย.-มิ.ย.'!Q162+'ก.ค.-ก.ย.'!Q162</f>
        <v>0</v>
      </c>
      <c r="R162" s="459">
        <f>+'ต.ค.-ธ.ค.'!R163+'ม.ค.-มี.ค.'!R162+'เม.ย.-มิ.ย.'!R162+'ก.ค.-ก.ย.'!R162</f>
        <v>0</v>
      </c>
      <c r="S162" s="459">
        <f>+'ต.ค.-ธ.ค.'!S163+'ม.ค.-มี.ค.'!S162+'เม.ย.-มิ.ย.'!S162+'ก.ค.-ก.ย.'!S162</f>
        <v>64980</v>
      </c>
      <c r="T162" s="459">
        <f>+'ต.ค.-ธ.ค.'!T163+'ม.ค.-มี.ค.'!T162+'เม.ย.-มิ.ย.'!T162+'ก.ค.-ก.ย.'!T162</f>
        <v>0</v>
      </c>
      <c r="U162" s="459">
        <f>+'ต.ค.-ธ.ค.'!U163+'ม.ค.-มี.ค.'!U162+'เม.ย.-มิ.ย.'!U162+'ก.ค.-ก.ย.'!U162</f>
        <v>0</v>
      </c>
      <c r="V162" s="459">
        <f>+'ต.ค.-ธ.ค.'!V163+'ม.ค.-มี.ค.'!V162+'เม.ย.-มิ.ย.'!V162+'ก.ค.-ก.ย.'!V162</f>
        <v>0</v>
      </c>
      <c r="W162" s="579"/>
      <c r="X162" s="364"/>
    </row>
    <row r="163" spans="1:24" ht="25.5" customHeight="1">
      <c r="A163" s="9"/>
      <c r="B163" s="187" t="s">
        <v>373</v>
      </c>
      <c r="C163" s="419">
        <f>65000-65000</f>
        <v>0</v>
      </c>
      <c r="D163" s="442"/>
      <c r="E163" s="459">
        <f>+'ต.ค.-ธ.ค.'!E164+'ม.ค.-มี.ค.'!E163+'เม.ย.-มิ.ย.'!E163+'ก.ค.-ก.ย.'!E163</f>
        <v>0</v>
      </c>
      <c r="F163" s="459">
        <f>+'ต.ค.-ธ.ค.'!F164+'ม.ค.-มี.ค.'!F163+'เม.ย.-มิ.ย.'!F163+'ก.ค.-ก.ย.'!F163</f>
        <v>0</v>
      </c>
      <c r="G163" s="459">
        <f>+'ต.ค.-ธ.ค.'!G164+'ม.ค.-มี.ค.'!G163+'เม.ย.-มิ.ย.'!G163+'ก.ค.-ก.ย.'!G163</f>
        <v>0</v>
      </c>
      <c r="H163" s="459">
        <f>+'ต.ค.-ธ.ค.'!H164+'ม.ค.-มี.ค.'!H163+'เม.ย.-มิ.ย.'!H163+'ก.ค.-ก.ย.'!H163</f>
        <v>0</v>
      </c>
      <c r="I163" s="459">
        <f>+'ต.ค.-ธ.ค.'!I164+'ม.ค.-มี.ค.'!I163+'เม.ย.-มิ.ย.'!I163+'ก.ค.-ก.ย.'!I163</f>
        <v>0</v>
      </c>
      <c r="J163" s="459">
        <f>+'ต.ค.-ธ.ค.'!J164+'ม.ค.-มี.ค.'!J163+'เม.ย.-มิ.ย.'!J163+'ก.ค.-ก.ย.'!J163</f>
        <v>0</v>
      </c>
      <c r="K163" s="459">
        <f>+'ต.ค.-ธ.ค.'!K164+'ม.ค.-มี.ค.'!K163+'เม.ย.-มิ.ย.'!K163+'ก.ค.-ก.ย.'!K163</f>
        <v>0</v>
      </c>
      <c r="L163" s="459">
        <f>+'ต.ค.-ธ.ค.'!L164+'ม.ค.-มี.ค.'!L163+'เม.ย.-มิ.ย.'!L163+'ก.ค.-ก.ย.'!L163</f>
        <v>0</v>
      </c>
      <c r="M163" s="459">
        <f>+'ต.ค.-ธ.ค.'!M164+'ม.ค.-มี.ค.'!M163+'เม.ย.-มิ.ย.'!M163+'ก.ค.-ก.ย.'!M163</f>
        <v>0</v>
      </c>
      <c r="N163" s="459">
        <f>+'ต.ค.-ธ.ค.'!N164+'ม.ค.-มี.ค.'!N163+'เม.ย.-มิ.ย.'!N163+'ก.ค.-ก.ย.'!N163</f>
        <v>0</v>
      </c>
      <c r="O163" s="459">
        <f>+'ต.ค.-ธ.ค.'!O164+'ม.ค.-มี.ค.'!O163+'เม.ย.-มิ.ย.'!O163+'ก.ค.-ก.ย.'!O163</f>
        <v>0</v>
      </c>
      <c r="P163" s="459">
        <f>+'ต.ค.-ธ.ค.'!P164+'ม.ค.-มี.ค.'!P163+'เม.ย.-มิ.ย.'!P163+'ก.ค.-ก.ย.'!P163</f>
        <v>0</v>
      </c>
      <c r="Q163" s="459">
        <f>+'ต.ค.-ธ.ค.'!Q164+'ม.ค.-มี.ค.'!Q163+'เม.ย.-มิ.ย.'!Q163+'ก.ค.-ก.ย.'!Q163</f>
        <v>0</v>
      </c>
      <c r="R163" s="459">
        <f>+'ต.ค.-ธ.ค.'!R164+'ม.ค.-มี.ค.'!R163+'เม.ย.-มิ.ย.'!R163+'ก.ค.-ก.ย.'!R163</f>
        <v>0</v>
      </c>
      <c r="S163" s="459">
        <f>+'ต.ค.-ธ.ค.'!S164+'ม.ค.-มี.ค.'!S163+'เม.ย.-มิ.ย.'!S163+'ก.ค.-ก.ย.'!S163</f>
        <v>0</v>
      </c>
      <c r="T163" s="459">
        <f>+'ต.ค.-ธ.ค.'!T164+'ม.ค.-มี.ค.'!T163+'เม.ย.-มิ.ย.'!T163+'ก.ค.-ก.ย.'!T163</f>
        <v>0</v>
      </c>
      <c r="U163" s="459">
        <f>+'ต.ค.-ธ.ค.'!U164+'ม.ค.-มี.ค.'!U163+'เม.ย.-มิ.ย.'!U163+'ก.ค.-ก.ย.'!U163</f>
        <v>0</v>
      </c>
      <c r="V163" s="459">
        <f>+'ต.ค.-ธ.ค.'!V164+'ม.ค.-มี.ค.'!V163+'เม.ย.-มิ.ย.'!V163+'ก.ค.-ก.ย.'!V163</f>
        <v>0</v>
      </c>
    </row>
    <row r="164" spans="1:24" ht="25.5" customHeight="1">
      <c r="A164" s="9"/>
      <c r="B164" s="187" t="s">
        <v>374</v>
      </c>
      <c r="C164" s="419">
        <v>20000</v>
      </c>
      <c r="D164" s="442"/>
      <c r="E164" s="459">
        <f>+'ต.ค.-ธ.ค.'!E165+'ม.ค.-มี.ค.'!E164+'เม.ย.-มิ.ย.'!E164+'ก.ค.-ก.ย.'!E164</f>
        <v>0</v>
      </c>
      <c r="F164" s="459">
        <f>+'ต.ค.-ธ.ค.'!F165+'ม.ค.-มี.ค.'!F164+'เม.ย.-มิ.ย.'!F164+'ก.ค.-ก.ย.'!F164</f>
        <v>0</v>
      </c>
      <c r="G164" s="459">
        <f>+'ต.ค.-ธ.ค.'!G165+'ม.ค.-มี.ค.'!G164+'เม.ย.-มิ.ย.'!G164+'ก.ค.-ก.ย.'!G164</f>
        <v>0</v>
      </c>
      <c r="H164" s="459">
        <f>+'ต.ค.-ธ.ค.'!H165+'ม.ค.-มี.ค.'!H164+'เม.ย.-มิ.ย.'!H164+'ก.ค.-ก.ย.'!H164</f>
        <v>0</v>
      </c>
      <c r="I164" s="459">
        <f>+'ต.ค.-ธ.ค.'!I165+'ม.ค.-มี.ค.'!I164+'เม.ย.-มิ.ย.'!I164+'ก.ค.-ก.ย.'!I164</f>
        <v>0</v>
      </c>
      <c r="J164" s="459">
        <f>+'ต.ค.-ธ.ค.'!J165+'ม.ค.-มี.ค.'!J164+'เม.ย.-มิ.ย.'!J164+'ก.ค.-ก.ย.'!J164</f>
        <v>0</v>
      </c>
      <c r="K164" s="459">
        <f>+'ต.ค.-ธ.ค.'!K165+'ม.ค.-มี.ค.'!K164+'เม.ย.-มิ.ย.'!K164+'ก.ค.-ก.ย.'!K164</f>
        <v>0</v>
      </c>
      <c r="L164" s="459">
        <f>+'ต.ค.-ธ.ค.'!L165+'ม.ค.-มี.ค.'!L164+'เม.ย.-มิ.ย.'!L164+'ก.ค.-ก.ย.'!L164</f>
        <v>0</v>
      </c>
      <c r="M164" s="459">
        <f>+'ต.ค.-ธ.ค.'!M165+'ม.ค.-มี.ค.'!M164+'เม.ย.-มิ.ย.'!M164+'ก.ค.-ก.ย.'!M164</f>
        <v>0</v>
      </c>
      <c r="N164" s="459">
        <f>+'ต.ค.-ธ.ค.'!N165+'ม.ค.-มี.ค.'!N164+'เม.ย.-มิ.ย.'!N164+'ก.ค.-ก.ย.'!N164</f>
        <v>0</v>
      </c>
      <c r="O164" s="459">
        <f>+'ต.ค.-ธ.ค.'!O165+'ม.ค.-มี.ค.'!O164+'เม.ย.-มิ.ย.'!O164+'ก.ค.-ก.ย.'!O164</f>
        <v>0</v>
      </c>
      <c r="P164" s="459">
        <f>+'ต.ค.-ธ.ค.'!P165+'ม.ค.-มี.ค.'!P164+'เม.ย.-มิ.ย.'!P164+'ก.ค.-ก.ย.'!P164</f>
        <v>0</v>
      </c>
      <c r="Q164" s="459">
        <f>+'ต.ค.-ธ.ค.'!Q165+'ม.ค.-มี.ค.'!Q164+'เม.ย.-มิ.ย.'!Q164+'ก.ค.-ก.ย.'!Q164</f>
        <v>0</v>
      </c>
      <c r="R164" s="459">
        <f>+'ต.ค.-ธ.ค.'!R165+'ม.ค.-มี.ค.'!R164+'เม.ย.-มิ.ย.'!R164+'ก.ค.-ก.ย.'!R164</f>
        <v>0</v>
      </c>
      <c r="S164" s="459">
        <f>+'ต.ค.-ธ.ค.'!S165+'ม.ค.-มี.ค.'!S164+'เม.ย.-มิ.ย.'!S164+'ก.ค.-ก.ย.'!S164</f>
        <v>20000</v>
      </c>
      <c r="T164" s="459">
        <f>+'ต.ค.-ธ.ค.'!T165+'ม.ค.-มี.ค.'!T164+'เม.ย.-มิ.ย.'!T164+'ก.ค.-ก.ย.'!T164</f>
        <v>0</v>
      </c>
      <c r="U164" s="459">
        <f>+'ต.ค.-ธ.ค.'!U165+'ม.ค.-มี.ค.'!U164+'เม.ย.-มิ.ย.'!U164+'ก.ค.-ก.ย.'!U164</f>
        <v>0</v>
      </c>
      <c r="V164" s="459">
        <f>+'ต.ค.-ธ.ค.'!V165+'ม.ค.-มี.ค.'!V164+'เม.ย.-มิ.ย.'!V164+'ก.ค.-ก.ย.'!V164</f>
        <v>0</v>
      </c>
    </row>
    <row r="165" spans="1:24" ht="25.5" customHeight="1">
      <c r="A165" s="9"/>
      <c r="B165" s="187" t="s">
        <v>375</v>
      </c>
      <c r="C165" s="419">
        <v>20000</v>
      </c>
      <c r="D165" s="442"/>
      <c r="E165" s="459">
        <f>+'ต.ค.-ธ.ค.'!E166+'ม.ค.-มี.ค.'!E165+'เม.ย.-มิ.ย.'!E165+'ก.ค.-ก.ย.'!E165</f>
        <v>0</v>
      </c>
      <c r="F165" s="459">
        <f>+'ต.ค.-ธ.ค.'!F166+'ม.ค.-มี.ค.'!F165+'เม.ย.-มิ.ย.'!F165+'ก.ค.-ก.ย.'!F165</f>
        <v>0</v>
      </c>
      <c r="G165" s="459">
        <f>+'ต.ค.-ธ.ค.'!G166+'ม.ค.-มี.ค.'!G165+'เม.ย.-มิ.ย.'!G165+'ก.ค.-ก.ย.'!G165</f>
        <v>0</v>
      </c>
      <c r="H165" s="459">
        <f>+'ต.ค.-ธ.ค.'!H166+'ม.ค.-มี.ค.'!H165+'เม.ย.-มิ.ย.'!H165+'ก.ค.-ก.ย.'!H165</f>
        <v>0</v>
      </c>
      <c r="I165" s="459">
        <f>+'ต.ค.-ธ.ค.'!I166+'ม.ค.-มี.ค.'!I165+'เม.ย.-มิ.ย.'!I165+'ก.ค.-ก.ย.'!I165</f>
        <v>0</v>
      </c>
      <c r="J165" s="459">
        <f>+'ต.ค.-ธ.ค.'!J166+'ม.ค.-มี.ค.'!J165+'เม.ย.-มิ.ย.'!J165+'ก.ค.-ก.ย.'!J165</f>
        <v>0</v>
      </c>
      <c r="K165" s="459">
        <f>+'ต.ค.-ธ.ค.'!K166+'ม.ค.-มี.ค.'!K165+'เม.ย.-มิ.ย.'!K165+'ก.ค.-ก.ย.'!K165</f>
        <v>0</v>
      </c>
      <c r="L165" s="459">
        <f>+'ต.ค.-ธ.ค.'!L166+'ม.ค.-มี.ค.'!L165+'เม.ย.-มิ.ย.'!L165+'ก.ค.-ก.ย.'!L165</f>
        <v>0</v>
      </c>
      <c r="M165" s="459">
        <f>+'ต.ค.-ธ.ค.'!M166+'ม.ค.-มี.ค.'!M165+'เม.ย.-มิ.ย.'!M165+'ก.ค.-ก.ย.'!M165</f>
        <v>0</v>
      </c>
      <c r="N165" s="459">
        <f>+'ต.ค.-ธ.ค.'!N166+'ม.ค.-มี.ค.'!N165+'เม.ย.-มิ.ย.'!N165+'ก.ค.-ก.ย.'!N165</f>
        <v>0</v>
      </c>
      <c r="O165" s="459">
        <f>+'ต.ค.-ธ.ค.'!O166+'ม.ค.-มี.ค.'!O165+'เม.ย.-มิ.ย.'!O165+'ก.ค.-ก.ย.'!O165</f>
        <v>0</v>
      </c>
      <c r="P165" s="459">
        <f>+'ต.ค.-ธ.ค.'!P166+'ม.ค.-มี.ค.'!P165+'เม.ย.-มิ.ย.'!P165+'ก.ค.-ก.ย.'!P165</f>
        <v>0</v>
      </c>
      <c r="Q165" s="459">
        <f>+'ต.ค.-ธ.ค.'!Q166+'ม.ค.-มี.ค.'!Q165+'เม.ย.-มิ.ย.'!Q165+'ก.ค.-ก.ย.'!Q165</f>
        <v>0</v>
      </c>
      <c r="R165" s="459">
        <f>+'ต.ค.-ธ.ค.'!R166+'ม.ค.-มี.ค.'!R165+'เม.ย.-มิ.ย.'!R165+'ก.ค.-ก.ย.'!R165</f>
        <v>0</v>
      </c>
      <c r="S165" s="459">
        <f>+'ต.ค.-ธ.ค.'!S166+'ม.ค.-มี.ค.'!S165+'เม.ย.-มิ.ย.'!S165+'ก.ค.-ก.ย.'!S165</f>
        <v>20000</v>
      </c>
      <c r="T165" s="459">
        <f>+'ต.ค.-ธ.ค.'!T166+'ม.ค.-มี.ค.'!T165+'เม.ย.-มิ.ย.'!T165+'ก.ค.-ก.ย.'!T165</f>
        <v>0</v>
      </c>
      <c r="U165" s="459">
        <f>+'ต.ค.-ธ.ค.'!U166+'ม.ค.-มี.ค.'!U165+'เม.ย.-มิ.ย.'!U165+'ก.ค.-ก.ย.'!U165</f>
        <v>0</v>
      </c>
      <c r="V165" s="459">
        <f>+'ต.ค.-ธ.ค.'!V166+'ม.ค.-มี.ค.'!V165+'เม.ย.-มิ.ย.'!V165+'ก.ค.-ก.ย.'!V165</f>
        <v>0</v>
      </c>
    </row>
    <row r="166" spans="1:24" ht="25.5" customHeight="1">
      <c r="A166" s="9"/>
      <c r="B166" s="187" t="s">
        <v>376</v>
      </c>
      <c r="C166" s="419">
        <v>25000</v>
      </c>
      <c r="D166" s="442"/>
      <c r="E166" s="459">
        <f>+'ต.ค.-ธ.ค.'!E167+'ม.ค.-มี.ค.'!E166+'เม.ย.-มิ.ย.'!E166+'ก.ค.-ก.ย.'!E166</f>
        <v>0</v>
      </c>
      <c r="F166" s="459">
        <f>+'ต.ค.-ธ.ค.'!F167+'ม.ค.-มี.ค.'!F166+'เม.ย.-มิ.ย.'!F166+'ก.ค.-ก.ย.'!F166</f>
        <v>0</v>
      </c>
      <c r="G166" s="459">
        <f>+'ต.ค.-ธ.ค.'!G167+'ม.ค.-มี.ค.'!G166+'เม.ย.-มิ.ย.'!G166+'ก.ค.-ก.ย.'!G166</f>
        <v>0</v>
      </c>
      <c r="H166" s="459">
        <f>+'ต.ค.-ธ.ค.'!H167+'ม.ค.-มี.ค.'!H166+'เม.ย.-มิ.ย.'!H166+'ก.ค.-ก.ย.'!H166</f>
        <v>0</v>
      </c>
      <c r="I166" s="459">
        <f>+'ต.ค.-ธ.ค.'!I167+'ม.ค.-มี.ค.'!I166+'เม.ย.-มิ.ย.'!I166+'ก.ค.-ก.ย.'!I166</f>
        <v>0</v>
      </c>
      <c r="J166" s="459">
        <f>+'ต.ค.-ธ.ค.'!J167+'ม.ค.-มี.ค.'!J166+'เม.ย.-มิ.ย.'!J166+'ก.ค.-ก.ย.'!J166</f>
        <v>0</v>
      </c>
      <c r="K166" s="459">
        <f>+'ต.ค.-ธ.ค.'!K167+'ม.ค.-มี.ค.'!K166+'เม.ย.-มิ.ย.'!K166+'ก.ค.-ก.ย.'!K166</f>
        <v>0</v>
      </c>
      <c r="L166" s="459">
        <f>+'ต.ค.-ธ.ค.'!L167+'ม.ค.-มี.ค.'!L166+'เม.ย.-มิ.ย.'!L166+'ก.ค.-ก.ย.'!L166</f>
        <v>0</v>
      </c>
      <c r="M166" s="459">
        <f>+'ต.ค.-ธ.ค.'!M167+'ม.ค.-มี.ค.'!M166+'เม.ย.-มิ.ย.'!M166+'ก.ค.-ก.ย.'!M166</f>
        <v>0</v>
      </c>
      <c r="N166" s="459">
        <f>+'ต.ค.-ธ.ค.'!N167+'ม.ค.-มี.ค.'!N166+'เม.ย.-มิ.ย.'!N166+'ก.ค.-ก.ย.'!N166</f>
        <v>0</v>
      </c>
      <c r="O166" s="459">
        <f>+'ต.ค.-ธ.ค.'!O167+'ม.ค.-มี.ค.'!O166+'เม.ย.-มิ.ย.'!O166+'ก.ค.-ก.ย.'!O166</f>
        <v>0</v>
      </c>
      <c r="P166" s="459">
        <f>+'ต.ค.-ธ.ค.'!P167+'ม.ค.-มี.ค.'!P166+'เม.ย.-มิ.ย.'!P166+'ก.ค.-ก.ย.'!P166</f>
        <v>0</v>
      </c>
      <c r="Q166" s="459">
        <f>+'ต.ค.-ธ.ค.'!Q167+'ม.ค.-มี.ค.'!Q166+'เม.ย.-มิ.ย.'!Q166+'ก.ค.-ก.ย.'!Q166</f>
        <v>0</v>
      </c>
      <c r="R166" s="459">
        <f>+'ต.ค.-ธ.ค.'!R167+'ม.ค.-มี.ค.'!R166+'เม.ย.-มิ.ย.'!R166+'ก.ค.-ก.ย.'!R166</f>
        <v>0</v>
      </c>
      <c r="S166" s="459">
        <f>+'ต.ค.-ธ.ค.'!S167+'ม.ค.-มี.ค.'!S166+'เม.ย.-มิ.ย.'!S166+'ก.ค.-ก.ย.'!S166</f>
        <v>0</v>
      </c>
      <c r="T166" s="459">
        <f>+'ต.ค.-ธ.ค.'!T167+'ม.ค.-มี.ค.'!T166+'เม.ย.-มิ.ย.'!T166+'ก.ค.-ก.ย.'!T166</f>
        <v>0</v>
      </c>
      <c r="U166" s="459">
        <f>+'ต.ค.-ธ.ค.'!U167+'ม.ค.-มี.ค.'!U166+'เม.ย.-มิ.ย.'!U166+'ก.ค.-ก.ย.'!U166</f>
        <v>0</v>
      </c>
      <c r="V166" s="459">
        <f>+'ต.ค.-ธ.ค.'!V167+'ม.ค.-มี.ค.'!V166+'เม.ย.-มิ.ย.'!V166+'ก.ค.-ก.ย.'!V166</f>
        <v>0</v>
      </c>
    </row>
    <row r="167" spans="1:24" ht="25.5" customHeight="1">
      <c r="A167" s="9"/>
      <c r="B167" s="187" t="s">
        <v>377</v>
      </c>
      <c r="C167" s="419">
        <v>20000</v>
      </c>
      <c r="D167" s="442"/>
      <c r="E167" s="459">
        <f>+'ต.ค.-ธ.ค.'!E168+'ม.ค.-มี.ค.'!E167+'เม.ย.-มิ.ย.'!E167+'ก.ค.-ก.ย.'!E167</f>
        <v>0</v>
      </c>
      <c r="F167" s="459">
        <f>+'ต.ค.-ธ.ค.'!F168+'ม.ค.-มี.ค.'!F167+'เม.ย.-มิ.ย.'!F167+'ก.ค.-ก.ย.'!F167</f>
        <v>0</v>
      </c>
      <c r="G167" s="459">
        <f>+'ต.ค.-ธ.ค.'!G168+'ม.ค.-มี.ค.'!G167+'เม.ย.-มิ.ย.'!G167+'ก.ค.-ก.ย.'!G167</f>
        <v>0</v>
      </c>
      <c r="H167" s="459">
        <f>+'ต.ค.-ธ.ค.'!H168+'ม.ค.-มี.ค.'!H167+'เม.ย.-มิ.ย.'!H167+'ก.ค.-ก.ย.'!H167</f>
        <v>0</v>
      </c>
      <c r="I167" s="459">
        <f>+'ต.ค.-ธ.ค.'!I168+'ม.ค.-มี.ค.'!I167+'เม.ย.-มิ.ย.'!I167+'ก.ค.-ก.ย.'!I167</f>
        <v>0</v>
      </c>
      <c r="J167" s="459">
        <f>+'ต.ค.-ธ.ค.'!J168+'ม.ค.-มี.ค.'!J167+'เม.ย.-มิ.ย.'!J167+'ก.ค.-ก.ย.'!J167</f>
        <v>0</v>
      </c>
      <c r="K167" s="459">
        <f>+'ต.ค.-ธ.ค.'!K168+'ม.ค.-มี.ค.'!K167+'เม.ย.-มิ.ย.'!K167+'ก.ค.-ก.ย.'!K167</f>
        <v>0</v>
      </c>
      <c r="L167" s="459">
        <f>+'ต.ค.-ธ.ค.'!L168+'ม.ค.-มี.ค.'!L167+'เม.ย.-มิ.ย.'!L167+'ก.ค.-ก.ย.'!L167</f>
        <v>0</v>
      </c>
      <c r="M167" s="459">
        <f>+'ต.ค.-ธ.ค.'!M168+'ม.ค.-มี.ค.'!M167+'เม.ย.-มิ.ย.'!M167+'ก.ค.-ก.ย.'!M167</f>
        <v>0</v>
      </c>
      <c r="N167" s="459">
        <f>+'ต.ค.-ธ.ค.'!N168+'ม.ค.-มี.ค.'!N167+'เม.ย.-มิ.ย.'!N167+'ก.ค.-ก.ย.'!N167</f>
        <v>0</v>
      </c>
      <c r="O167" s="459">
        <f>+'ต.ค.-ธ.ค.'!O168+'ม.ค.-มี.ค.'!O167+'เม.ย.-มิ.ย.'!O167+'ก.ค.-ก.ย.'!O167</f>
        <v>0</v>
      </c>
      <c r="P167" s="459">
        <f>+'ต.ค.-ธ.ค.'!P168+'ม.ค.-มี.ค.'!P167+'เม.ย.-มิ.ย.'!P167+'ก.ค.-ก.ย.'!P167</f>
        <v>0</v>
      </c>
      <c r="Q167" s="459">
        <f>+'ต.ค.-ธ.ค.'!Q168+'ม.ค.-มี.ค.'!Q167+'เม.ย.-มิ.ย.'!Q167+'ก.ค.-ก.ย.'!Q167</f>
        <v>0</v>
      </c>
      <c r="R167" s="459">
        <f>+'ต.ค.-ธ.ค.'!R168+'ม.ค.-มี.ค.'!R167+'เม.ย.-มิ.ย.'!R167+'ก.ค.-ก.ย.'!R167</f>
        <v>0</v>
      </c>
      <c r="S167" s="459">
        <f>+'ต.ค.-ธ.ค.'!S168+'ม.ค.-มี.ค.'!S167+'เม.ย.-มิ.ย.'!S167+'ก.ค.-ก.ย.'!S167</f>
        <v>0</v>
      </c>
      <c r="T167" s="459">
        <f>+'ต.ค.-ธ.ค.'!T168+'ม.ค.-มี.ค.'!T167+'เม.ย.-มิ.ย.'!T167+'ก.ค.-ก.ย.'!T167</f>
        <v>18000</v>
      </c>
      <c r="U167" s="459">
        <f>+'ต.ค.-ธ.ค.'!U168+'ม.ค.-มี.ค.'!U167+'เม.ย.-มิ.ย.'!U167+'ก.ค.-ก.ย.'!U167</f>
        <v>0</v>
      </c>
      <c r="V167" s="459">
        <f>+'ต.ค.-ธ.ค.'!V168+'ม.ค.-มี.ค.'!V167+'เม.ย.-มิ.ย.'!V167+'ก.ค.-ก.ย.'!V167</f>
        <v>0</v>
      </c>
    </row>
    <row r="168" spans="1:24" ht="25.5" customHeight="1">
      <c r="A168" s="9"/>
      <c r="B168" s="187" t="s">
        <v>267</v>
      </c>
      <c r="C168" s="419">
        <v>15000</v>
      </c>
      <c r="D168" s="442"/>
      <c r="E168" s="459">
        <f>+'ต.ค.-ธ.ค.'!E169+'ม.ค.-มี.ค.'!E168+'เม.ย.-มิ.ย.'!E168+'ก.ค.-ก.ย.'!E168</f>
        <v>0</v>
      </c>
      <c r="F168" s="459">
        <f>+'ต.ค.-ธ.ค.'!F169+'ม.ค.-มี.ค.'!F168+'เม.ย.-มิ.ย.'!F168+'ก.ค.-ก.ย.'!F168</f>
        <v>0</v>
      </c>
      <c r="G168" s="459">
        <f>+'ต.ค.-ธ.ค.'!G169+'ม.ค.-มี.ค.'!G168+'เม.ย.-มิ.ย.'!G168+'ก.ค.-ก.ย.'!G168</f>
        <v>0</v>
      </c>
      <c r="H168" s="459">
        <f>+'ต.ค.-ธ.ค.'!H169+'ม.ค.-มี.ค.'!H168+'เม.ย.-มิ.ย.'!H168+'ก.ค.-ก.ย.'!H168</f>
        <v>0</v>
      </c>
      <c r="I168" s="459">
        <f>+'ต.ค.-ธ.ค.'!I169+'ม.ค.-มี.ค.'!I168+'เม.ย.-มิ.ย.'!I168+'ก.ค.-ก.ย.'!I168</f>
        <v>0</v>
      </c>
      <c r="J168" s="459">
        <f>+'ต.ค.-ธ.ค.'!J169+'ม.ค.-มี.ค.'!J168+'เม.ย.-มิ.ย.'!J168+'ก.ค.-ก.ย.'!J168</f>
        <v>0</v>
      </c>
      <c r="K168" s="459">
        <f>+'ต.ค.-ธ.ค.'!K169+'ม.ค.-มี.ค.'!K168+'เม.ย.-มิ.ย.'!K168+'ก.ค.-ก.ย.'!K168</f>
        <v>0</v>
      </c>
      <c r="L168" s="459">
        <f>+'ต.ค.-ธ.ค.'!L169+'ม.ค.-มี.ค.'!L168+'เม.ย.-มิ.ย.'!L168+'ก.ค.-ก.ย.'!L168</f>
        <v>0</v>
      </c>
      <c r="M168" s="459">
        <f>+'ต.ค.-ธ.ค.'!M169+'ม.ค.-มี.ค.'!M168+'เม.ย.-มิ.ย.'!M168+'ก.ค.-ก.ย.'!M168</f>
        <v>0</v>
      </c>
      <c r="N168" s="459">
        <f>+'ต.ค.-ธ.ค.'!N169+'ม.ค.-มี.ค.'!N168+'เม.ย.-มิ.ย.'!N168+'ก.ค.-ก.ย.'!N168</f>
        <v>0</v>
      </c>
      <c r="O168" s="459">
        <f>+'ต.ค.-ธ.ค.'!O169+'ม.ค.-มี.ค.'!O168+'เม.ย.-มิ.ย.'!O168+'ก.ค.-ก.ย.'!O168</f>
        <v>0</v>
      </c>
      <c r="P168" s="459">
        <f>+'ต.ค.-ธ.ค.'!P169+'ม.ค.-มี.ค.'!P168+'เม.ย.-มิ.ย.'!P168+'ก.ค.-ก.ย.'!P168</f>
        <v>0</v>
      </c>
      <c r="Q168" s="459">
        <f>+'ต.ค.-ธ.ค.'!Q169+'ม.ค.-มี.ค.'!Q168+'เม.ย.-มิ.ย.'!Q168+'ก.ค.-ก.ย.'!Q168</f>
        <v>0</v>
      </c>
      <c r="R168" s="459">
        <f>+'ต.ค.-ธ.ค.'!R169+'ม.ค.-มี.ค.'!R168+'เม.ย.-มิ.ย.'!R168+'ก.ค.-ก.ย.'!R168</f>
        <v>0</v>
      </c>
      <c r="S168" s="459">
        <f>+'ต.ค.-ธ.ค.'!S169+'ม.ค.-มี.ค.'!S168+'เม.ย.-มิ.ย.'!S168+'ก.ค.-ก.ย.'!S168</f>
        <v>0</v>
      </c>
      <c r="T168" s="459">
        <f>+'ต.ค.-ธ.ค.'!T169+'ม.ค.-มี.ค.'!T168+'เม.ย.-มิ.ย.'!T168+'ก.ค.-ก.ย.'!T168</f>
        <v>0</v>
      </c>
      <c r="U168" s="459">
        <f>+'ต.ค.-ธ.ค.'!U169+'ม.ค.-มี.ค.'!U168+'เม.ย.-มิ.ย.'!U168+'ก.ค.-ก.ย.'!U168</f>
        <v>0</v>
      </c>
      <c r="V168" s="459">
        <f>+'ต.ค.-ธ.ค.'!V169+'ม.ค.-มี.ค.'!V168+'เม.ย.-มิ.ย.'!V168+'ก.ค.-ก.ย.'!V168</f>
        <v>0</v>
      </c>
    </row>
    <row r="169" spans="1:24" ht="25.5" customHeight="1">
      <c r="A169" s="9"/>
      <c r="B169" s="187" t="s">
        <v>215</v>
      </c>
      <c r="C169" s="419">
        <v>10000</v>
      </c>
      <c r="D169" s="442"/>
      <c r="E169" s="459">
        <f>+'ต.ค.-ธ.ค.'!E170+'ม.ค.-มี.ค.'!E169+'เม.ย.-มิ.ย.'!E169+'ก.ค.-ก.ย.'!E169</f>
        <v>0</v>
      </c>
      <c r="F169" s="459">
        <f>+'ต.ค.-ธ.ค.'!F170+'ม.ค.-มี.ค.'!F169+'เม.ย.-มิ.ย.'!F169+'ก.ค.-ก.ย.'!F169</f>
        <v>0</v>
      </c>
      <c r="G169" s="459">
        <f>+'ต.ค.-ธ.ค.'!G170+'ม.ค.-มี.ค.'!G169+'เม.ย.-มิ.ย.'!G169+'ก.ค.-ก.ย.'!G169</f>
        <v>0</v>
      </c>
      <c r="H169" s="459">
        <f>+'ต.ค.-ธ.ค.'!H170+'ม.ค.-มี.ค.'!H169+'เม.ย.-มิ.ย.'!H169+'ก.ค.-ก.ย.'!H169</f>
        <v>0</v>
      </c>
      <c r="I169" s="459">
        <f>+'ต.ค.-ธ.ค.'!I170+'ม.ค.-มี.ค.'!I169+'เม.ย.-มิ.ย.'!I169+'ก.ค.-ก.ย.'!I169</f>
        <v>0</v>
      </c>
      <c r="J169" s="459">
        <f>+'ต.ค.-ธ.ค.'!J170+'ม.ค.-มี.ค.'!J169+'เม.ย.-มิ.ย.'!J169+'ก.ค.-ก.ย.'!J169</f>
        <v>0</v>
      </c>
      <c r="K169" s="459">
        <f>+'ต.ค.-ธ.ค.'!K170+'ม.ค.-มี.ค.'!K169+'เม.ย.-มิ.ย.'!K169+'ก.ค.-ก.ย.'!K169</f>
        <v>0</v>
      </c>
      <c r="L169" s="459">
        <f>+'ต.ค.-ธ.ค.'!L170+'ม.ค.-มี.ค.'!L169+'เม.ย.-มิ.ย.'!L169+'ก.ค.-ก.ย.'!L169</f>
        <v>0</v>
      </c>
      <c r="M169" s="459">
        <f>+'ต.ค.-ธ.ค.'!M170+'ม.ค.-มี.ค.'!M169+'เม.ย.-มิ.ย.'!M169+'ก.ค.-ก.ย.'!M169</f>
        <v>0</v>
      </c>
      <c r="N169" s="459">
        <f>+'ต.ค.-ธ.ค.'!N170+'ม.ค.-มี.ค.'!N169+'เม.ย.-มิ.ย.'!N169+'ก.ค.-ก.ย.'!N169</f>
        <v>0</v>
      </c>
      <c r="O169" s="459">
        <f>+'ต.ค.-ธ.ค.'!O170+'ม.ค.-มี.ค.'!O169+'เม.ย.-มิ.ย.'!O169+'ก.ค.-ก.ย.'!O169</f>
        <v>0</v>
      </c>
      <c r="P169" s="459">
        <f>+'ต.ค.-ธ.ค.'!P170+'ม.ค.-มี.ค.'!P169+'เม.ย.-มิ.ย.'!P169+'ก.ค.-ก.ย.'!P169</f>
        <v>0</v>
      </c>
      <c r="Q169" s="459">
        <f>+'ต.ค.-ธ.ค.'!Q170+'ม.ค.-มี.ค.'!Q169+'เม.ย.-มิ.ย.'!Q169+'ก.ค.-ก.ย.'!Q169</f>
        <v>0</v>
      </c>
      <c r="R169" s="459">
        <f>+'ต.ค.-ธ.ค.'!R170+'ม.ค.-มี.ค.'!R169+'เม.ย.-มิ.ย.'!R169+'ก.ค.-ก.ย.'!R169</f>
        <v>0</v>
      </c>
      <c r="S169" s="459">
        <f>+'ต.ค.-ธ.ค.'!S170+'ม.ค.-มี.ค.'!S169+'เม.ย.-มิ.ย.'!S169+'ก.ค.-ก.ย.'!S169</f>
        <v>0</v>
      </c>
      <c r="T169" s="459">
        <f>+'ต.ค.-ธ.ค.'!T170+'ม.ค.-มี.ค.'!T169+'เม.ย.-มิ.ย.'!T169+'ก.ค.-ก.ย.'!T169</f>
        <v>0</v>
      </c>
      <c r="U169" s="459">
        <f>+'ต.ค.-ธ.ค.'!U170+'ม.ค.-มี.ค.'!U169+'เม.ย.-มิ.ย.'!U169+'ก.ค.-ก.ย.'!U169</f>
        <v>0</v>
      </c>
      <c r="V169" s="459">
        <f>+'ต.ค.-ธ.ค.'!V170+'ม.ค.-มี.ค.'!V169+'เม.ย.-มิ.ย.'!V169+'ก.ค.-ก.ย.'!V169</f>
        <v>10000</v>
      </c>
    </row>
    <row r="170" spans="1:24" ht="25.5" customHeight="1">
      <c r="A170" s="9"/>
      <c r="B170" s="187" t="s">
        <v>268</v>
      </c>
      <c r="C170" s="419">
        <v>5000</v>
      </c>
      <c r="D170" s="442"/>
      <c r="E170" s="459">
        <f>+'ต.ค.-ธ.ค.'!E171+'ม.ค.-มี.ค.'!E170+'เม.ย.-มิ.ย.'!E170+'ก.ค.-ก.ย.'!E170</f>
        <v>0</v>
      </c>
      <c r="F170" s="459">
        <f>+'ต.ค.-ธ.ค.'!F171+'ม.ค.-มี.ค.'!F170+'เม.ย.-มิ.ย.'!F170+'ก.ค.-ก.ย.'!F170</f>
        <v>0</v>
      </c>
      <c r="G170" s="459">
        <f>+'ต.ค.-ธ.ค.'!G171+'ม.ค.-มี.ค.'!G170+'เม.ย.-มิ.ย.'!G170+'ก.ค.-ก.ย.'!G170</f>
        <v>0</v>
      </c>
      <c r="H170" s="459">
        <f>+'ต.ค.-ธ.ค.'!H171+'ม.ค.-มี.ค.'!H170+'เม.ย.-มิ.ย.'!H170+'ก.ค.-ก.ย.'!H170</f>
        <v>0</v>
      </c>
      <c r="I170" s="459">
        <f>+'ต.ค.-ธ.ค.'!I171+'ม.ค.-มี.ค.'!I170+'เม.ย.-มิ.ย.'!I170+'ก.ค.-ก.ย.'!I170</f>
        <v>0</v>
      </c>
      <c r="J170" s="459">
        <f>+'ต.ค.-ธ.ค.'!J171+'ม.ค.-มี.ค.'!J170+'เม.ย.-มิ.ย.'!J170+'ก.ค.-ก.ย.'!J170</f>
        <v>0</v>
      </c>
      <c r="K170" s="459">
        <f>+'ต.ค.-ธ.ค.'!K171+'ม.ค.-มี.ค.'!K170+'เม.ย.-มิ.ย.'!K170+'ก.ค.-ก.ย.'!K170</f>
        <v>0</v>
      </c>
      <c r="L170" s="459">
        <f>+'ต.ค.-ธ.ค.'!L171+'ม.ค.-มี.ค.'!L170+'เม.ย.-มิ.ย.'!L170+'ก.ค.-ก.ย.'!L170</f>
        <v>0</v>
      </c>
      <c r="M170" s="459">
        <f>+'ต.ค.-ธ.ค.'!M171+'ม.ค.-มี.ค.'!M170+'เม.ย.-มิ.ย.'!M170+'ก.ค.-ก.ย.'!M170</f>
        <v>0</v>
      </c>
      <c r="N170" s="459">
        <f>+'ต.ค.-ธ.ค.'!N171+'ม.ค.-มี.ค.'!N170+'เม.ย.-มิ.ย.'!N170+'ก.ค.-ก.ย.'!N170</f>
        <v>0</v>
      </c>
      <c r="O170" s="459">
        <f>+'ต.ค.-ธ.ค.'!O171+'ม.ค.-มี.ค.'!O170+'เม.ย.-มิ.ย.'!O170+'ก.ค.-ก.ย.'!O170</f>
        <v>0</v>
      </c>
      <c r="P170" s="459">
        <f>+'ต.ค.-ธ.ค.'!P171+'ม.ค.-มี.ค.'!P170+'เม.ย.-มิ.ย.'!P170+'ก.ค.-ก.ย.'!P170</f>
        <v>0</v>
      </c>
      <c r="Q170" s="459">
        <f>+'ต.ค.-ธ.ค.'!Q171+'ม.ค.-มี.ค.'!Q170+'เม.ย.-มิ.ย.'!Q170+'ก.ค.-ก.ย.'!Q170</f>
        <v>0</v>
      </c>
      <c r="R170" s="459">
        <f>+'ต.ค.-ธ.ค.'!R171+'ม.ค.-มี.ค.'!R170+'เม.ย.-มิ.ย.'!R170+'ก.ค.-ก.ย.'!R170</f>
        <v>0</v>
      </c>
      <c r="S170" s="459">
        <f>+'ต.ค.-ธ.ค.'!S171+'ม.ค.-มี.ค.'!S170+'เม.ย.-มิ.ย.'!S170+'ก.ค.-ก.ย.'!S170</f>
        <v>0</v>
      </c>
      <c r="T170" s="459">
        <f>+'ต.ค.-ธ.ค.'!T171+'ม.ค.-มี.ค.'!T170+'เม.ย.-มิ.ย.'!T170+'ก.ค.-ก.ย.'!T170</f>
        <v>0</v>
      </c>
      <c r="U170" s="459">
        <f>+'ต.ค.-ธ.ค.'!U171+'ม.ค.-มี.ค.'!U170+'เม.ย.-มิ.ย.'!U170+'ก.ค.-ก.ย.'!U170</f>
        <v>0</v>
      </c>
      <c r="V170" s="459">
        <f>+'ต.ค.-ธ.ค.'!V171+'ม.ค.-มี.ค.'!V170+'เม.ย.-มิ.ย.'!V170+'ก.ค.-ก.ย.'!V170</f>
        <v>4715</v>
      </c>
    </row>
    <row r="171" spans="1:24" ht="25.5" customHeight="1">
      <c r="A171" s="9"/>
      <c r="B171" s="187" t="s">
        <v>413</v>
      </c>
      <c r="C171" s="419">
        <v>140000</v>
      </c>
      <c r="D171" s="442"/>
      <c r="E171" s="459">
        <f>+'ต.ค.-ธ.ค.'!E172+'ม.ค.-มี.ค.'!E171+'เม.ย.-มิ.ย.'!E171+'ก.ค.-ก.ย.'!E171</f>
        <v>0</v>
      </c>
      <c r="F171" s="459">
        <f>+'ต.ค.-ธ.ค.'!F172+'ม.ค.-มี.ค.'!F171+'เม.ย.-มิ.ย.'!F171+'ก.ค.-ก.ย.'!F171</f>
        <v>139960</v>
      </c>
      <c r="G171" s="459">
        <f>+'ต.ค.-ธ.ค.'!G172+'ม.ค.-มี.ค.'!G171+'เม.ย.-มิ.ย.'!G171+'ก.ค.-ก.ย.'!G171</f>
        <v>0</v>
      </c>
      <c r="H171" s="459">
        <f>+'ต.ค.-ธ.ค.'!H172+'ม.ค.-มี.ค.'!H171+'เม.ย.-มิ.ย.'!H171+'ก.ค.-ก.ย.'!H171</f>
        <v>0</v>
      </c>
      <c r="I171" s="459">
        <f>+'ต.ค.-ธ.ค.'!I172+'ม.ค.-มี.ค.'!I171+'เม.ย.-มิ.ย.'!I171+'ก.ค.-ก.ย.'!I171</f>
        <v>0</v>
      </c>
      <c r="J171" s="459">
        <f>+'ต.ค.-ธ.ค.'!J172+'ม.ค.-มี.ค.'!J171+'เม.ย.-มิ.ย.'!J171+'ก.ค.-ก.ย.'!J171</f>
        <v>0</v>
      </c>
      <c r="K171" s="459">
        <f>+'ต.ค.-ธ.ค.'!K172+'ม.ค.-มี.ค.'!K171+'เม.ย.-มิ.ย.'!K171+'ก.ค.-ก.ย.'!K171</f>
        <v>0</v>
      </c>
      <c r="L171" s="459">
        <f>+'ต.ค.-ธ.ค.'!L172+'ม.ค.-มี.ค.'!L171+'เม.ย.-มิ.ย.'!L171+'ก.ค.-ก.ย.'!L171</f>
        <v>0</v>
      </c>
      <c r="M171" s="459">
        <f>+'ต.ค.-ธ.ค.'!M172+'ม.ค.-มี.ค.'!M171+'เม.ย.-มิ.ย.'!M171+'ก.ค.-ก.ย.'!M171</f>
        <v>0</v>
      </c>
      <c r="N171" s="459">
        <f>+'ต.ค.-ธ.ค.'!N172+'ม.ค.-มี.ค.'!N171+'เม.ย.-มิ.ย.'!N171+'ก.ค.-ก.ย.'!N171</f>
        <v>0</v>
      </c>
      <c r="O171" s="459">
        <f>+'ต.ค.-ธ.ค.'!O172+'ม.ค.-มี.ค.'!O171+'เม.ย.-มิ.ย.'!O171+'ก.ค.-ก.ย.'!O171</f>
        <v>0</v>
      </c>
      <c r="P171" s="459">
        <f>+'ต.ค.-ธ.ค.'!P172+'ม.ค.-มี.ค.'!P171+'เม.ย.-มิ.ย.'!P171+'ก.ค.-ก.ย.'!P171</f>
        <v>0</v>
      </c>
      <c r="Q171" s="459">
        <f>+'ต.ค.-ธ.ค.'!Q172+'ม.ค.-มี.ค.'!Q171+'เม.ย.-มิ.ย.'!Q171+'ก.ค.-ก.ย.'!Q171</f>
        <v>0</v>
      </c>
      <c r="R171" s="459">
        <f>+'ต.ค.-ธ.ค.'!R172+'ม.ค.-มี.ค.'!R171+'เม.ย.-มิ.ย.'!R171+'ก.ค.-ก.ย.'!R171</f>
        <v>0</v>
      </c>
      <c r="S171" s="459">
        <f>+'ต.ค.-ธ.ค.'!S172+'ม.ค.-มี.ค.'!S171+'เม.ย.-มิ.ย.'!S171+'ก.ค.-ก.ย.'!S171</f>
        <v>0</v>
      </c>
      <c r="T171" s="459">
        <f>+'ต.ค.-ธ.ค.'!T172+'ม.ค.-มี.ค.'!T171+'เม.ย.-มิ.ย.'!T171+'ก.ค.-ก.ย.'!T171</f>
        <v>0</v>
      </c>
      <c r="U171" s="459">
        <f>+'ต.ค.-ธ.ค.'!U172+'ม.ค.-มี.ค.'!U171+'เม.ย.-มิ.ย.'!U171+'ก.ค.-ก.ย.'!U171</f>
        <v>0</v>
      </c>
      <c r="V171" s="459">
        <f>+'ต.ค.-ธ.ค.'!V172+'ม.ค.-มี.ค.'!V171+'เม.ย.-มิ.ย.'!V171+'ก.ค.-ก.ย.'!V171</f>
        <v>0</v>
      </c>
      <c r="W171" s="586"/>
    </row>
    <row r="172" spans="1:24" ht="25.5" customHeight="1">
      <c r="A172" s="9"/>
      <c r="B172" s="187" t="s">
        <v>414</v>
      </c>
      <c r="C172" s="419">
        <v>40000</v>
      </c>
      <c r="D172" s="442"/>
      <c r="E172" s="459">
        <f>+'ต.ค.-ธ.ค.'!E173+'ม.ค.-มี.ค.'!E172+'เม.ย.-มิ.ย.'!E172+'ก.ค.-ก.ย.'!E172</f>
        <v>0</v>
      </c>
      <c r="F172" s="459">
        <f>+'ต.ค.-ธ.ค.'!F173+'ม.ค.-มี.ค.'!F172+'เม.ย.-มิ.ย.'!F172+'ก.ค.-ก.ย.'!F172</f>
        <v>0</v>
      </c>
      <c r="G172" s="459">
        <f>+'ต.ค.-ธ.ค.'!G173+'ม.ค.-มี.ค.'!G172+'เม.ย.-มิ.ย.'!G172+'ก.ค.-ก.ย.'!G172</f>
        <v>0</v>
      </c>
      <c r="H172" s="459">
        <f>+'ต.ค.-ธ.ค.'!H173+'ม.ค.-มี.ค.'!H172+'เม.ย.-มิ.ย.'!H172+'ก.ค.-ก.ย.'!H172</f>
        <v>0</v>
      </c>
      <c r="I172" s="459">
        <f>+'ต.ค.-ธ.ค.'!I173+'ม.ค.-มี.ค.'!I172+'เม.ย.-มิ.ย.'!I172+'ก.ค.-ก.ย.'!I172</f>
        <v>0</v>
      </c>
      <c r="J172" s="459">
        <f>+'ต.ค.-ธ.ค.'!J173+'ม.ค.-มี.ค.'!J172+'เม.ย.-มิ.ย.'!J172+'ก.ค.-ก.ย.'!J172</f>
        <v>0</v>
      </c>
      <c r="K172" s="459">
        <f>+'ต.ค.-ธ.ค.'!K173+'ม.ค.-มี.ค.'!K172+'เม.ย.-มิ.ย.'!K172+'ก.ค.-ก.ย.'!K172</f>
        <v>37080</v>
      </c>
      <c r="L172" s="459">
        <f>+'ต.ค.-ธ.ค.'!L173+'ม.ค.-มี.ค.'!L172+'เม.ย.-มิ.ย.'!L172+'ก.ค.-ก.ย.'!L172</f>
        <v>0</v>
      </c>
      <c r="M172" s="459">
        <f>+'ต.ค.-ธ.ค.'!M173+'ม.ค.-มี.ค.'!M172+'เม.ย.-มิ.ย.'!M172+'ก.ค.-ก.ย.'!M172</f>
        <v>0</v>
      </c>
      <c r="N172" s="459">
        <f>+'ต.ค.-ธ.ค.'!N173+'ม.ค.-มี.ค.'!N172+'เม.ย.-มิ.ย.'!N172+'ก.ค.-ก.ย.'!N172</f>
        <v>0</v>
      </c>
      <c r="O172" s="459">
        <f>+'ต.ค.-ธ.ค.'!O173+'ม.ค.-มี.ค.'!O172+'เม.ย.-มิ.ย.'!O172+'ก.ค.-ก.ย.'!O172</f>
        <v>0</v>
      </c>
      <c r="P172" s="459">
        <f>+'ต.ค.-ธ.ค.'!P173+'ม.ค.-มี.ค.'!P172+'เม.ย.-มิ.ย.'!P172+'ก.ค.-ก.ย.'!P172</f>
        <v>0</v>
      </c>
      <c r="Q172" s="459">
        <f>+'ต.ค.-ธ.ค.'!Q173+'ม.ค.-มี.ค.'!Q172+'เม.ย.-มิ.ย.'!Q172+'ก.ค.-ก.ย.'!Q172</f>
        <v>0</v>
      </c>
      <c r="R172" s="459">
        <f>+'ต.ค.-ธ.ค.'!R173+'ม.ค.-มี.ค.'!R172+'เม.ย.-มิ.ย.'!R172+'ก.ค.-ก.ย.'!R172</f>
        <v>0</v>
      </c>
      <c r="S172" s="459">
        <f>+'ต.ค.-ธ.ค.'!S173+'ม.ค.-มี.ค.'!S172+'เม.ย.-มิ.ย.'!S172+'ก.ค.-ก.ย.'!S172</f>
        <v>0</v>
      </c>
      <c r="T172" s="459">
        <f>+'ต.ค.-ธ.ค.'!T173+'ม.ค.-มี.ค.'!T172+'เม.ย.-มิ.ย.'!T172+'ก.ค.-ก.ย.'!T172</f>
        <v>0</v>
      </c>
      <c r="U172" s="459">
        <f>+'ต.ค.-ธ.ค.'!U173+'ม.ค.-มี.ค.'!U172+'เม.ย.-มิ.ย.'!U172+'ก.ค.-ก.ย.'!U172</f>
        <v>0</v>
      </c>
      <c r="V172" s="459">
        <f>+'ต.ค.-ธ.ค.'!V173+'ม.ค.-มี.ค.'!V172+'เม.ย.-มิ.ย.'!V172+'ก.ค.-ก.ย.'!V172</f>
        <v>0</v>
      </c>
    </row>
    <row r="173" spans="1:24" ht="25.5" customHeight="1">
      <c r="A173" s="9"/>
      <c r="B173" s="187" t="s">
        <v>415</v>
      </c>
      <c r="C173" s="419">
        <v>20000</v>
      </c>
      <c r="D173" s="442"/>
      <c r="E173" s="459">
        <f>+'ต.ค.-ธ.ค.'!E174+'ม.ค.-มี.ค.'!E173+'เม.ย.-มิ.ย.'!E173+'ก.ค.-ก.ย.'!E173</f>
        <v>0</v>
      </c>
      <c r="F173" s="459">
        <f>+'ต.ค.-ธ.ค.'!F174+'ม.ค.-มี.ค.'!F173+'เม.ย.-มิ.ย.'!F173+'ก.ค.-ก.ย.'!F173</f>
        <v>0</v>
      </c>
      <c r="G173" s="459">
        <f>+'ต.ค.-ธ.ค.'!G174+'ม.ค.-มี.ค.'!G173+'เม.ย.-มิ.ย.'!G173+'ก.ค.-ก.ย.'!G173</f>
        <v>0</v>
      </c>
      <c r="H173" s="459">
        <f>+'ต.ค.-ธ.ค.'!H174+'ม.ค.-มี.ค.'!H173+'เม.ย.-มิ.ย.'!H173+'ก.ค.-ก.ย.'!H173</f>
        <v>0</v>
      </c>
      <c r="I173" s="459">
        <f>+'ต.ค.-ธ.ค.'!I174+'ม.ค.-มี.ค.'!I173+'เม.ย.-มิ.ย.'!I173+'ก.ค.-ก.ย.'!I173</f>
        <v>0</v>
      </c>
      <c r="J173" s="459">
        <f>+'ต.ค.-ธ.ค.'!J174+'ม.ค.-มี.ค.'!J173+'เม.ย.-มิ.ย.'!J173+'ก.ค.-ก.ย.'!J173</f>
        <v>0</v>
      </c>
      <c r="K173" s="459">
        <f>+'ต.ค.-ธ.ค.'!K174+'ม.ค.-มี.ค.'!K173+'เม.ย.-มิ.ย.'!K173+'ก.ค.-ก.ย.'!K173</f>
        <v>0</v>
      </c>
      <c r="L173" s="459">
        <f>+'ต.ค.-ธ.ค.'!L174+'ม.ค.-มี.ค.'!L173+'เม.ย.-มิ.ย.'!L173+'ก.ค.-ก.ย.'!L173</f>
        <v>0</v>
      </c>
      <c r="M173" s="459">
        <f>+'ต.ค.-ธ.ค.'!M174+'ม.ค.-มี.ค.'!M173+'เม.ย.-มิ.ย.'!M173+'ก.ค.-ก.ย.'!M173</f>
        <v>0</v>
      </c>
      <c r="N173" s="459">
        <f>+'ต.ค.-ธ.ค.'!N174+'ม.ค.-มี.ค.'!N173+'เม.ย.-มิ.ย.'!N173+'ก.ค.-ก.ย.'!N173</f>
        <v>0</v>
      </c>
      <c r="O173" s="459">
        <f>+'ต.ค.-ธ.ค.'!O174+'ม.ค.-มี.ค.'!O173+'เม.ย.-มิ.ย.'!O173+'ก.ค.-ก.ย.'!O173</f>
        <v>0</v>
      </c>
      <c r="P173" s="459">
        <f>+'ต.ค.-ธ.ค.'!P174+'ม.ค.-มี.ค.'!P173+'เม.ย.-มิ.ย.'!P173+'ก.ค.-ก.ย.'!P173</f>
        <v>20000</v>
      </c>
      <c r="Q173" s="459">
        <f>+'ต.ค.-ธ.ค.'!Q174+'ม.ค.-มี.ค.'!Q173+'เม.ย.-มิ.ย.'!Q173+'ก.ค.-ก.ย.'!Q173</f>
        <v>0</v>
      </c>
      <c r="R173" s="459">
        <f>+'ต.ค.-ธ.ค.'!R174+'ม.ค.-มี.ค.'!R173+'เม.ย.-มิ.ย.'!R173+'ก.ค.-ก.ย.'!R173</f>
        <v>0</v>
      </c>
      <c r="S173" s="459">
        <f>+'ต.ค.-ธ.ค.'!S174+'ม.ค.-มี.ค.'!S173+'เม.ย.-มิ.ย.'!S173+'ก.ค.-ก.ย.'!S173</f>
        <v>0</v>
      </c>
      <c r="T173" s="459">
        <f>+'ต.ค.-ธ.ค.'!T174+'ม.ค.-มี.ค.'!T173+'เม.ย.-มิ.ย.'!T173+'ก.ค.-ก.ย.'!T173</f>
        <v>0</v>
      </c>
      <c r="U173" s="459">
        <f>+'ต.ค.-ธ.ค.'!U174+'ม.ค.-มี.ค.'!U173+'เม.ย.-มิ.ย.'!U173+'ก.ค.-ก.ย.'!U173</f>
        <v>0</v>
      </c>
      <c r="V173" s="459">
        <f>+'ต.ค.-ธ.ค.'!V174+'ม.ค.-มี.ค.'!V173+'เม.ย.-มิ.ย.'!V173+'ก.ค.-ก.ย.'!V173</f>
        <v>0</v>
      </c>
      <c r="W173" s="586"/>
    </row>
    <row r="174" spans="1:24" ht="25.5" customHeight="1">
      <c r="A174" s="9"/>
      <c r="B174" s="187" t="s">
        <v>330</v>
      </c>
      <c r="C174" s="419"/>
      <c r="D174" s="442"/>
      <c r="E174" s="459">
        <f>+'ต.ค.-ธ.ค.'!E175+'ม.ค.-มี.ค.'!E174+'เม.ย.-มิ.ย.'!E174+'ก.ค.-ก.ย.'!E174</f>
        <v>0</v>
      </c>
      <c r="F174" s="459">
        <f>+'ต.ค.-ธ.ค.'!F175+'ม.ค.-มี.ค.'!F174+'เม.ย.-มิ.ย.'!F174+'ก.ค.-ก.ย.'!F174</f>
        <v>0</v>
      </c>
      <c r="G174" s="459">
        <f>+'ต.ค.-ธ.ค.'!G175+'ม.ค.-มี.ค.'!G174+'เม.ย.-มิ.ย.'!G174+'ก.ค.-ก.ย.'!G174</f>
        <v>0</v>
      </c>
      <c r="H174" s="459">
        <f>+'ต.ค.-ธ.ค.'!H175+'ม.ค.-มี.ค.'!H174+'เม.ย.-มิ.ย.'!H174+'ก.ค.-ก.ย.'!H174</f>
        <v>0</v>
      </c>
      <c r="I174" s="459">
        <f>+'ต.ค.-ธ.ค.'!I175+'ม.ค.-มี.ค.'!I174+'เม.ย.-มิ.ย.'!I174+'ก.ค.-ก.ย.'!I174</f>
        <v>0</v>
      </c>
      <c r="J174" s="459">
        <f>+'ต.ค.-ธ.ค.'!J175+'ม.ค.-มี.ค.'!J174+'เม.ย.-มิ.ย.'!J174+'ก.ค.-ก.ย.'!J174</f>
        <v>0</v>
      </c>
      <c r="K174" s="459">
        <f>+'ต.ค.-ธ.ค.'!K175+'ม.ค.-มี.ค.'!K174+'เม.ย.-มิ.ย.'!K174+'ก.ค.-ก.ย.'!K174</f>
        <v>0</v>
      </c>
      <c r="L174" s="459">
        <f>+'ต.ค.-ธ.ค.'!L175+'ม.ค.-มี.ค.'!L174+'เม.ย.-มิ.ย.'!L174+'ก.ค.-ก.ย.'!L174</f>
        <v>0</v>
      </c>
      <c r="M174" s="459">
        <f>+'ต.ค.-ธ.ค.'!M175+'ม.ค.-มี.ค.'!M174+'เม.ย.-มิ.ย.'!M174+'ก.ค.-ก.ย.'!M174</f>
        <v>0</v>
      </c>
      <c r="N174" s="459">
        <f>+'ต.ค.-ธ.ค.'!N175+'ม.ค.-มี.ค.'!N174+'เม.ย.-มิ.ย.'!N174+'ก.ค.-ก.ย.'!N174</f>
        <v>0</v>
      </c>
      <c r="O174" s="459">
        <f>+'ต.ค.-ธ.ค.'!O175+'ม.ค.-มี.ค.'!O174+'เม.ย.-มิ.ย.'!O174+'ก.ค.-ก.ย.'!O174</f>
        <v>0</v>
      </c>
      <c r="P174" s="459">
        <f>+'ต.ค.-ธ.ค.'!P175+'ม.ค.-มี.ค.'!P174+'เม.ย.-มิ.ย.'!P174+'ก.ค.-ก.ย.'!P174</f>
        <v>0</v>
      </c>
      <c r="Q174" s="459">
        <f>+'ต.ค.-ธ.ค.'!Q175+'ม.ค.-มี.ค.'!Q174+'เม.ย.-มิ.ย.'!Q174+'ก.ค.-ก.ย.'!Q174</f>
        <v>0</v>
      </c>
      <c r="R174" s="459">
        <f>+'ต.ค.-ธ.ค.'!R175+'ม.ค.-มี.ค.'!R174+'เม.ย.-มิ.ย.'!R174+'ก.ค.-ก.ย.'!R174</f>
        <v>0</v>
      </c>
      <c r="S174" s="459">
        <f>+'ต.ค.-ธ.ค.'!S175+'ม.ค.-มี.ค.'!S174+'เม.ย.-มิ.ย.'!S174+'ก.ค.-ก.ย.'!S174</f>
        <v>0</v>
      </c>
      <c r="T174" s="459">
        <f>+'ต.ค.-ธ.ค.'!T175+'ม.ค.-มี.ค.'!T174+'เม.ย.-มิ.ย.'!T174+'ก.ค.-ก.ย.'!T174</f>
        <v>0</v>
      </c>
      <c r="U174" s="459">
        <f>+'ต.ค.-ธ.ค.'!U175+'ม.ค.-มี.ค.'!U174+'เม.ย.-มิ.ย.'!U174+'ก.ค.-ก.ย.'!U174</f>
        <v>0</v>
      </c>
      <c r="V174" s="459">
        <f>+'ต.ค.-ธ.ค.'!V175+'ม.ค.-มี.ค.'!V174+'เม.ย.-มิ.ย.'!V174+'ก.ค.-ก.ย.'!V174</f>
        <v>0</v>
      </c>
    </row>
    <row r="175" spans="1:24" ht="25.5" customHeight="1">
      <c r="A175" s="9"/>
      <c r="B175" s="187"/>
      <c r="C175" s="419"/>
      <c r="D175" s="442"/>
      <c r="E175" s="459">
        <f>+'ต.ค.-ธ.ค.'!E176+'ม.ค.-มี.ค.'!E175+'เม.ย.-มิ.ย.'!E175+'ก.ค.-ก.ย.'!E175</f>
        <v>0</v>
      </c>
      <c r="F175" s="459">
        <f>+'ต.ค.-ธ.ค.'!F176+'ม.ค.-มี.ค.'!F175+'เม.ย.-มิ.ย.'!F175+'ก.ค.-ก.ย.'!F175</f>
        <v>0</v>
      </c>
      <c r="G175" s="459">
        <f>+'ต.ค.-ธ.ค.'!G176+'ม.ค.-มี.ค.'!G175+'เม.ย.-มิ.ย.'!G175+'ก.ค.-ก.ย.'!G175</f>
        <v>0</v>
      </c>
      <c r="H175" s="459">
        <f>+'ต.ค.-ธ.ค.'!H176+'ม.ค.-มี.ค.'!H175+'เม.ย.-มิ.ย.'!H175+'ก.ค.-ก.ย.'!H175</f>
        <v>0</v>
      </c>
      <c r="I175" s="459">
        <f>+'ต.ค.-ธ.ค.'!I176+'ม.ค.-มี.ค.'!I175+'เม.ย.-มิ.ย.'!I175+'ก.ค.-ก.ย.'!I175</f>
        <v>0</v>
      </c>
      <c r="J175" s="459">
        <f>+'ต.ค.-ธ.ค.'!J176+'ม.ค.-มี.ค.'!J175+'เม.ย.-มิ.ย.'!J175+'ก.ค.-ก.ย.'!J175</f>
        <v>0</v>
      </c>
      <c r="K175" s="459">
        <f>+'ต.ค.-ธ.ค.'!K176+'ม.ค.-มี.ค.'!K175+'เม.ย.-มิ.ย.'!K175+'ก.ค.-ก.ย.'!K175</f>
        <v>59331</v>
      </c>
      <c r="L175" s="459">
        <f>+'ต.ค.-ธ.ค.'!L176+'ม.ค.-มี.ค.'!L175+'เม.ย.-มิ.ย.'!L175+'ก.ค.-ก.ย.'!L175</f>
        <v>0</v>
      </c>
      <c r="M175" s="459">
        <f>+'ต.ค.-ธ.ค.'!M176+'ม.ค.-มี.ค.'!M175+'เม.ย.-มิ.ย.'!M175+'ก.ค.-ก.ย.'!M175</f>
        <v>0</v>
      </c>
      <c r="N175" s="459">
        <f>+'ต.ค.-ธ.ค.'!N176+'ม.ค.-มี.ค.'!N175+'เม.ย.-มิ.ย.'!N175+'ก.ค.-ก.ย.'!N175</f>
        <v>0</v>
      </c>
      <c r="O175" s="459">
        <f>+'ต.ค.-ธ.ค.'!O176+'ม.ค.-มี.ค.'!O175+'เม.ย.-มิ.ย.'!O175+'ก.ค.-ก.ย.'!O175</f>
        <v>0</v>
      </c>
      <c r="P175" s="459">
        <f>+'ต.ค.-ธ.ค.'!P176+'ม.ค.-มี.ค.'!P175+'เม.ย.-มิ.ย.'!P175+'ก.ค.-ก.ย.'!P175</f>
        <v>0</v>
      </c>
      <c r="Q175" s="459">
        <f>+'ต.ค.-ธ.ค.'!Q176+'ม.ค.-มี.ค.'!Q175+'เม.ย.-มิ.ย.'!Q175+'ก.ค.-ก.ย.'!Q175</f>
        <v>0</v>
      </c>
      <c r="R175" s="459">
        <f>+'ต.ค.-ธ.ค.'!R176+'ม.ค.-มี.ค.'!R175+'เม.ย.-มิ.ย.'!R175+'ก.ค.-ก.ย.'!R175</f>
        <v>0</v>
      </c>
      <c r="S175" s="459">
        <f>+'ต.ค.-ธ.ค.'!S176+'ม.ค.-มี.ค.'!S175+'เม.ย.-มิ.ย.'!S175+'ก.ค.-ก.ย.'!S175</f>
        <v>0</v>
      </c>
      <c r="T175" s="459">
        <f>+'ต.ค.-ธ.ค.'!T176+'ม.ค.-มี.ค.'!T175+'เม.ย.-มิ.ย.'!T175+'ก.ค.-ก.ย.'!T175</f>
        <v>0</v>
      </c>
      <c r="U175" s="459">
        <f>+'ต.ค.-ธ.ค.'!U176+'ม.ค.-มี.ค.'!U175+'เม.ย.-มิ.ย.'!U175+'ก.ค.-ก.ย.'!U175</f>
        <v>0</v>
      </c>
      <c r="V175" s="459">
        <f>+'ต.ค.-ธ.ค.'!V176+'ม.ค.-มี.ค.'!V175+'เม.ย.-มิ.ย.'!V175+'ก.ค.-ก.ย.'!V175</f>
        <v>0</v>
      </c>
    </row>
    <row r="176" spans="1:24" ht="25.5" customHeight="1" thickBot="1">
      <c r="A176" s="15"/>
      <c r="B176" s="14" t="s">
        <v>5</v>
      </c>
      <c r="C176" s="411">
        <f>SUM(C51:C175)</f>
        <v>6374300</v>
      </c>
      <c r="D176" s="466">
        <f t="shared" ref="D176:U176" si="4">SUM(D51:D175)</f>
        <v>0</v>
      </c>
      <c r="E176" s="467">
        <f>SUM(E51:E175)</f>
        <v>2514727.35</v>
      </c>
      <c r="F176" s="467">
        <f>SUM(F51:F175)</f>
        <v>321196</v>
      </c>
      <c r="G176" s="467">
        <f t="shared" si="4"/>
        <v>442144</v>
      </c>
      <c r="H176" s="467">
        <f>SUM(H51:H175)</f>
        <v>1255401</v>
      </c>
      <c r="I176" s="466">
        <f>SUM(I51:I175)</f>
        <v>1068975</v>
      </c>
      <c r="J176" s="466">
        <f t="shared" si="4"/>
        <v>89993</v>
      </c>
      <c r="K176" s="466">
        <f>SUM(K51:K175)</f>
        <v>97901.32</v>
      </c>
      <c r="L176" s="466">
        <f t="shared" si="4"/>
        <v>0</v>
      </c>
      <c r="M176" s="467">
        <f>SUM(M51:M175)</f>
        <v>454462</v>
      </c>
      <c r="N176" s="466">
        <f t="shared" si="4"/>
        <v>0</v>
      </c>
      <c r="O176" s="466">
        <f t="shared" si="4"/>
        <v>0</v>
      </c>
      <c r="P176" s="466">
        <f>SUM(P51:P175)</f>
        <v>37995</v>
      </c>
      <c r="Q176" s="466">
        <f t="shared" si="4"/>
        <v>4880</v>
      </c>
      <c r="R176" s="466">
        <f t="shared" si="4"/>
        <v>24450</v>
      </c>
      <c r="S176" s="466">
        <f>SUM(S51:S175)</f>
        <v>189964</v>
      </c>
      <c r="T176" s="466">
        <f>SUM(T164:T175)</f>
        <v>18000</v>
      </c>
      <c r="U176" s="466">
        <f t="shared" si="4"/>
        <v>0</v>
      </c>
      <c r="V176" s="466">
        <f>SUM(V51:V175)</f>
        <v>14715</v>
      </c>
      <c r="W176" s="583">
        <f>SUM(D176:V176)</f>
        <v>6534803.6699999999</v>
      </c>
    </row>
    <row r="177" spans="1:24" ht="25.5" customHeight="1" thickTop="1">
      <c r="A177" s="3" t="s">
        <v>113</v>
      </c>
      <c r="B177" s="4"/>
      <c r="C177" s="407"/>
      <c r="D177" s="458"/>
      <c r="E177" s="459"/>
      <c r="F177" s="460"/>
      <c r="G177" s="460"/>
      <c r="H177" s="460"/>
      <c r="I177" s="458"/>
      <c r="J177" s="458"/>
      <c r="K177" s="458"/>
      <c r="L177" s="458"/>
      <c r="M177" s="460"/>
      <c r="N177" s="458"/>
      <c r="O177" s="458"/>
      <c r="P177" s="458"/>
      <c r="Q177" s="458"/>
      <c r="R177" s="543"/>
      <c r="S177" s="542"/>
      <c r="T177" s="542"/>
      <c r="U177" s="543"/>
      <c r="V177" s="543"/>
    </row>
    <row r="178" spans="1:24" ht="25.5" customHeight="1">
      <c r="A178" s="9"/>
      <c r="B178" s="130" t="s">
        <v>111</v>
      </c>
      <c r="C178" s="408">
        <f>50000+25000+5000+25000+10000+10000-8000</f>
        <v>117000</v>
      </c>
      <c r="D178" s="442"/>
      <c r="E178" s="443">
        <f>+'ต.ค.-ธ.ค.'!E179+'ม.ค.-มี.ค.'!E178+'เม.ย.-มิ.ย.'!E178+'ก.ค.-ก.ย.'!E178</f>
        <v>75048.800000000003</v>
      </c>
      <c r="F178" s="443">
        <f>+'ต.ค.-ธ.ค.'!F179+'ม.ค.-มี.ค.'!F178+'เม.ย.-มิ.ย.'!F178+'ก.ค.-ก.ย.'!F178</f>
        <v>44338</v>
      </c>
      <c r="G178" s="443">
        <f>+'ต.ค.-ธ.ค.'!G179+'ม.ค.-มี.ค.'!G178+'เม.ย.-มิ.ย.'!G178+'ก.ค.-ก.ย.'!G178</f>
        <v>0</v>
      </c>
      <c r="H178" s="443">
        <f>+'ต.ค.-ธ.ค.'!H179+'ม.ค.-มี.ค.'!H178+'เม.ย.-มิ.ย.'!H178+'ก.ค.-ก.ย.'!H178</f>
        <v>25304</v>
      </c>
      <c r="I178" s="443">
        <f>+'ต.ค.-ธ.ค.'!I179+'ม.ค.-มี.ค.'!I178+'เม.ย.-มิ.ย.'!I178+'ก.ค.-ก.ย.'!I178</f>
        <v>0</v>
      </c>
      <c r="J178" s="443">
        <f>+'ต.ค.-ธ.ค.'!J179+'ม.ค.-มี.ค.'!J178+'เม.ย.-มิ.ย.'!J178+'ก.ค.-ก.ย.'!J178</f>
        <v>0</v>
      </c>
      <c r="K178" s="443">
        <f>+'ต.ค.-ธ.ค.'!K179+'ม.ค.-มี.ค.'!K178+'เม.ย.-มิ.ย.'!K178+'ก.ค.-ก.ย.'!K178</f>
        <v>0</v>
      </c>
      <c r="L178" s="443">
        <f>+'ต.ค.-ธ.ค.'!L179+'ม.ค.-มี.ค.'!L178+'เม.ย.-มิ.ย.'!L178+'ก.ค.-ก.ย.'!L178</f>
        <v>0</v>
      </c>
      <c r="M178" s="443">
        <f>+'ต.ค.-ธ.ค.'!M179+'ม.ค.-มี.ค.'!M178+'เม.ย.-มิ.ย.'!M178+'ก.ค.-ก.ย.'!M178</f>
        <v>21762</v>
      </c>
      <c r="N178" s="443">
        <f>+'ต.ค.-ธ.ค.'!N179+'ม.ค.-มี.ค.'!N178+'เม.ย.-มิ.ย.'!N178+'ก.ค.-ก.ย.'!N178</f>
        <v>0</v>
      </c>
      <c r="O178" s="443">
        <f>+'ต.ค.-ธ.ค.'!O179+'ม.ค.-มี.ค.'!O178+'เม.ย.-มิ.ย.'!O178+'ก.ค.-ก.ย.'!O178</f>
        <v>0</v>
      </c>
      <c r="P178" s="443">
        <f>+'ต.ค.-ธ.ค.'!P179+'ม.ค.-มี.ค.'!P178+'เม.ย.-มิ.ย.'!P178+'ก.ค.-ก.ย.'!P178</f>
        <v>0</v>
      </c>
      <c r="Q178" s="443">
        <f>+'ต.ค.-ธ.ค.'!Q179+'ม.ค.-มี.ค.'!Q178+'เม.ย.-มิ.ย.'!Q178+'ก.ค.-ก.ย.'!Q178</f>
        <v>0</v>
      </c>
      <c r="R178" s="443">
        <f>+'ต.ค.-ธ.ค.'!R179+'ม.ค.-มี.ค.'!R178+'เม.ย.-มิ.ย.'!R178+'ก.ค.-ก.ย.'!R178</f>
        <v>0</v>
      </c>
      <c r="S178" s="443">
        <f>+'ต.ค.-ธ.ค.'!S179+'ม.ค.-มี.ค.'!S178+'เม.ย.-มิ.ย.'!S178+'ก.ค.-ก.ย.'!S178</f>
        <v>0</v>
      </c>
      <c r="T178" s="443">
        <f>+'ต.ค.-ธ.ค.'!T179+'ม.ค.-มี.ค.'!T178+'เม.ย.-มิ.ย.'!T178+'ก.ค.-ก.ย.'!T178</f>
        <v>0</v>
      </c>
      <c r="U178" s="443">
        <f>+'ต.ค.-ธ.ค.'!U179+'ม.ค.-มี.ค.'!U178+'เม.ย.-มิ.ย.'!U178+'ก.ค.-ก.ย.'!U178</f>
        <v>0</v>
      </c>
      <c r="V178" s="443">
        <f>+'ต.ค.-ธ.ค.'!V179+'ม.ค.-มี.ค.'!V178+'เม.ย.-มิ.ย.'!V178+'ก.ค.-ก.ย.'!V178</f>
        <v>0</v>
      </c>
    </row>
    <row r="179" spans="1:24" s="67" customFormat="1" ht="25.5" customHeight="1">
      <c r="A179" s="9"/>
      <c r="B179" s="130" t="s">
        <v>302</v>
      </c>
      <c r="C179" s="408">
        <v>10000</v>
      </c>
      <c r="D179" s="442"/>
      <c r="E179" s="443">
        <f>+'ต.ค.-ธ.ค.'!E180+'ม.ค.-มี.ค.'!E179+'เม.ย.-มิ.ย.'!E179+'ก.ค.-ก.ย.'!E179</f>
        <v>0</v>
      </c>
      <c r="F179" s="443">
        <f>+'ต.ค.-ธ.ค.'!F180+'ม.ค.-มี.ค.'!F179+'เม.ย.-มิ.ย.'!F179+'ก.ค.-ก.ย.'!F179</f>
        <v>0</v>
      </c>
      <c r="G179" s="443">
        <f>+'ต.ค.-ธ.ค.'!G180+'ม.ค.-มี.ค.'!G179+'เม.ย.-มิ.ย.'!G179+'ก.ค.-ก.ย.'!G179</f>
        <v>0</v>
      </c>
      <c r="H179" s="443">
        <f>+'ต.ค.-ธ.ค.'!H180+'ม.ค.-มี.ค.'!H179+'เม.ย.-มิ.ย.'!H179+'ก.ค.-ก.ย.'!H179</f>
        <v>500</v>
      </c>
      <c r="I179" s="443">
        <f>+'ต.ค.-ธ.ค.'!I180+'ม.ค.-มี.ค.'!I179+'เม.ย.-มิ.ย.'!I179+'ก.ค.-ก.ย.'!I179</f>
        <v>0</v>
      </c>
      <c r="J179" s="443">
        <f>+'ต.ค.-ธ.ค.'!J180+'ม.ค.-มี.ค.'!J179+'เม.ย.-มิ.ย.'!J179+'ก.ค.-ก.ย.'!J179</f>
        <v>0</v>
      </c>
      <c r="K179" s="443">
        <f>+'ต.ค.-ธ.ค.'!K180+'ม.ค.-มี.ค.'!K179+'เม.ย.-มิ.ย.'!K179+'ก.ค.-ก.ย.'!K179</f>
        <v>0</v>
      </c>
      <c r="L179" s="443">
        <f>+'ต.ค.-ธ.ค.'!L180+'ม.ค.-มี.ค.'!L179+'เม.ย.-มิ.ย.'!L179+'ก.ค.-ก.ย.'!L179</f>
        <v>0</v>
      </c>
      <c r="M179" s="443">
        <f>+'ต.ค.-ธ.ค.'!M180+'ม.ค.-มี.ค.'!M179+'เม.ย.-มิ.ย.'!M179+'ก.ค.-ก.ย.'!M179</f>
        <v>0</v>
      </c>
      <c r="N179" s="443">
        <f>+'ต.ค.-ธ.ค.'!N180+'ม.ค.-มี.ค.'!N179+'เม.ย.-มิ.ย.'!N179+'ก.ค.-ก.ย.'!N179</f>
        <v>0</v>
      </c>
      <c r="O179" s="443">
        <f>+'ต.ค.-ธ.ค.'!O180+'ม.ค.-มี.ค.'!O179+'เม.ย.-มิ.ย.'!O179+'ก.ค.-ก.ย.'!O179</f>
        <v>0</v>
      </c>
      <c r="P179" s="443">
        <f>+'ต.ค.-ธ.ค.'!P180+'ม.ค.-มี.ค.'!P179+'เม.ย.-มิ.ย.'!P179+'ก.ค.-ก.ย.'!P179</f>
        <v>0</v>
      </c>
      <c r="Q179" s="443">
        <f>+'ต.ค.-ธ.ค.'!Q180+'ม.ค.-มี.ค.'!Q179+'เม.ย.-มิ.ย.'!Q179+'ก.ค.-ก.ย.'!Q179</f>
        <v>0</v>
      </c>
      <c r="R179" s="443">
        <f>+'ต.ค.-ธ.ค.'!R180+'ม.ค.-มี.ค.'!R179+'เม.ย.-มิ.ย.'!R179+'ก.ค.-ก.ย.'!R179</f>
        <v>0</v>
      </c>
      <c r="S179" s="443">
        <f>+'ต.ค.-ธ.ค.'!S180+'ม.ค.-มี.ค.'!S179+'เม.ย.-มิ.ย.'!S179+'ก.ค.-ก.ย.'!S179</f>
        <v>0</v>
      </c>
      <c r="T179" s="443">
        <f>+'ต.ค.-ธ.ค.'!T180+'ม.ค.-มี.ค.'!T179+'เม.ย.-มิ.ย.'!T179+'ก.ค.-ก.ย.'!T179</f>
        <v>0</v>
      </c>
      <c r="U179" s="443">
        <f>+'ต.ค.-ธ.ค.'!U180+'ม.ค.-มี.ค.'!U179+'เม.ย.-มิ.ย.'!U179+'ก.ค.-ก.ย.'!U179</f>
        <v>0</v>
      </c>
      <c r="V179" s="443">
        <f>+'ต.ค.-ธ.ค.'!V180+'ม.ค.-มี.ค.'!V179+'เม.ย.-มิ.ย.'!V179+'ก.ค.-ก.ย.'!V179</f>
        <v>0</v>
      </c>
      <c r="W179" s="581"/>
      <c r="X179" s="2"/>
    </row>
    <row r="180" spans="1:24" s="67" customFormat="1" ht="25.5" customHeight="1">
      <c r="A180" s="9"/>
      <c r="B180" s="130" t="s">
        <v>16</v>
      </c>
      <c r="C180" s="408">
        <f>8000+200000+5000</f>
        <v>213000</v>
      </c>
      <c r="D180" s="442"/>
      <c r="E180" s="443">
        <f>+'ต.ค.-ธ.ค.'!E181+'ม.ค.-มี.ค.'!E180+'เม.ย.-มิ.ย.'!E180+'ก.ค.-ก.ย.'!E180</f>
        <v>2539</v>
      </c>
      <c r="F180" s="443">
        <f>+'ต.ค.-ธ.ค.'!F181+'ม.ค.-มี.ค.'!F180+'เม.ย.-มิ.ย.'!F180+'ก.ค.-ก.ย.'!F180</f>
        <v>0</v>
      </c>
      <c r="G180" s="443">
        <f>+'ต.ค.-ธ.ค.'!G181+'ม.ค.-มี.ค.'!G180+'เม.ย.-มิ.ย.'!G180+'ก.ค.-ก.ย.'!G180</f>
        <v>0</v>
      </c>
      <c r="H180" s="443">
        <f>+'ต.ค.-ธ.ค.'!H181+'ม.ค.-มี.ค.'!H180+'เม.ย.-มิ.ย.'!H180+'ก.ค.-ก.ย.'!H180</f>
        <v>6606</v>
      </c>
      <c r="I180" s="443">
        <f>+'ต.ค.-ธ.ค.'!I181+'ม.ค.-มี.ค.'!I180+'เม.ย.-มิ.ย.'!I180+'ก.ค.-ก.ย.'!I180</f>
        <v>0</v>
      </c>
      <c r="J180" s="443">
        <f>+'ต.ค.-ธ.ค.'!J181+'ม.ค.-มี.ค.'!J180+'เม.ย.-มิ.ย.'!J180+'ก.ค.-ก.ย.'!J180</f>
        <v>0</v>
      </c>
      <c r="K180" s="443">
        <f>+'ต.ค.-ธ.ค.'!K181+'ม.ค.-มี.ค.'!K180+'เม.ย.-มิ.ย.'!K180+'ก.ค.-ก.ย.'!K180</f>
        <v>0</v>
      </c>
      <c r="L180" s="443">
        <f>+'ต.ค.-ธ.ค.'!L181+'ม.ค.-มี.ค.'!L180+'เม.ย.-มิ.ย.'!L180+'ก.ค.-ก.ย.'!L180</f>
        <v>0</v>
      </c>
      <c r="M180" s="443">
        <f>+'ต.ค.-ธ.ค.'!M181+'ม.ค.-มี.ค.'!M180+'เม.ย.-มิ.ย.'!M180+'ก.ค.-ก.ย.'!M180</f>
        <v>0</v>
      </c>
      <c r="N180" s="443">
        <f>+'ต.ค.-ธ.ค.'!N181+'ม.ค.-มี.ค.'!N180+'เม.ย.-มิ.ย.'!N180+'ก.ค.-ก.ย.'!N180</f>
        <v>169000</v>
      </c>
      <c r="O180" s="443">
        <f>+'ต.ค.-ธ.ค.'!O181+'ม.ค.-มี.ค.'!O180+'เม.ย.-มิ.ย.'!O180+'ก.ค.-ก.ย.'!O180</f>
        <v>0</v>
      </c>
      <c r="P180" s="443">
        <f>+'ต.ค.-ธ.ค.'!P181+'ม.ค.-มี.ค.'!P180+'เม.ย.-มิ.ย.'!P180+'ก.ค.-ก.ย.'!P180</f>
        <v>0</v>
      </c>
      <c r="Q180" s="443">
        <f>+'ต.ค.-ธ.ค.'!Q181+'ม.ค.-มี.ค.'!Q180+'เม.ย.-มิ.ย.'!Q180+'ก.ค.-ก.ย.'!Q180</f>
        <v>0</v>
      </c>
      <c r="R180" s="443">
        <f>+'ต.ค.-ธ.ค.'!R181+'ม.ค.-มี.ค.'!R180+'เม.ย.-มิ.ย.'!R180+'ก.ค.-ก.ย.'!R180</f>
        <v>0</v>
      </c>
      <c r="S180" s="443">
        <f>+'ต.ค.-ธ.ค.'!S181+'ม.ค.-มี.ค.'!S180+'เม.ย.-มิ.ย.'!S180+'ก.ค.-ก.ย.'!S180</f>
        <v>0</v>
      </c>
      <c r="T180" s="443">
        <f>+'ต.ค.-ธ.ค.'!T181+'ม.ค.-มี.ค.'!T180+'เม.ย.-มิ.ย.'!T180+'ก.ค.-ก.ย.'!T180</f>
        <v>0</v>
      </c>
      <c r="U180" s="443">
        <f>+'ต.ค.-ธ.ค.'!U181+'ม.ค.-มี.ค.'!U180+'เม.ย.-มิ.ย.'!U180+'ก.ค.-ก.ย.'!U180</f>
        <v>0</v>
      </c>
      <c r="V180" s="443">
        <f>+'ต.ค.-ธ.ค.'!V181+'ม.ค.-มี.ค.'!V180+'เม.ย.-มิ.ย.'!V180+'ก.ค.-ก.ย.'!V180</f>
        <v>0</v>
      </c>
      <c r="W180" s="581"/>
      <c r="X180" s="2"/>
    </row>
    <row r="181" spans="1:24" s="67" customFormat="1" ht="25.5" customHeight="1">
      <c r="A181" s="9"/>
      <c r="B181" s="130" t="s">
        <v>12</v>
      </c>
      <c r="C181" s="408">
        <f>15000+10000</f>
        <v>25000</v>
      </c>
      <c r="D181" s="442"/>
      <c r="E181" s="443">
        <f>+'ต.ค.-ธ.ค.'!E182+'ม.ค.-มี.ค.'!E181+'เม.ย.-มิ.ย.'!E181+'ก.ค.-ก.ย.'!E181</f>
        <v>24712</v>
      </c>
      <c r="F181" s="443">
        <f>+'ต.ค.-ธ.ค.'!F182+'ม.ค.-มี.ค.'!F181+'เม.ย.-มิ.ย.'!F181+'ก.ค.-ก.ย.'!F181</f>
        <v>0</v>
      </c>
      <c r="G181" s="443">
        <f>+'ต.ค.-ธ.ค.'!G182+'ม.ค.-มี.ค.'!G181+'เม.ย.-มิ.ย.'!G181+'ก.ค.-ก.ย.'!G181</f>
        <v>0</v>
      </c>
      <c r="H181" s="443">
        <f>+'ต.ค.-ธ.ค.'!H182+'ม.ค.-มี.ค.'!H181+'เม.ย.-มิ.ย.'!H181+'ก.ค.-ก.ย.'!H181</f>
        <v>5570</v>
      </c>
      <c r="I181" s="443">
        <f>+'ต.ค.-ธ.ค.'!I182+'ม.ค.-มี.ค.'!I181+'เม.ย.-มิ.ย.'!I181+'ก.ค.-ก.ย.'!I181</f>
        <v>0</v>
      </c>
      <c r="J181" s="443">
        <f>+'ต.ค.-ธ.ค.'!J182+'ม.ค.-มี.ค.'!J181+'เม.ย.-มิ.ย.'!J181+'ก.ค.-ก.ย.'!J181</f>
        <v>0</v>
      </c>
      <c r="K181" s="443">
        <f>+'ต.ค.-ธ.ค.'!K182+'ม.ค.-มี.ค.'!K181+'เม.ย.-มิ.ย.'!K181+'ก.ค.-ก.ย.'!K181</f>
        <v>0</v>
      </c>
      <c r="L181" s="443">
        <f>+'ต.ค.-ธ.ค.'!L182+'ม.ค.-มี.ค.'!L181+'เม.ย.-มิ.ย.'!L181+'ก.ค.-ก.ย.'!L181</f>
        <v>0</v>
      </c>
      <c r="M181" s="443">
        <f>+'ต.ค.-ธ.ค.'!M182+'ม.ค.-มี.ค.'!M181+'เม.ย.-มิ.ย.'!M181+'ก.ค.-ก.ย.'!M181</f>
        <v>0</v>
      </c>
      <c r="N181" s="443">
        <f>+'ต.ค.-ธ.ค.'!N182+'ม.ค.-มี.ค.'!N181+'เม.ย.-มิ.ย.'!N181+'ก.ค.-ก.ย.'!N181</f>
        <v>0</v>
      </c>
      <c r="O181" s="443">
        <f>+'ต.ค.-ธ.ค.'!O182+'ม.ค.-มี.ค.'!O181+'เม.ย.-มิ.ย.'!O181+'ก.ค.-ก.ย.'!O181</f>
        <v>0</v>
      </c>
      <c r="P181" s="443">
        <f>+'ต.ค.-ธ.ค.'!P182+'ม.ค.-มี.ค.'!P181+'เม.ย.-มิ.ย.'!P181+'ก.ค.-ก.ย.'!P181</f>
        <v>0</v>
      </c>
      <c r="Q181" s="443">
        <f>+'ต.ค.-ธ.ค.'!Q182+'ม.ค.-มี.ค.'!Q181+'เม.ย.-มิ.ย.'!Q181+'ก.ค.-ก.ย.'!Q181</f>
        <v>0</v>
      </c>
      <c r="R181" s="443">
        <f>+'ต.ค.-ธ.ค.'!R182+'ม.ค.-มี.ค.'!R181+'เม.ย.-มิ.ย.'!R181+'ก.ค.-ก.ย.'!R181</f>
        <v>0</v>
      </c>
      <c r="S181" s="443">
        <f>+'ต.ค.-ธ.ค.'!S182+'ม.ค.-มี.ค.'!S181+'เม.ย.-มิ.ย.'!S181+'ก.ค.-ก.ย.'!S181</f>
        <v>0</v>
      </c>
      <c r="T181" s="443">
        <f>+'ต.ค.-ธ.ค.'!T182+'ม.ค.-มี.ค.'!T181+'เม.ย.-มิ.ย.'!T181+'ก.ค.-ก.ย.'!T181</f>
        <v>0</v>
      </c>
      <c r="U181" s="443">
        <f>+'ต.ค.-ธ.ค.'!U182+'ม.ค.-มี.ค.'!U181+'เม.ย.-มิ.ย.'!U181+'ก.ค.-ก.ย.'!U181</f>
        <v>0</v>
      </c>
      <c r="V181" s="443">
        <f>+'ต.ค.-ธ.ค.'!V182+'ม.ค.-มี.ค.'!V181+'เม.ย.-มิ.ย.'!V181+'ก.ค.-ก.ย.'!V181</f>
        <v>0</v>
      </c>
      <c r="W181" s="581"/>
      <c r="X181" s="2"/>
    </row>
    <row r="182" spans="1:24" ht="25.5" customHeight="1">
      <c r="A182" s="9"/>
      <c r="B182" s="130" t="s">
        <v>17</v>
      </c>
      <c r="C182" s="408">
        <f>15000+25000+20000-10000+8000-3000</f>
        <v>55000</v>
      </c>
      <c r="D182" s="458"/>
      <c r="E182" s="443">
        <f>+'ต.ค.-ธ.ค.'!E183+'ม.ค.-มี.ค.'!E182+'เม.ย.-มิ.ย.'!E182+'ก.ค.-ก.ย.'!E182</f>
        <v>404</v>
      </c>
      <c r="F182" s="443">
        <f>+'ต.ค.-ธ.ค.'!F183+'ม.ค.-มี.ค.'!F182+'เม.ย.-มิ.ย.'!F182+'ก.ค.-ก.ย.'!F182</f>
        <v>0</v>
      </c>
      <c r="G182" s="443">
        <f>+'ต.ค.-ธ.ค.'!G183+'ม.ค.-มี.ค.'!G182+'เม.ย.-มิ.ย.'!G182+'ก.ค.-ก.ย.'!G182</f>
        <v>0</v>
      </c>
      <c r="H182" s="443">
        <f>+'ต.ค.-ธ.ค.'!H183+'ม.ค.-มี.ค.'!H182+'เม.ย.-มิ.ย.'!H182+'ก.ค.-ก.ย.'!H182</f>
        <v>37921</v>
      </c>
      <c r="I182" s="443">
        <f>+'ต.ค.-ธ.ค.'!I183+'ม.ค.-มี.ค.'!I182+'เม.ย.-มิ.ย.'!I182+'ก.ค.-ก.ย.'!I182</f>
        <v>0</v>
      </c>
      <c r="J182" s="443">
        <f>+'ต.ค.-ธ.ค.'!J183+'ม.ค.-มี.ค.'!J182+'เม.ย.-มิ.ย.'!J182+'ก.ค.-ก.ย.'!J182</f>
        <v>0</v>
      </c>
      <c r="K182" s="443">
        <f>+'ต.ค.-ธ.ค.'!K183+'ม.ค.-มี.ค.'!K182+'เม.ย.-มิ.ย.'!K182+'ก.ค.-ก.ย.'!K182</f>
        <v>0</v>
      </c>
      <c r="L182" s="443">
        <f>+'ต.ค.-ธ.ค.'!L183+'ม.ค.-มี.ค.'!L182+'เม.ย.-มิ.ย.'!L182+'ก.ค.-ก.ย.'!L182</f>
        <v>0</v>
      </c>
      <c r="M182" s="443">
        <f>+'ต.ค.-ธ.ค.'!M183+'ม.ค.-มี.ค.'!M182+'เม.ย.-มิ.ย.'!M182+'ก.ค.-ก.ย.'!M182</f>
        <v>1345</v>
      </c>
      <c r="N182" s="443">
        <f>+'ต.ค.-ธ.ค.'!N183+'ม.ค.-มี.ค.'!N182+'เม.ย.-มิ.ย.'!N182+'ก.ค.-ก.ย.'!N182</f>
        <v>0</v>
      </c>
      <c r="O182" s="443">
        <f>+'ต.ค.-ธ.ค.'!O183+'ม.ค.-มี.ค.'!O182+'เม.ย.-มิ.ย.'!O182+'ก.ค.-ก.ย.'!O182</f>
        <v>0</v>
      </c>
      <c r="P182" s="443">
        <f>+'ต.ค.-ธ.ค.'!P183+'ม.ค.-มี.ค.'!P182+'เม.ย.-มิ.ย.'!P182+'ก.ค.-ก.ย.'!P182</f>
        <v>0</v>
      </c>
      <c r="Q182" s="443">
        <f>+'ต.ค.-ธ.ค.'!Q183+'ม.ค.-มี.ค.'!Q182+'เม.ย.-มิ.ย.'!Q182+'ก.ค.-ก.ย.'!Q182</f>
        <v>0</v>
      </c>
      <c r="R182" s="443">
        <f>+'ต.ค.-ธ.ค.'!R183+'ม.ค.-มี.ค.'!R182+'เม.ย.-มิ.ย.'!R182+'ก.ค.-ก.ย.'!R182</f>
        <v>0</v>
      </c>
      <c r="S182" s="443">
        <f>+'ต.ค.-ธ.ค.'!S183+'ม.ค.-มี.ค.'!S182+'เม.ย.-มิ.ย.'!S182+'ก.ค.-ก.ย.'!S182</f>
        <v>0</v>
      </c>
      <c r="T182" s="443">
        <f>+'ต.ค.-ธ.ค.'!T183+'ม.ค.-มี.ค.'!T182+'เม.ย.-มิ.ย.'!T182+'ก.ค.-ก.ย.'!T182</f>
        <v>0</v>
      </c>
      <c r="U182" s="443">
        <f>+'ต.ค.-ธ.ค.'!U183+'ม.ค.-มี.ค.'!U182+'เม.ย.-มิ.ย.'!U182+'ก.ค.-ก.ย.'!U182</f>
        <v>0</v>
      </c>
      <c r="V182" s="443">
        <f>+'ต.ค.-ธ.ค.'!V183+'ม.ค.-มี.ค.'!V182+'เม.ย.-มิ.ย.'!V182+'ก.ค.-ก.ย.'!V182</f>
        <v>0</v>
      </c>
    </row>
    <row r="183" spans="1:24" ht="25.5" customHeight="1">
      <c r="A183" s="9"/>
      <c r="B183" s="130" t="s">
        <v>13</v>
      </c>
      <c r="C183" s="408">
        <v>15000</v>
      </c>
      <c r="D183" s="442"/>
      <c r="E183" s="443">
        <f>+'ต.ค.-ธ.ค.'!E184+'ม.ค.-มี.ค.'!E183+'เม.ย.-มิ.ย.'!E183+'ก.ค.-ก.ย.'!E183</f>
        <v>0</v>
      </c>
      <c r="F183" s="443">
        <f>+'ต.ค.-ธ.ค.'!F184+'ม.ค.-มี.ค.'!F183+'เม.ย.-มิ.ย.'!F183+'ก.ค.-ก.ย.'!F183</f>
        <v>0</v>
      </c>
      <c r="G183" s="443">
        <f>+'ต.ค.-ธ.ค.'!G184+'ม.ค.-มี.ค.'!G183+'เม.ย.-มิ.ย.'!G183+'ก.ค.-ก.ย.'!G183</f>
        <v>0</v>
      </c>
      <c r="H183" s="443">
        <f>+'ต.ค.-ธ.ค.'!H184+'ม.ค.-มี.ค.'!H183+'เม.ย.-มิ.ย.'!H183+'ก.ค.-ก.ย.'!H183</f>
        <v>0</v>
      </c>
      <c r="I183" s="443">
        <f>+'ต.ค.-ธ.ค.'!I184+'ม.ค.-มี.ค.'!I183+'เม.ย.-มิ.ย.'!I183+'ก.ค.-ก.ย.'!I183</f>
        <v>0</v>
      </c>
      <c r="J183" s="443">
        <f>+'ต.ค.-ธ.ค.'!J184+'ม.ค.-มี.ค.'!J183+'เม.ย.-มิ.ย.'!J183+'ก.ค.-ก.ย.'!J183</f>
        <v>0</v>
      </c>
      <c r="K183" s="443">
        <f>+'ต.ค.-ธ.ค.'!K184+'ม.ค.-มี.ค.'!K183+'เม.ย.-มิ.ย.'!K183+'ก.ค.-ก.ย.'!K183</f>
        <v>0</v>
      </c>
      <c r="L183" s="443">
        <f>+'ต.ค.-ธ.ค.'!L184+'ม.ค.-มี.ค.'!L183+'เม.ย.-มิ.ย.'!L183+'ก.ค.-ก.ย.'!L183</f>
        <v>0</v>
      </c>
      <c r="M183" s="443">
        <f>+'ต.ค.-ธ.ค.'!M184+'ม.ค.-มี.ค.'!M183+'เม.ย.-มิ.ย.'!M183+'ก.ค.-ก.ย.'!M183</f>
        <v>0</v>
      </c>
      <c r="N183" s="443">
        <f>+'ต.ค.-ธ.ค.'!N184+'ม.ค.-มี.ค.'!N183+'เม.ย.-มิ.ย.'!N183+'ก.ค.-ก.ย.'!N183</f>
        <v>0</v>
      </c>
      <c r="O183" s="443">
        <f>+'ต.ค.-ธ.ค.'!O184+'ม.ค.-มี.ค.'!O183+'เม.ย.-มิ.ย.'!O183+'ก.ค.-ก.ย.'!O183</f>
        <v>0</v>
      </c>
      <c r="P183" s="443">
        <f>+'ต.ค.-ธ.ค.'!P184+'ม.ค.-มี.ค.'!P183+'เม.ย.-มิ.ย.'!P183+'ก.ค.-ก.ย.'!P183</f>
        <v>0</v>
      </c>
      <c r="Q183" s="443">
        <f>+'ต.ค.-ธ.ค.'!Q184+'ม.ค.-มี.ค.'!Q183+'เม.ย.-มิ.ย.'!Q183+'ก.ค.-ก.ย.'!Q183</f>
        <v>0</v>
      </c>
      <c r="R183" s="443">
        <f>+'ต.ค.-ธ.ค.'!R184+'ม.ค.-มี.ค.'!R183+'เม.ย.-มิ.ย.'!R183+'ก.ค.-ก.ย.'!R183</f>
        <v>0</v>
      </c>
      <c r="S183" s="443">
        <f>+'ต.ค.-ธ.ค.'!S184+'ม.ค.-มี.ค.'!S183+'เม.ย.-มิ.ย.'!S183+'ก.ค.-ก.ย.'!S183</f>
        <v>0</v>
      </c>
      <c r="T183" s="443">
        <f>+'ต.ค.-ธ.ค.'!T184+'ม.ค.-มี.ค.'!T183+'เม.ย.-มิ.ย.'!T183+'ก.ค.-ก.ย.'!T183</f>
        <v>0</v>
      </c>
      <c r="U183" s="443">
        <f>+'ต.ค.-ธ.ค.'!U184+'ม.ค.-มี.ค.'!U183+'เม.ย.-มิ.ย.'!U183+'ก.ค.-ก.ย.'!U183</f>
        <v>0</v>
      </c>
      <c r="V183" s="443">
        <f>+'ต.ค.-ธ.ค.'!V184+'ม.ค.-มี.ค.'!V183+'เม.ย.-มิ.ย.'!V183+'ก.ค.-ก.ย.'!V183</f>
        <v>0</v>
      </c>
    </row>
    <row r="184" spans="1:24" ht="25.5" customHeight="1">
      <c r="A184" s="9"/>
      <c r="B184" s="130" t="s">
        <v>14</v>
      </c>
      <c r="C184" s="408">
        <f>240000+5000+20000</f>
        <v>265000</v>
      </c>
      <c r="D184" s="458"/>
      <c r="E184" s="443">
        <f>+'ต.ค.-ธ.ค.'!E185+'ม.ค.-มี.ค.'!E184+'เม.ย.-มิ.ย.'!E184+'ก.ค.-ก.ย.'!E184</f>
        <v>259558.56</v>
      </c>
      <c r="F184" s="443">
        <f>+'ต.ค.-ธ.ค.'!F185+'ม.ค.-มี.ค.'!F184+'เม.ย.-มิ.ย.'!F184+'ก.ค.-ก.ย.'!F184</f>
        <v>864.6</v>
      </c>
      <c r="G184" s="443">
        <f>+'ต.ค.-ธ.ค.'!G185+'ม.ค.-มี.ค.'!G184+'เม.ย.-มิ.ย.'!G184+'ก.ค.-ก.ย.'!G184</f>
        <v>0</v>
      </c>
      <c r="H184" s="443">
        <f>+'ต.ค.-ธ.ค.'!H185+'ม.ค.-มี.ค.'!H184+'เม.ย.-มิ.ย.'!H184+'ก.ค.-ก.ย.'!H184</f>
        <v>0</v>
      </c>
      <c r="I184" s="443">
        <f>+'ต.ค.-ธ.ค.'!I185+'ม.ค.-มี.ค.'!I184+'เม.ย.-มิ.ย.'!I184+'ก.ค.-ก.ย.'!I184</f>
        <v>0</v>
      </c>
      <c r="J184" s="443">
        <f>+'ต.ค.-ธ.ค.'!J185+'ม.ค.-มี.ค.'!J184+'เม.ย.-มิ.ย.'!J184+'ก.ค.-ก.ย.'!J184</f>
        <v>0</v>
      </c>
      <c r="K184" s="443">
        <f>+'ต.ค.-ธ.ค.'!K185+'ม.ค.-มี.ค.'!K184+'เม.ย.-มิ.ย.'!K184+'ก.ค.-ก.ย.'!K184</f>
        <v>0</v>
      </c>
      <c r="L184" s="443">
        <f>+'ต.ค.-ธ.ค.'!L185+'ม.ค.-มี.ค.'!L184+'เม.ย.-มิ.ย.'!L184+'ก.ค.-ก.ย.'!L184</f>
        <v>0</v>
      </c>
      <c r="M184" s="443">
        <f>+'ต.ค.-ธ.ค.'!M185+'ม.ค.-มี.ค.'!M184+'เม.ย.-มิ.ย.'!M184+'ก.ค.-ก.ย.'!M184</f>
        <v>9980.4500000000007</v>
      </c>
      <c r="N184" s="443">
        <f>+'ต.ค.-ธ.ค.'!N185+'ม.ค.-มี.ค.'!N184+'เม.ย.-มิ.ย.'!N184+'ก.ค.-ก.ย.'!N184</f>
        <v>0</v>
      </c>
      <c r="O184" s="443">
        <f>+'ต.ค.-ธ.ค.'!O185+'ม.ค.-มี.ค.'!O184+'เม.ย.-มิ.ย.'!O184+'ก.ค.-ก.ย.'!O184</f>
        <v>0</v>
      </c>
      <c r="P184" s="443">
        <f>+'ต.ค.-ธ.ค.'!P185+'ม.ค.-มี.ค.'!P184+'เม.ย.-มิ.ย.'!P184+'ก.ค.-ก.ย.'!P184</f>
        <v>0</v>
      </c>
      <c r="Q184" s="443">
        <f>+'ต.ค.-ธ.ค.'!Q185+'ม.ค.-มี.ค.'!Q184+'เม.ย.-มิ.ย.'!Q184+'ก.ค.-ก.ย.'!Q184</f>
        <v>0</v>
      </c>
      <c r="R184" s="443">
        <f>+'ต.ค.-ธ.ค.'!R185+'ม.ค.-มี.ค.'!R184+'เม.ย.-มิ.ย.'!R184+'ก.ค.-ก.ย.'!R184</f>
        <v>0</v>
      </c>
      <c r="S184" s="443">
        <f>+'ต.ค.-ธ.ค.'!S185+'ม.ค.-มี.ค.'!S184+'เม.ย.-มิ.ย.'!S184+'ก.ค.-ก.ย.'!S184</f>
        <v>0</v>
      </c>
      <c r="T184" s="443">
        <f>+'ต.ค.-ธ.ค.'!T185+'ม.ค.-มี.ค.'!T184+'เม.ย.-มิ.ย.'!T184+'ก.ค.-ก.ย.'!T184</f>
        <v>0</v>
      </c>
      <c r="U184" s="443">
        <f>+'ต.ค.-ธ.ค.'!U185+'ม.ค.-มี.ค.'!U184+'เม.ย.-มิ.ย.'!U184+'ก.ค.-ก.ย.'!U184</f>
        <v>0</v>
      </c>
      <c r="V184" s="443">
        <f>+'ต.ค.-ธ.ค.'!V185+'ม.ค.-มี.ค.'!V184+'เม.ย.-มิ.ย.'!V184+'ก.ค.-ก.ย.'!V184</f>
        <v>0</v>
      </c>
    </row>
    <row r="185" spans="1:24" ht="25.5" customHeight="1">
      <c r="A185" s="9"/>
      <c r="B185" s="130" t="s">
        <v>112</v>
      </c>
      <c r="C185" s="408">
        <f>5000+5000+5000-5000</f>
        <v>10000</v>
      </c>
      <c r="D185" s="458"/>
      <c r="E185" s="443">
        <f>+'ต.ค.-ธ.ค.'!E186+'ม.ค.-มี.ค.'!E185+'เม.ย.-มิ.ย.'!E185+'ก.ค.-ก.ย.'!E185</f>
        <v>0</v>
      </c>
      <c r="F185" s="443">
        <f>+'ต.ค.-ธ.ค.'!F186+'ม.ค.-มี.ค.'!F185+'เม.ย.-มิ.ย.'!F185+'ก.ค.-ก.ย.'!F185</f>
        <v>0</v>
      </c>
      <c r="G185" s="443">
        <f>+'ต.ค.-ธ.ค.'!G186+'ม.ค.-มี.ค.'!G185+'เม.ย.-มิ.ย.'!G185+'ก.ค.-ก.ย.'!G185</f>
        <v>0</v>
      </c>
      <c r="H185" s="443">
        <f>+'ต.ค.-ธ.ค.'!H186+'ม.ค.-มี.ค.'!H185+'เม.ย.-มิ.ย.'!H185+'ก.ค.-ก.ย.'!H185</f>
        <v>0</v>
      </c>
      <c r="I185" s="443">
        <f>+'ต.ค.-ธ.ค.'!I186+'ม.ค.-มี.ค.'!I185+'เม.ย.-มิ.ย.'!I185+'ก.ค.-ก.ย.'!I185</f>
        <v>0</v>
      </c>
      <c r="J185" s="443">
        <f>+'ต.ค.-ธ.ค.'!J186+'ม.ค.-มี.ค.'!J185+'เม.ย.-มิ.ย.'!J185+'ก.ค.-ก.ย.'!J185</f>
        <v>0</v>
      </c>
      <c r="K185" s="443">
        <f>+'ต.ค.-ธ.ค.'!K186+'ม.ค.-มี.ค.'!K185+'เม.ย.-มิ.ย.'!K185+'ก.ค.-ก.ย.'!K185</f>
        <v>0</v>
      </c>
      <c r="L185" s="443">
        <f>+'ต.ค.-ธ.ค.'!L186+'ม.ค.-มี.ค.'!L185+'เม.ย.-มิ.ย.'!L185+'ก.ค.-ก.ย.'!L185</f>
        <v>0</v>
      </c>
      <c r="M185" s="443">
        <f>+'ต.ค.-ธ.ค.'!M186+'ม.ค.-มี.ค.'!M185+'เม.ย.-มิ.ย.'!M185+'ก.ค.-ก.ย.'!M185</f>
        <v>0</v>
      </c>
      <c r="N185" s="443">
        <f>+'ต.ค.-ธ.ค.'!N186+'ม.ค.-มี.ค.'!N185+'เม.ย.-มิ.ย.'!N185+'ก.ค.-ก.ย.'!N185</f>
        <v>0</v>
      </c>
      <c r="O185" s="443">
        <f>+'ต.ค.-ธ.ค.'!O186+'ม.ค.-มี.ค.'!O185+'เม.ย.-มิ.ย.'!O185+'ก.ค.-ก.ย.'!O185</f>
        <v>0</v>
      </c>
      <c r="P185" s="443">
        <f>+'ต.ค.-ธ.ค.'!P186+'ม.ค.-มี.ค.'!P185+'เม.ย.-มิ.ย.'!P185+'ก.ค.-ก.ย.'!P185</f>
        <v>0</v>
      </c>
      <c r="Q185" s="443">
        <f>+'ต.ค.-ธ.ค.'!Q186+'ม.ค.-มี.ค.'!Q185+'เม.ย.-มิ.ย.'!Q185+'ก.ค.-ก.ย.'!Q185</f>
        <v>0</v>
      </c>
      <c r="R185" s="443">
        <f>+'ต.ค.-ธ.ค.'!R186+'ม.ค.-มี.ค.'!R185+'เม.ย.-มิ.ย.'!R185+'ก.ค.-ก.ย.'!R185</f>
        <v>0</v>
      </c>
      <c r="S185" s="443">
        <f>+'ต.ค.-ธ.ค.'!S186+'ม.ค.-มี.ค.'!S185+'เม.ย.-มิ.ย.'!S185+'ก.ค.-ก.ย.'!S185</f>
        <v>0</v>
      </c>
      <c r="T185" s="443">
        <f>+'ต.ค.-ธ.ค.'!T186+'ม.ค.-มี.ค.'!T185+'เม.ย.-มิ.ย.'!T185+'ก.ค.-ก.ย.'!T185</f>
        <v>0</v>
      </c>
      <c r="U185" s="443">
        <f>+'ต.ค.-ธ.ค.'!U186+'ม.ค.-มี.ค.'!U185+'เม.ย.-มิ.ย.'!U185+'ก.ค.-ก.ย.'!U185</f>
        <v>0</v>
      </c>
      <c r="V185" s="443">
        <f>+'ต.ค.-ธ.ค.'!V186+'ม.ค.-มี.ค.'!V185+'เม.ย.-มิ.ย.'!V185+'ก.ค.-ก.ย.'!V185</f>
        <v>0</v>
      </c>
    </row>
    <row r="186" spans="1:24" ht="25.5" customHeight="1">
      <c r="A186" s="9"/>
      <c r="B186" s="130" t="s">
        <v>208</v>
      </c>
      <c r="C186" s="408">
        <v>5000</v>
      </c>
      <c r="D186" s="458"/>
      <c r="E186" s="443">
        <f>+'ต.ค.-ธ.ค.'!E187+'ม.ค.-มี.ค.'!E186+'เม.ย.-มิ.ย.'!E186+'ก.ค.-ก.ย.'!E186</f>
        <v>2460</v>
      </c>
      <c r="F186" s="443">
        <f>+'ต.ค.-ธ.ค.'!F187+'ม.ค.-มี.ค.'!F186+'เม.ย.-มิ.ย.'!F186+'ก.ค.-ก.ย.'!F186</f>
        <v>0</v>
      </c>
      <c r="G186" s="443">
        <f>+'ต.ค.-ธ.ค.'!G187+'ม.ค.-มี.ค.'!G186+'เม.ย.-มิ.ย.'!G186+'ก.ค.-ก.ย.'!G186</f>
        <v>0</v>
      </c>
      <c r="H186" s="443">
        <f>+'ต.ค.-ธ.ค.'!H187+'ม.ค.-มี.ค.'!H186+'เม.ย.-มิ.ย.'!H186+'ก.ค.-ก.ย.'!H186</f>
        <v>0</v>
      </c>
      <c r="I186" s="443">
        <f>+'ต.ค.-ธ.ค.'!I187+'ม.ค.-มี.ค.'!I186+'เม.ย.-มิ.ย.'!I186+'ก.ค.-ก.ย.'!I186</f>
        <v>0</v>
      </c>
      <c r="J186" s="443">
        <f>+'ต.ค.-ธ.ค.'!J187+'ม.ค.-มี.ค.'!J186+'เม.ย.-มิ.ย.'!J186+'ก.ค.-ก.ย.'!J186</f>
        <v>0</v>
      </c>
      <c r="K186" s="443">
        <f>+'ต.ค.-ธ.ค.'!K187+'ม.ค.-มี.ค.'!K186+'เม.ย.-มิ.ย.'!K186+'ก.ค.-ก.ย.'!K186</f>
        <v>0</v>
      </c>
      <c r="L186" s="443">
        <f>+'ต.ค.-ธ.ค.'!L187+'ม.ค.-มี.ค.'!L186+'เม.ย.-มิ.ย.'!L186+'ก.ค.-ก.ย.'!L186</f>
        <v>0</v>
      </c>
      <c r="M186" s="443">
        <f>+'ต.ค.-ธ.ค.'!M187+'ม.ค.-มี.ค.'!M186+'เม.ย.-มิ.ย.'!M186+'ก.ค.-ก.ย.'!M186</f>
        <v>0</v>
      </c>
      <c r="N186" s="443">
        <f>+'ต.ค.-ธ.ค.'!N187+'ม.ค.-มี.ค.'!N186+'เม.ย.-มิ.ย.'!N186+'ก.ค.-ก.ย.'!N186</f>
        <v>0</v>
      </c>
      <c r="O186" s="443">
        <f>+'ต.ค.-ธ.ค.'!O187+'ม.ค.-มี.ค.'!O186+'เม.ย.-มิ.ย.'!O186+'ก.ค.-ก.ย.'!O186</f>
        <v>0</v>
      </c>
      <c r="P186" s="443">
        <f>+'ต.ค.-ธ.ค.'!P187+'ม.ค.-มี.ค.'!P186+'เม.ย.-มิ.ย.'!P186+'ก.ค.-ก.ย.'!P186</f>
        <v>0</v>
      </c>
      <c r="Q186" s="443">
        <f>+'ต.ค.-ธ.ค.'!Q187+'ม.ค.-มี.ค.'!Q186+'เม.ย.-มิ.ย.'!Q186+'ก.ค.-ก.ย.'!Q186</f>
        <v>0</v>
      </c>
      <c r="R186" s="443">
        <f>+'ต.ค.-ธ.ค.'!R187+'ม.ค.-มี.ค.'!R186+'เม.ย.-มิ.ย.'!R186+'ก.ค.-ก.ย.'!R186</f>
        <v>0</v>
      </c>
      <c r="S186" s="443">
        <f>+'ต.ค.-ธ.ค.'!S187+'ม.ค.-มี.ค.'!S186+'เม.ย.-มิ.ย.'!S186+'ก.ค.-ก.ย.'!S186</f>
        <v>0</v>
      </c>
      <c r="T186" s="443">
        <f>+'ต.ค.-ธ.ค.'!T187+'ม.ค.-มี.ค.'!T186+'เม.ย.-มิ.ย.'!T186+'ก.ค.-ก.ย.'!T186</f>
        <v>0</v>
      </c>
      <c r="U186" s="443">
        <f>+'ต.ค.-ธ.ค.'!U187+'ม.ค.-มี.ค.'!U186+'เม.ย.-มิ.ย.'!U186+'ก.ค.-ก.ย.'!U186</f>
        <v>0</v>
      </c>
      <c r="V186" s="443">
        <f>+'ต.ค.-ธ.ค.'!V187+'ม.ค.-มี.ค.'!V186+'เม.ย.-มิ.ย.'!V186+'ก.ค.-ก.ย.'!V186</f>
        <v>0</v>
      </c>
    </row>
    <row r="187" spans="1:24" ht="25.5" customHeight="1">
      <c r="A187" s="9"/>
      <c r="B187" s="130" t="s">
        <v>15</v>
      </c>
      <c r="C187" s="408">
        <f>40000+15000+15000+40000+40000+15000</f>
        <v>165000</v>
      </c>
      <c r="D187" s="450"/>
      <c r="E187" s="443">
        <f>+'ต.ค.-ธ.ค.'!E188+'ม.ค.-มี.ค.'!E187+'เม.ย.-มิ.ย.'!E187+'ก.ค.-ก.ย.'!E187</f>
        <v>69805</v>
      </c>
      <c r="F187" s="443">
        <f>+'ต.ค.-ธ.ค.'!F188+'ม.ค.-มี.ค.'!F187+'เม.ย.-มิ.ย.'!F187+'ก.ค.-ก.ย.'!F187</f>
        <v>28650</v>
      </c>
      <c r="G187" s="443">
        <f>+'ต.ค.-ธ.ค.'!G188+'ม.ค.-มี.ค.'!G187+'เม.ย.-มิ.ย.'!G187+'ก.ค.-ก.ย.'!G187</f>
        <v>0</v>
      </c>
      <c r="H187" s="443">
        <f>+'ต.ค.-ธ.ค.'!H188+'ม.ค.-มี.ค.'!H187+'เม.ย.-มิ.ย.'!H187+'ก.ค.-ก.ย.'!H187</f>
        <v>18620</v>
      </c>
      <c r="I187" s="443">
        <f>+'ต.ค.-ธ.ค.'!I188+'ม.ค.-มี.ค.'!I187+'เม.ย.-มิ.ย.'!I187+'ก.ค.-ก.ย.'!I187</f>
        <v>0</v>
      </c>
      <c r="J187" s="443">
        <f>+'ต.ค.-ธ.ค.'!J188+'ม.ค.-มี.ค.'!J187+'เม.ย.-มิ.ย.'!J187+'ก.ค.-ก.ย.'!J187</f>
        <v>0</v>
      </c>
      <c r="K187" s="443">
        <f>+'ต.ค.-ธ.ค.'!K188+'ม.ค.-มี.ค.'!K187+'เม.ย.-มิ.ย.'!K187+'ก.ค.-ก.ย.'!K187</f>
        <v>0</v>
      </c>
      <c r="L187" s="443">
        <f>+'ต.ค.-ธ.ค.'!L188+'ม.ค.-มี.ค.'!L187+'เม.ย.-มิ.ย.'!L187+'ก.ค.-ก.ย.'!L187</f>
        <v>0</v>
      </c>
      <c r="M187" s="443">
        <f>+'ต.ค.-ธ.ค.'!M188+'ม.ค.-มี.ค.'!M187+'เม.ย.-มิ.ย.'!M187+'ก.ค.-ก.ย.'!M187</f>
        <v>76430</v>
      </c>
      <c r="N187" s="443">
        <f>+'ต.ค.-ธ.ค.'!N188+'ม.ค.-มี.ค.'!N187+'เม.ย.-มิ.ย.'!N187+'ก.ค.-ก.ย.'!N187</f>
        <v>0</v>
      </c>
      <c r="O187" s="443">
        <f>+'ต.ค.-ธ.ค.'!O188+'ม.ค.-มี.ค.'!O187+'เม.ย.-มิ.ย.'!O187+'ก.ค.-ก.ย.'!O187</f>
        <v>0</v>
      </c>
      <c r="P187" s="443">
        <f>+'ต.ค.-ธ.ค.'!P188+'ม.ค.-มี.ค.'!P187+'เม.ย.-มิ.ย.'!P187+'ก.ค.-ก.ย.'!P187</f>
        <v>0</v>
      </c>
      <c r="Q187" s="443">
        <f>+'ต.ค.-ธ.ค.'!Q188+'ม.ค.-มี.ค.'!Q187+'เม.ย.-มิ.ย.'!Q187+'ก.ค.-ก.ย.'!Q187</f>
        <v>0</v>
      </c>
      <c r="R187" s="443">
        <f>+'ต.ค.-ธ.ค.'!R188+'ม.ค.-มี.ค.'!R187+'เม.ย.-มิ.ย.'!R187+'ก.ค.-ก.ย.'!R187</f>
        <v>0</v>
      </c>
      <c r="S187" s="443">
        <f>+'ต.ค.-ธ.ค.'!S188+'ม.ค.-มี.ค.'!S187+'เม.ย.-มิ.ย.'!S187+'ก.ค.-ก.ย.'!S187</f>
        <v>0</v>
      </c>
      <c r="T187" s="443">
        <f>+'ต.ค.-ธ.ค.'!T188+'ม.ค.-มี.ค.'!T187+'เม.ย.-มิ.ย.'!T187+'ก.ค.-ก.ย.'!T187</f>
        <v>0</v>
      </c>
      <c r="U187" s="443">
        <f>+'ต.ค.-ธ.ค.'!U188+'ม.ค.-มี.ค.'!U187+'เม.ย.-มิ.ย.'!U187+'ก.ค.-ก.ย.'!U187</f>
        <v>0</v>
      </c>
      <c r="V187" s="443">
        <f>+'ต.ค.-ธ.ค.'!V188+'ม.ค.-มี.ค.'!V187+'เม.ย.-มิ.ย.'!V187+'ก.ค.-ก.ย.'!V187</f>
        <v>0</v>
      </c>
    </row>
    <row r="188" spans="1:24" ht="25.5" customHeight="1">
      <c r="A188" s="9"/>
      <c r="B188" s="130" t="s">
        <v>303</v>
      </c>
      <c r="C188" s="408">
        <v>10000</v>
      </c>
      <c r="D188" s="450"/>
      <c r="E188" s="443">
        <f>+'ต.ค.-ธ.ค.'!E189+'ม.ค.-มี.ค.'!E188+'เม.ย.-มิ.ย.'!E188+'ก.ค.-ก.ย.'!E188</f>
        <v>0</v>
      </c>
      <c r="F188" s="443">
        <f>+'ต.ค.-ธ.ค.'!F189+'ม.ค.-มี.ค.'!F188+'เม.ย.-มิ.ย.'!F188+'ก.ค.-ก.ย.'!F188</f>
        <v>0</v>
      </c>
      <c r="G188" s="443">
        <f>+'ต.ค.-ธ.ค.'!G189+'ม.ค.-มี.ค.'!G188+'เม.ย.-มิ.ย.'!G188+'ก.ค.-ก.ย.'!G188</f>
        <v>0</v>
      </c>
      <c r="H188" s="443">
        <f>+'ต.ค.-ธ.ค.'!H189+'ม.ค.-มี.ค.'!H188+'เม.ย.-มิ.ย.'!H188+'ก.ค.-ก.ย.'!H188</f>
        <v>5810</v>
      </c>
      <c r="I188" s="443">
        <f>+'ต.ค.-ธ.ค.'!I189+'ม.ค.-มี.ค.'!I188+'เม.ย.-มิ.ย.'!I188+'ก.ค.-ก.ย.'!I188</f>
        <v>0</v>
      </c>
      <c r="J188" s="443">
        <f>+'ต.ค.-ธ.ค.'!J189+'ม.ค.-มี.ค.'!J188+'เม.ย.-มิ.ย.'!J188+'ก.ค.-ก.ย.'!J188</f>
        <v>0</v>
      </c>
      <c r="K188" s="443">
        <f>+'ต.ค.-ธ.ค.'!K189+'ม.ค.-มี.ค.'!K188+'เม.ย.-มิ.ย.'!K188+'ก.ค.-ก.ย.'!K188</f>
        <v>0</v>
      </c>
      <c r="L188" s="443">
        <f>+'ต.ค.-ธ.ค.'!L189+'ม.ค.-มี.ค.'!L188+'เม.ย.-มิ.ย.'!L188+'ก.ค.-ก.ย.'!L188</f>
        <v>0</v>
      </c>
      <c r="M188" s="443">
        <f>+'ต.ค.-ธ.ค.'!M189+'ม.ค.-มี.ค.'!M188+'เม.ย.-มิ.ย.'!M188+'ก.ค.-ก.ย.'!M188</f>
        <v>0</v>
      </c>
      <c r="N188" s="443">
        <f>+'ต.ค.-ธ.ค.'!N189+'ม.ค.-มี.ค.'!N188+'เม.ย.-มิ.ย.'!N188+'ก.ค.-ก.ย.'!N188</f>
        <v>0</v>
      </c>
      <c r="O188" s="443">
        <f>+'ต.ค.-ธ.ค.'!O189+'ม.ค.-มี.ค.'!O188+'เม.ย.-มิ.ย.'!O188+'ก.ค.-ก.ย.'!O188</f>
        <v>0</v>
      </c>
      <c r="P188" s="443">
        <f>+'ต.ค.-ธ.ค.'!P189+'ม.ค.-มี.ค.'!P188+'เม.ย.-มิ.ย.'!P188+'ก.ค.-ก.ย.'!P188</f>
        <v>0</v>
      </c>
      <c r="Q188" s="443">
        <f>+'ต.ค.-ธ.ค.'!Q189+'ม.ค.-มี.ค.'!Q188+'เม.ย.-มิ.ย.'!Q188+'ก.ค.-ก.ย.'!Q188</f>
        <v>0</v>
      </c>
      <c r="R188" s="443">
        <f>+'ต.ค.-ธ.ค.'!R189+'ม.ค.-มี.ค.'!R188+'เม.ย.-มิ.ย.'!R188+'ก.ค.-ก.ย.'!R188</f>
        <v>0</v>
      </c>
      <c r="S188" s="443">
        <f>+'ต.ค.-ธ.ค.'!S189+'ม.ค.-มี.ค.'!S188+'เม.ย.-มิ.ย.'!S188+'ก.ค.-ก.ย.'!S188</f>
        <v>0</v>
      </c>
      <c r="T188" s="443">
        <f>+'ต.ค.-ธ.ค.'!T189+'ม.ค.-มี.ค.'!T188+'เม.ย.-มิ.ย.'!T188+'ก.ค.-ก.ย.'!T188</f>
        <v>0</v>
      </c>
      <c r="U188" s="443">
        <f>+'ต.ค.-ธ.ค.'!U189+'ม.ค.-มี.ค.'!U188+'เม.ย.-มิ.ย.'!U188+'ก.ค.-ก.ย.'!U188</f>
        <v>0</v>
      </c>
      <c r="V188" s="443">
        <f>+'ต.ค.-ธ.ค.'!V189+'ม.ค.-มี.ค.'!V188+'เม.ย.-มิ.ย.'!V188+'ก.ค.-ก.ย.'!V188</f>
        <v>0</v>
      </c>
    </row>
    <row r="189" spans="1:24" ht="25.5" customHeight="1">
      <c r="A189" s="9"/>
      <c r="B189" s="130" t="s">
        <v>304</v>
      </c>
      <c r="C189" s="408">
        <f>5000+20000</f>
        <v>25000</v>
      </c>
      <c r="D189" s="450"/>
      <c r="E189" s="443">
        <f>+'ต.ค.-ธ.ค.'!E190+'ม.ค.-มี.ค.'!E189+'เม.ย.-มิ.ย.'!E189+'ก.ค.-ก.ย.'!E189</f>
        <v>0</v>
      </c>
      <c r="F189" s="443">
        <f>+'ต.ค.-ธ.ค.'!F190+'ม.ค.-มี.ค.'!F189+'เม.ย.-มิ.ย.'!F189+'ก.ค.-ก.ย.'!F189</f>
        <v>0</v>
      </c>
      <c r="G189" s="443">
        <f>+'ต.ค.-ธ.ค.'!G190+'ม.ค.-มี.ค.'!G189+'เม.ย.-มิ.ย.'!G189+'ก.ค.-ก.ย.'!G189</f>
        <v>0</v>
      </c>
      <c r="H189" s="443">
        <f>+'ต.ค.-ธ.ค.'!H190+'ม.ค.-มี.ค.'!H189+'เม.ย.-มิ.ย.'!H189+'ก.ค.-ก.ย.'!H189</f>
        <v>2478</v>
      </c>
      <c r="I189" s="443">
        <f>+'ต.ค.-ธ.ค.'!I190+'ม.ค.-มี.ค.'!I189+'เม.ย.-มิ.ย.'!I189+'ก.ค.-ก.ย.'!I189</f>
        <v>0</v>
      </c>
      <c r="J189" s="443">
        <f>+'ต.ค.-ธ.ค.'!J190+'ม.ค.-มี.ค.'!J189+'เม.ย.-มิ.ย.'!J189+'ก.ค.-ก.ย.'!J189</f>
        <v>0</v>
      </c>
      <c r="K189" s="443">
        <f>+'ต.ค.-ธ.ค.'!K190+'ม.ค.-มี.ค.'!K189+'เม.ย.-มิ.ย.'!K189+'ก.ค.-ก.ย.'!K189</f>
        <v>0</v>
      </c>
      <c r="L189" s="443">
        <f>+'ต.ค.-ธ.ค.'!L190+'ม.ค.-มี.ค.'!L189+'เม.ย.-มิ.ย.'!L189+'ก.ค.-ก.ย.'!L189</f>
        <v>0</v>
      </c>
      <c r="M189" s="443">
        <f>+'ต.ค.-ธ.ค.'!M190+'ม.ค.-มี.ค.'!M189+'เม.ย.-มิ.ย.'!M189+'ก.ค.-ก.ย.'!M189</f>
        <v>0</v>
      </c>
      <c r="N189" s="443">
        <f>+'ต.ค.-ธ.ค.'!N190+'ม.ค.-มี.ค.'!N189+'เม.ย.-มิ.ย.'!N189+'ก.ค.-ก.ย.'!N189</f>
        <v>0</v>
      </c>
      <c r="O189" s="443">
        <f>+'ต.ค.-ธ.ค.'!O190+'ม.ค.-มี.ค.'!O189+'เม.ย.-มิ.ย.'!O189+'ก.ค.-ก.ย.'!O189</f>
        <v>0</v>
      </c>
      <c r="P189" s="443">
        <f>+'ต.ค.-ธ.ค.'!P190+'ม.ค.-มี.ค.'!P189+'เม.ย.-มิ.ย.'!P189+'ก.ค.-ก.ย.'!P189</f>
        <v>0</v>
      </c>
      <c r="Q189" s="443">
        <f>+'ต.ค.-ธ.ค.'!Q190+'ม.ค.-มี.ค.'!Q189+'เม.ย.-มิ.ย.'!Q189+'ก.ค.-ก.ย.'!Q189</f>
        <v>0</v>
      </c>
      <c r="R189" s="443">
        <f>+'ต.ค.-ธ.ค.'!R190+'ม.ค.-มี.ค.'!R189+'เม.ย.-มิ.ย.'!R189+'ก.ค.-ก.ย.'!R189</f>
        <v>0</v>
      </c>
      <c r="S189" s="443">
        <f>+'ต.ค.-ธ.ค.'!S190+'ม.ค.-มี.ค.'!S189+'เม.ย.-มิ.ย.'!S189+'ก.ค.-ก.ย.'!S189</f>
        <v>0</v>
      </c>
      <c r="T189" s="443">
        <f>+'ต.ค.-ธ.ค.'!T190+'ม.ค.-มี.ค.'!T189+'เม.ย.-มิ.ย.'!T189+'ก.ค.-ก.ย.'!T189</f>
        <v>0</v>
      </c>
      <c r="U189" s="443">
        <f>+'ต.ค.-ธ.ค.'!U190+'ม.ค.-มี.ค.'!U189+'เม.ย.-มิ.ย.'!U189+'ก.ค.-ก.ย.'!U189</f>
        <v>0</v>
      </c>
      <c r="V189" s="443">
        <f>+'ต.ค.-ธ.ค.'!V190+'ม.ค.-มี.ค.'!V189+'เม.ย.-มิ.ย.'!V189+'ก.ค.-ก.ย.'!V189</f>
        <v>15280</v>
      </c>
    </row>
    <row r="190" spans="1:24" ht="25.5" customHeight="1">
      <c r="A190" s="9"/>
      <c r="B190" s="130" t="s">
        <v>332</v>
      </c>
      <c r="C190" s="408">
        <v>10000</v>
      </c>
      <c r="D190" s="450"/>
      <c r="E190" s="443">
        <f>+'ต.ค.-ธ.ค.'!E191+'ม.ค.-มี.ค.'!E190+'เม.ย.-มิ.ย.'!E190+'ก.ค.-ก.ย.'!E190</f>
        <v>0</v>
      </c>
      <c r="F190" s="443">
        <f>+'ต.ค.-ธ.ค.'!F191+'ม.ค.-มี.ค.'!F190+'เม.ย.-มิ.ย.'!F190+'ก.ค.-ก.ย.'!F190</f>
        <v>0</v>
      </c>
      <c r="G190" s="443">
        <f>+'ต.ค.-ธ.ค.'!G191+'ม.ค.-มี.ค.'!G190+'เม.ย.-มิ.ย.'!G190+'ก.ค.-ก.ย.'!G190</f>
        <v>0</v>
      </c>
      <c r="H190" s="443">
        <f>+'ต.ค.-ธ.ค.'!H191+'ม.ค.-มี.ค.'!H190+'เม.ย.-มิ.ย.'!H190+'ก.ค.-ก.ย.'!H190</f>
        <v>0</v>
      </c>
      <c r="I190" s="443">
        <f>+'ต.ค.-ธ.ค.'!I191+'ม.ค.-มี.ค.'!I190+'เม.ย.-มิ.ย.'!I190+'ก.ค.-ก.ย.'!I190</f>
        <v>0</v>
      </c>
      <c r="J190" s="443">
        <f>+'ต.ค.-ธ.ค.'!J191+'ม.ค.-มี.ค.'!J190+'เม.ย.-มิ.ย.'!J190+'ก.ค.-ก.ย.'!J190</f>
        <v>0</v>
      </c>
      <c r="K190" s="443">
        <f>+'ต.ค.-ธ.ค.'!K191+'ม.ค.-มี.ค.'!K190+'เม.ย.-มิ.ย.'!K190+'ก.ค.-ก.ย.'!K190</f>
        <v>0</v>
      </c>
      <c r="L190" s="443">
        <f>+'ต.ค.-ธ.ค.'!L191+'ม.ค.-มี.ค.'!L190+'เม.ย.-มิ.ย.'!L190+'ก.ค.-ก.ย.'!L190</f>
        <v>0</v>
      </c>
      <c r="M190" s="443">
        <f>+'ต.ค.-ธ.ค.'!M191+'ม.ค.-มี.ค.'!M190+'เม.ย.-มิ.ย.'!M190+'ก.ค.-ก.ย.'!M190</f>
        <v>0</v>
      </c>
      <c r="N190" s="443">
        <f>+'ต.ค.-ธ.ค.'!N191+'ม.ค.-มี.ค.'!N190+'เม.ย.-มิ.ย.'!N190+'ก.ค.-ก.ย.'!N190</f>
        <v>0</v>
      </c>
      <c r="O190" s="443">
        <f>+'ต.ค.-ธ.ค.'!O191+'ม.ค.-มี.ค.'!O190+'เม.ย.-มิ.ย.'!O190+'ก.ค.-ก.ย.'!O190</f>
        <v>0</v>
      </c>
      <c r="P190" s="443">
        <f>+'ต.ค.-ธ.ค.'!P191+'ม.ค.-มี.ค.'!P190+'เม.ย.-มิ.ย.'!P190+'ก.ค.-ก.ย.'!P190</f>
        <v>0</v>
      </c>
      <c r="Q190" s="443">
        <f>+'ต.ค.-ธ.ค.'!Q191+'ม.ค.-มี.ค.'!Q190+'เม.ย.-มิ.ย.'!Q190+'ก.ค.-ก.ย.'!Q190</f>
        <v>0</v>
      </c>
      <c r="R190" s="443">
        <f>+'ต.ค.-ธ.ค.'!R191+'ม.ค.-มี.ค.'!R190+'เม.ย.-มิ.ย.'!R190+'ก.ค.-ก.ย.'!R190</f>
        <v>0</v>
      </c>
      <c r="S190" s="443">
        <f>+'ต.ค.-ธ.ค.'!S191+'ม.ค.-มี.ค.'!S190+'เม.ย.-มิ.ย.'!S190+'ก.ค.-ก.ย.'!S190</f>
        <v>0</v>
      </c>
      <c r="T190" s="443">
        <f>+'ต.ค.-ธ.ค.'!T191+'ม.ค.-มี.ค.'!T190+'เม.ย.-มิ.ย.'!T190+'ก.ค.-ก.ย.'!T190</f>
        <v>0</v>
      </c>
      <c r="U190" s="443">
        <f>+'ต.ค.-ธ.ค.'!U191+'ม.ค.-มี.ค.'!U190+'เม.ย.-มิ.ย.'!U190+'ก.ค.-ก.ย.'!U190</f>
        <v>0</v>
      </c>
      <c r="V190" s="443">
        <f>+'ต.ค.-ธ.ค.'!V191+'ม.ค.-มี.ค.'!V190+'เม.ย.-มิ.ย.'!V190+'ก.ค.-ก.ย.'!V190</f>
        <v>0</v>
      </c>
    </row>
    <row r="191" spans="1:24" ht="25.5" customHeight="1">
      <c r="A191" s="9"/>
      <c r="B191" s="130" t="s">
        <v>46</v>
      </c>
      <c r="C191" s="408">
        <v>80000</v>
      </c>
      <c r="D191" s="450"/>
      <c r="E191" s="443">
        <f>+'ต.ค.-ธ.ค.'!E192+'ม.ค.-มี.ค.'!E191+'เม.ย.-มิ.ย.'!E191+'ก.ค.-ก.ย.'!E191</f>
        <v>0</v>
      </c>
      <c r="F191" s="443">
        <f>+'ต.ค.-ธ.ค.'!F192+'ม.ค.-มี.ค.'!F191+'เม.ย.-มิ.ย.'!F191+'ก.ค.-ก.ย.'!F191</f>
        <v>0</v>
      </c>
      <c r="G191" s="443">
        <f>+'ต.ค.-ธ.ค.'!G192+'ม.ค.-มี.ค.'!G191+'เม.ย.-มิ.ย.'!G191+'ก.ค.-ก.ย.'!G191</f>
        <v>0</v>
      </c>
      <c r="H191" s="443">
        <f>+'ต.ค.-ธ.ค.'!H192+'ม.ค.-มี.ค.'!H191+'เม.ย.-มิ.ย.'!H191+'ก.ค.-ก.ย.'!H191</f>
        <v>0</v>
      </c>
      <c r="I191" s="443">
        <f>+'ต.ค.-ธ.ค.'!I192+'ม.ค.-มี.ค.'!I191+'เม.ย.-มิ.ย.'!I191+'ก.ค.-ก.ย.'!I191</f>
        <v>0</v>
      </c>
      <c r="J191" s="443">
        <f>+'ต.ค.-ธ.ค.'!J192+'ม.ค.-มี.ค.'!J191+'เม.ย.-มิ.ย.'!J191+'ก.ค.-ก.ย.'!J191</f>
        <v>0</v>
      </c>
      <c r="K191" s="443">
        <f>+'ต.ค.-ธ.ค.'!K192+'ม.ค.-มี.ค.'!K191+'เม.ย.-มิ.ย.'!K191+'ก.ค.-ก.ย.'!K191</f>
        <v>0</v>
      </c>
      <c r="L191" s="443">
        <f>+'ต.ค.-ธ.ค.'!L192+'ม.ค.-มี.ค.'!L191+'เม.ย.-มิ.ย.'!L191+'ก.ค.-ก.ย.'!L191</f>
        <v>0</v>
      </c>
      <c r="M191" s="443">
        <f>+'ต.ค.-ธ.ค.'!M192+'ม.ค.-มี.ค.'!M191+'เม.ย.-มิ.ย.'!M191+'ก.ค.-ก.ย.'!M191</f>
        <v>0</v>
      </c>
      <c r="N191" s="443">
        <f>+'ต.ค.-ธ.ค.'!N192+'ม.ค.-มี.ค.'!N191+'เม.ย.-มิ.ย.'!N191+'ก.ค.-ก.ย.'!N191</f>
        <v>0</v>
      </c>
      <c r="O191" s="443">
        <f>+'ต.ค.-ธ.ค.'!O192+'ม.ค.-มี.ค.'!O191+'เม.ย.-มิ.ย.'!O191+'ก.ค.-ก.ย.'!O191</f>
        <v>0</v>
      </c>
      <c r="P191" s="443">
        <f>+'ต.ค.-ธ.ค.'!P192+'ม.ค.-มี.ค.'!P191+'เม.ย.-มิ.ย.'!P191+'ก.ค.-ก.ย.'!P191</f>
        <v>0</v>
      </c>
      <c r="Q191" s="443">
        <f>+'ต.ค.-ธ.ค.'!Q192+'ม.ค.-มี.ค.'!Q191+'เม.ย.-มิ.ย.'!Q191+'ก.ค.-ก.ย.'!Q191</f>
        <v>0</v>
      </c>
      <c r="R191" s="443">
        <f>+'ต.ค.-ธ.ค.'!R192+'ม.ค.-มี.ค.'!R191+'เม.ย.-มิ.ย.'!R191+'ก.ค.-ก.ย.'!R191</f>
        <v>65658</v>
      </c>
      <c r="S191" s="443">
        <f>+'ต.ค.-ธ.ค.'!S192+'ม.ค.-มี.ค.'!S191+'เม.ย.-มิ.ย.'!S191+'ก.ค.-ก.ย.'!S191</f>
        <v>0</v>
      </c>
      <c r="T191" s="443">
        <f>+'ต.ค.-ธ.ค.'!T192+'ม.ค.-มี.ค.'!T191+'เม.ย.-มิ.ย.'!T191+'ก.ค.-ก.ย.'!T191</f>
        <v>0</v>
      </c>
      <c r="U191" s="443">
        <f>+'ต.ค.-ธ.ค.'!U192+'ม.ค.-มี.ค.'!U191+'เม.ย.-มิ.ย.'!U191+'ก.ค.-ก.ย.'!U191</f>
        <v>0</v>
      </c>
      <c r="V191" s="443">
        <f>+'ต.ค.-ธ.ค.'!V192+'ม.ค.-มี.ค.'!V191+'เม.ย.-มิ.ย.'!V191+'ก.ค.-ก.ย.'!V191</f>
        <v>0</v>
      </c>
    </row>
    <row r="192" spans="1:24" ht="25.5" customHeight="1">
      <c r="A192" s="9"/>
      <c r="B192" s="130" t="s">
        <v>316</v>
      </c>
      <c r="C192" s="408">
        <v>1216788</v>
      </c>
      <c r="D192" s="442"/>
      <c r="E192" s="443">
        <f>+'ต.ค.-ธ.ค.'!E193+'ม.ค.-มี.ค.'!E192+'เม.ย.-มิ.ย.'!E192+'ก.ค.-ก.ย.'!E192</f>
        <v>0</v>
      </c>
      <c r="F192" s="443">
        <f>+'ต.ค.-ธ.ค.'!F193+'ม.ค.-มี.ค.'!F192+'เม.ย.-มิ.ย.'!F192+'ก.ค.-ก.ย.'!F192</f>
        <v>0</v>
      </c>
      <c r="G192" s="443">
        <f>+'ต.ค.-ธ.ค.'!G193+'ม.ค.-มี.ค.'!G192+'เม.ย.-มิ.ย.'!G192+'ก.ค.-ก.ย.'!G192</f>
        <v>0</v>
      </c>
      <c r="H192" s="443">
        <f>+'ต.ค.-ธ.ค.'!H193+'ม.ค.-มี.ค.'!H192+'เม.ย.-มิ.ย.'!H192+'ก.ค.-ก.ย.'!H192</f>
        <v>0</v>
      </c>
      <c r="I192" s="443">
        <f>+'ต.ค.-ธ.ค.'!I193+'ม.ค.-มี.ค.'!I192+'เม.ย.-มิ.ย.'!I192+'ก.ค.-ก.ย.'!I192</f>
        <v>1155012.6599999999</v>
      </c>
      <c r="J192" s="443">
        <f>+'ต.ค.-ธ.ค.'!J193+'ม.ค.-มี.ค.'!J192+'เม.ย.-มิ.ย.'!J192+'ก.ค.-ก.ย.'!J192</f>
        <v>0</v>
      </c>
      <c r="K192" s="443">
        <f>+'ต.ค.-ธ.ค.'!K193+'ม.ค.-มี.ค.'!K192+'เม.ย.-มิ.ย.'!K192+'ก.ค.-ก.ย.'!K192</f>
        <v>0</v>
      </c>
      <c r="L192" s="443">
        <f>+'ต.ค.-ธ.ค.'!L193+'ม.ค.-มี.ค.'!L192+'เม.ย.-มิ.ย.'!L192+'ก.ค.-ก.ย.'!L192</f>
        <v>0</v>
      </c>
      <c r="M192" s="443">
        <f>+'ต.ค.-ธ.ค.'!M193+'ม.ค.-มี.ค.'!M192+'เม.ย.-มิ.ย.'!M192+'ก.ค.-ก.ย.'!M192</f>
        <v>0</v>
      </c>
      <c r="N192" s="443">
        <f>+'ต.ค.-ธ.ค.'!N193+'ม.ค.-มี.ค.'!N192+'เม.ย.-มิ.ย.'!N192+'ก.ค.-ก.ย.'!N192</f>
        <v>0</v>
      </c>
      <c r="O192" s="443">
        <f>+'ต.ค.-ธ.ค.'!O193+'ม.ค.-มี.ค.'!O192+'เม.ย.-มิ.ย.'!O192+'ก.ค.-ก.ย.'!O192</f>
        <v>0</v>
      </c>
      <c r="P192" s="443">
        <f>+'ต.ค.-ธ.ค.'!P193+'ม.ค.-มี.ค.'!P192+'เม.ย.-มิ.ย.'!P192+'ก.ค.-ก.ย.'!P192</f>
        <v>0</v>
      </c>
      <c r="Q192" s="443">
        <f>+'ต.ค.-ธ.ค.'!Q193+'ม.ค.-มี.ค.'!Q192+'เม.ย.-มิ.ย.'!Q192+'ก.ค.-ก.ย.'!Q192</f>
        <v>0</v>
      </c>
      <c r="R192" s="443">
        <f>+'ต.ค.-ธ.ค.'!R193+'ม.ค.-มี.ค.'!R192+'เม.ย.-มิ.ย.'!R192+'ก.ค.-ก.ย.'!R192</f>
        <v>0</v>
      </c>
      <c r="S192" s="443">
        <f>+'ต.ค.-ธ.ค.'!S193+'ม.ค.-มี.ค.'!S192+'เม.ย.-มิ.ย.'!S192+'ก.ค.-ก.ย.'!S192</f>
        <v>0</v>
      </c>
      <c r="T192" s="443">
        <f>+'ต.ค.-ธ.ค.'!T193+'ม.ค.-มี.ค.'!T192+'เม.ย.-มิ.ย.'!T192+'ก.ค.-ก.ย.'!T192</f>
        <v>0</v>
      </c>
      <c r="U192" s="443">
        <f>+'ต.ค.-ธ.ค.'!U193+'ม.ค.-มี.ค.'!U192+'เม.ย.-มิ.ย.'!U192+'ก.ค.-ก.ย.'!U192</f>
        <v>0</v>
      </c>
      <c r="V192" s="443">
        <f>+'ต.ค.-ธ.ค.'!V193+'ม.ค.-มี.ค.'!V192+'เม.ย.-มิ.ย.'!V192+'ก.ค.-ก.ย.'!V192</f>
        <v>0</v>
      </c>
    </row>
    <row r="193" spans="1:23" ht="25.5" customHeight="1">
      <c r="A193" s="9"/>
      <c r="B193" s="130" t="s">
        <v>317</v>
      </c>
      <c r="C193" s="410">
        <v>0</v>
      </c>
      <c r="D193" s="458"/>
      <c r="E193" s="443">
        <f>+'ต.ค.-ธ.ค.'!E194+'ม.ค.-มี.ค.'!E193+'เม.ย.-มิ.ย.'!E193+'ก.ค.-ก.ย.'!E193</f>
        <v>0</v>
      </c>
      <c r="F193" s="443">
        <f>+'ต.ค.-ธ.ค.'!F194+'ม.ค.-มี.ค.'!F193+'เม.ย.-มิ.ย.'!F193+'ก.ค.-ก.ย.'!F193</f>
        <v>0</v>
      </c>
      <c r="G193" s="443">
        <f>+'ต.ค.-ธ.ค.'!G194+'ม.ค.-มี.ค.'!G193+'เม.ย.-มิ.ย.'!G193+'ก.ค.-ก.ย.'!G193</f>
        <v>0</v>
      </c>
      <c r="H193" s="443">
        <f>+'ต.ค.-ธ.ค.'!H194+'ม.ค.-มี.ค.'!H193+'เม.ย.-มิ.ย.'!H193+'ก.ค.-ก.ย.'!H193</f>
        <v>0</v>
      </c>
      <c r="I193" s="443">
        <f>+'ต.ค.-ธ.ค.'!I194+'ม.ค.-มี.ค.'!I193+'เม.ย.-มิ.ย.'!I193+'ก.ค.-ก.ย.'!I193</f>
        <v>0</v>
      </c>
      <c r="J193" s="443">
        <f>+'ต.ค.-ธ.ค.'!J194+'ม.ค.-มี.ค.'!J193+'เม.ย.-มิ.ย.'!J193+'ก.ค.-ก.ย.'!J193</f>
        <v>0</v>
      </c>
      <c r="K193" s="443">
        <f>+'ต.ค.-ธ.ค.'!K194+'ม.ค.-มี.ค.'!K193+'เม.ย.-มิ.ย.'!K193+'ก.ค.-ก.ย.'!K193</f>
        <v>0</v>
      </c>
      <c r="L193" s="443">
        <f>+'ต.ค.-ธ.ค.'!L194+'ม.ค.-มี.ค.'!L193+'เม.ย.-มิ.ย.'!L193+'ก.ค.-ก.ย.'!L193</f>
        <v>0</v>
      </c>
      <c r="M193" s="443">
        <f>+'ต.ค.-ธ.ค.'!M194+'ม.ค.-มี.ค.'!M193+'เม.ย.-มิ.ย.'!M193+'ก.ค.-ก.ย.'!M193</f>
        <v>0</v>
      </c>
      <c r="N193" s="443">
        <f>+'ต.ค.-ธ.ค.'!N194+'ม.ค.-มี.ค.'!N193+'เม.ย.-มิ.ย.'!N193+'ก.ค.-ก.ย.'!N193</f>
        <v>0</v>
      </c>
      <c r="O193" s="443">
        <f>+'ต.ค.-ธ.ค.'!O194+'ม.ค.-มี.ค.'!O193+'เม.ย.-มิ.ย.'!O193+'ก.ค.-ก.ย.'!O193</f>
        <v>0</v>
      </c>
      <c r="P193" s="443">
        <f>+'ต.ค.-ธ.ค.'!P194+'ม.ค.-มี.ค.'!P193+'เม.ย.-มิ.ย.'!P193+'ก.ค.-ก.ย.'!P193</f>
        <v>0</v>
      </c>
      <c r="Q193" s="443">
        <f>+'ต.ค.-ธ.ค.'!Q194+'ม.ค.-มี.ค.'!Q193+'เม.ย.-มิ.ย.'!Q193+'ก.ค.-ก.ย.'!Q193</f>
        <v>0</v>
      </c>
      <c r="R193" s="443">
        <f>+'ต.ค.-ธ.ค.'!R194+'ม.ค.-มี.ค.'!R193+'เม.ย.-มิ.ย.'!R193+'ก.ค.-ก.ย.'!R193</f>
        <v>0</v>
      </c>
      <c r="S193" s="443">
        <f>+'ต.ค.-ธ.ค.'!S194+'ม.ค.-มี.ค.'!S193+'เม.ย.-มิ.ย.'!S193+'ก.ค.-ก.ย.'!S193</f>
        <v>0</v>
      </c>
      <c r="T193" s="443">
        <f>+'ต.ค.-ธ.ค.'!T194+'ม.ค.-มี.ค.'!T193+'เม.ย.-มิ.ย.'!T193+'ก.ค.-ก.ย.'!T193</f>
        <v>0</v>
      </c>
      <c r="U193" s="443">
        <f>+'ต.ค.-ธ.ค.'!U194+'ม.ค.-มี.ค.'!U193+'เม.ย.-มิ.ย.'!U193+'ก.ค.-ก.ย.'!U193</f>
        <v>0</v>
      </c>
      <c r="V193" s="443">
        <f>+'ต.ค.-ธ.ค.'!V194+'ม.ค.-มี.ค.'!V193+'เม.ย.-มิ.ย.'!V193+'ก.ค.-ก.ย.'!V193</f>
        <v>0</v>
      </c>
    </row>
    <row r="194" spans="1:23" ht="25.5" customHeight="1">
      <c r="A194" s="9"/>
      <c r="B194" s="130" t="s">
        <v>318</v>
      </c>
      <c r="C194" s="408">
        <v>0</v>
      </c>
      <c r="D194" s="458"/>
      <c r="E194" s="443">
        <f>+'ต.ค.-ธ.ค.'!E195+'ม.ค.-มี.ค.'!E194+'เม.ย.-มิ.ย.'!E194+'ก.ค.-ก.ย.'!E194</f>
        <v>0</v>
      </c>
      <c r="F194" s="443">
        <f>+'ต.ค.-ธ.ค.'!F195+'ม.ค.-มี.ค.'!F194+'เม.ย.-มิ.ย.'!F194+'ก.ค.-ก.ย.'!F194</f>
        <v>0</v>
      </c>
      <c r="G194" s="443">
        <f>+'ต.ค.-ธ.ค.'!G195+'ม.ค.-มี.ค.'!G194+'เม.ย.-มิ.ย.'!G194+'ก.ค.-ก.ย.'!G194</f>
        <v>0</v>
      </c>
      <c r="H194" s="443">
        <f>+'ต.ค.-ธ.ค.'!H195+'ม.ค.-มี.ค.'!H194+'เม.ย.-มิ.ย.'!H194+'ก.ค.-ก.ย.'!H194</f>
        <v>0</v>
      </c>
      <c r="I194" s="443">
        <f>+'ต.ค.-ธ.ค.'!I195+'ม.ค.-มี.ค.'!I194+'เม.ย.-มิ.ย.'!I194+'ก.ค.-ก.ย.'!I194</f>
        <v>-8000</v>
      </c>
      <c r="J194" s="443">
        <f>+'ต.ค.-ธ.ค.'!J195+'ม.ค.-มี.ค.'!J194+'เม.ย.-มิ.ย.'!J194+'ก.ค.-ก.ย.'!J194</f>
        <v>0</v>
      </c>
      <c r="K194" s="443">
        <f>+'ต.ค.-ธ.ค.'!K195+'ม.ค.-มี.ค.'!K194+'เม.ย.-มิ.ย.'!K194+'ก.ค.-ก.ย.'!K194</f>
        <v>0</v>
      </c>
      <c r="L194" s="443">
        <f>+'ต.ค.-ธ.ค.'!L195+'ม.ค.-มี.ค.'!L194+'เม.ย.-มิ.ย.'!L194+'ก.ค.-ก.ย.'!L194</f>
        <v>0</v>
      </c>
      <c r="M194" s="443">
        <f>+'ต.ค.-ธ.ค.'!M195+'ม.ค.-มี.ค.'!M194+'เม.ย.-มิ.ย.'!M194+'ก.ค.-ก.ย.'!M194</f>
        <v>0</v>
      </c>
      <c r="N194" s="443">
        <f>+'ต.ค.-ธ.ค.'!N195+'ม.ค.-มี.ค.'!N194+'เม.ย.-มิ.ย.'!N194+'ก.ค.-ก.ย.'!N194</f>
        <v>0</v>
      </c>
      <c r="O194" s="443">
        <f>+'ต.ค.-ธ.ค.'!O195+'ม.ค.-มี.ค.'!O194+'เม.ย.-มิ.ย.'!O194+'ก.ค.-ก.ย.'!O194</f>
        <v>0</v>
      </c>
      <c r="P194" s="443">
        <f>+'ต.ค.-ธ.ค.'!P195+'ม.ค.-มี.ค.'!P194+'เม.ย.-มิ.ย.'!P194+'ก.ค.-ก.ย.'!P194</f>
        <v>0</v>
      </c>
      <c r="Q194" s="443">
        <f>+'ต.ค.-ธ.ค.'!Q195+'ม.ค.-มี.ค.'!Q194+'เม.ย.-มิ.ย.'!Q194+'ก.ค.-ก.ย.'!Q194</f>
        <v>0</v>
      </c>
      <c r="R194" s="443">
        <f>+'ต.ค.-ธ.ค.'!R195+'ม.ค.-มี.ค.'!R194+'เม.ย.-มิ.ย.'!R194+'ก.ค.-ก.ย.'!R194</f>
        <v>0</v>
      </c>
      <c r="S194" s="443">
        <f>+'ต.ค.-ธ.ค.'!S195+'ม.ค.-มี.ค.'!S194+'เม.ย.-มิ.ย.'!S194+'ก.ค.-ก.ย.'!S194</f>
        <v>0</v>
      </c>
      <c r="T194" s="443">
        <f>+'ต.ค.-ธ.ค.'!T195+'ม.ค.-มี.ค.'!T194+'เม.ย.-มิ.ย.'!T194+'ก.ค.-ก.ย.'!T194</f>
        <v>0</v>
      </c>
      <c r="U194" s="443">
        <f>+'ต.ค.-ธ.ค.'!U195+'ม.ค.-มี.ค.'!U194+'เม.ย.-มิ.ย.'!U194+'ก.ค.-ก.ย.'!U194</f>
        <v>0</v>
      </c>
      <c r="V194" s="443">
        <f>+'ต.ค.-ธ.ค.'!V195+'ม.ค.-มี.ค.'!V194+'เม.ย.-มิ.ย.'!V194+'ก.ค.-ก.ย.'!V194</f>
        <v>0</v>
      </c>
    </row>
    <row r="195" spans="1:23" ht="25.5" customHeight="1">
      <c r="A195" s="9"/>
      <c r="B195" s="185" t="s">
        <v>319</v>
      </c>
      <c r="C195" s="408">
        <v>153296</v>
      </c>
      <c r="D195" s="458"/>
      <c r="E195" s="443">
        <f>+'ต.ค.-ธ.ค.'!E196+'ม.ค.-มี.ค.'!E195+'เม.ย.-มิ.ย.'!E195+'ก.ค.-ก.ย.'!E195</f>
        <v>0</v>
      </c>
      <c r="F195" s="443">
        <f>+'ต.ค.-ธ.ค.'!F196+'ม.ค.-มี.ค.'!F195+'เม.ย.-มิ.ย.'!F195+'ก.ค.-ก.ย.'!F195</f>
        <v>0</v>
      </c>
      <c r="G195" s="443">
        <f>+'ต.ค.-ธ.ค.'!G196+'ม.ค.-มี.ค.'!G195+'เม.ย.-มิ.ย.'!G195+'ก.ค.-ก.ย.'!G195</f>
        <v>0</v>
      </c>
      <c r="H195" s="443">
        <f>+'ต.ค.-ธ.ค.'!H196+'ม.ค.-มี.ค.'!H195+'เม.ย.-มิ.ย.'!H195+'ก.ค.-ก.ย.'!H195</f>
        <v>0</v>
      </c>
      <c r="I195" s="443">
        <f>+'ต.ค.-ธ.ค.'!I196+'ม.ค.-มี.ค.'!I195+'เม.ย.-มิ.ย.'!I195+'ก.ค.-ก.ย.'!I195</f>
        <v>347486.19999999995</v>
      </c>
      <c r="J195" s="443">
        <f>+'ต.ค.-ธ.ค.'!J196+'ม.ค.-มี.ค.'!J195+'เม.ย.-มิ.ย.'!J195+'ก.ค.-ก.ย.'!J195</f>
        <v>0</v>
      </c>
      <c r="K195" s="443">
        <f>+'ต.ค.-ธ.ค.'!K196+'ม.ค.-มี.ค.'!K195+'เม.ย.-มิ.ย.'!K195+'ก.ค.-ก.ย.'!K195</f>
        <v>0</v>
      </c>
      <c r="L195" s="443">
        <f>+'ต.ค.-ธ.ค.'!L196+'ม.ค.-มี.ค.'!L195+'เม.ย.-มิ.ย.'!L195+'ก.ค.-ก.ย.'!L195</f>
        <v>0</v>
      </c>
      <c r="M195" s="443">
        <f>+'ต.ค.-ธ.ค.'!M196+'ม.ค.-มี.ค.'!M195+'เม.ย.-มิ.ย.'!M195+'ก.ค.-ก.ย.'!M195</f>
        <v>0</v>
      </c>
      <c r="N195" s="443">
        <f>+'ต.ค.-ธ.ค.'!N196+'ม.ค.-มี.ค.'!N195+'เม.ย.-มิ.ย.'!N195+'ก.ค.-ก.ย.'!N195</f>
        <v>0</v>
      </c>
      <c r="O195" s="443">
        <f>+'ต.ค.-ธ.ค.'!O196+'ม.ค.-มี.ค.'!O195+'เม.ย.-มิ.ย.'!O195+'ก.ค.-ก.ย.'!O195</f>
        <v>0</v>
      </c>
      <c r="P195" s="443">
        <f>+'ต.ค.-ธ.ค.'!P196+'ม.ค.-มี.ค.'!P195+'เม.ย.-มิ.ย.'!P195+'ก.ค.-ก.ย.'!P195</f>
        <v>0</v>
      </c>
      <c r="Q195" s="443">
        <f>+'ต.ค.-ธ.ค.'!Q196+'ม.ค.-มี.ค.'!Q195+'เม.ย.-มิ.ย.'!Q195+'ก.ค.-ก.ย.'!Q195</f>
        <v>0</v>
      </c>
      <c r="R195" s="443">
        <f>+'ต.ค.-ธ.ค.'!R196+'ม.ค.-มี.ค.'!R195+'เม.ย.-มิ.ย.'!R195+'ก.ค.-ก.ย.'!R195</f>
        <v>0</v>
      </c>
      <c r="S195" s="443">
        <f>+'ต.ค.-ธ.ค.'!S196+'ม.ค.-มี.ค.'!S195+'เม.ย.-มิ.ย.'!S195+'ก.ค.-ก.ย.'!S195</f>
        <v>0</v>
      </c>
      <c r="T195" s="443">
        <f>+'ต.ค.-ธ.ค.'!T196+'ม.ค.-มี.ค.'!T195+'เม.ย.-มิ.ย.'!T195+'ก.ค.-ก.ย.'!T195</f>
        <v>0</v>
      </c>
      <c r="U195" s="443">
        <f>+'ต.ค.-ธ.ค.'!U196+'ม.ค.-มี.ค.'!U195+'เม.ย.-มิ.ย.'!U195+'ก.ค.-ก.ย.'!U195</f>
        <v>0</v>
      </c>
      <c r="V195" s="443">
        <f>+'ต.ค.-ธ.ค.'!V196+'ม.ค.-มี.ค.'!V195+'เม.ย.-มิ.ย.'!V195+'ก.ค.-ก.ย.'!V195</f>
        <v>0</v>
      </c>
    </row>
    <row r="196" spans="1:23" ht="25.5" customHeight="1">
      <c r="A196" s="9"/>
      <c r="B196" s="185" t="s">
        <v>320</v>
      </c>
      <c r="C196" s="408">
        <v>78565</v>
      </c>
      <c r="D196" s="458"/>
      <c r="E196" s="443">
        <f>+'ต.ค.-ธ.ค.'!E197+'ม.ค.-มี.ค.'!E196+'เม.ย.-มิ.ย.'!E196+'ก.ค.-ก.ย.'!E196</f>
        <v>0</v>
      </c>
      <c r="F196" s="443">
        <f>+'ต.ค.-ธ.ค.'!F197+'ม.ค.-มี.ค.'!F196+'เม.ย.-มิ.ย.'!F196+'ก.ค.-ก.ย.'!F196</f>
        <v>0</v>
      </c>
      <c r="G196" s="443">
        <f>+'ต.ค.-ธ.ค.'!G197+'ม.ค.-มี.ค.'!G196+'เม.ย.-มิ.ย.'!G196+'ก.ค.-ก.ย.'!G196</f>
        <v>0</v>
      </c>
      <c r="H196" s="443">
        <f>+'ต.ค.-ธ.ค.'!H197+'ม.ค.-มี.ค.'!H196+'เม.ย.-มิ.ย.'!H196+'ก.ค.-ก.ย.'!H196</f>
        <v>0</v>
      </c>
      <c r="I196" s="443">
        <f>+'ต.ค.-ธ.ค.'!I197+'ม.ค.-มี.ค.'!I196+'เม.ย.-มิ.ย.'!I196+'ก.ค.-ก.ย.'!I196</f>
        <v>0</v>
      </c>
      <c r="J196" s="443">
        <f>+'ต.ค.-ธ.ค.'!J197+'ม.ค.-มี.ค.'!J196+'เม.ย.-มิ.ย.'!J196+'ก.ค.-ก.ย.'!J196</f>
        <v>0</v>
      </c>
      <c r="K196" s="443">
        <f>+'ต.ค.-ธ.ค.'!K197+'ม.ค.-มี.ค.'!K196+'เม.ย.-มิ.ย.'!K196+'ก.ค.-ก.ย.'!K196</f>
        <v>0</v>
      </c>
      <c r="L196" s="443">
        <f>+'ต.ค.-ธ.ค.'!L197+'ม.ค.-มี.ค.'!L196+'เม.ย.-มิ.ย.'!L196+'ก.ค.-ก.ย.'!L196</f>
        <v>0</v>
      </c>
      <c r="M196" s="443">
        <f>+'ต.ค.-ธ.ค.'!M197+'ม.ค.-มี.ค.'!M196+'เม.ย.-มิ.ย.'!M196+'ก.ค.-ก.ย.'!M196</f>
        <v>0</v>
      </c>
      <c r="N196" s="443">
        <f>+'ต.ค.-ธ.ค.'!N197+'ม.ค.-มี.ค.'!N196+'เม.ย.-มิ.ย.'!N196+'ก.ค.-ก.ย.'!N196</f>
        <v>0</v>
      </c>
      <c r="O196" s="443">
        <f>+'ต.ค.-ธ.ค.'!O197+'ม.ค.-มี.ค.'!O196+'เม.ย.-มิ.ย.'!O196+'ก.ค.-ก.ย.'!O196</f>
        <v>0</v>
      </c>
      <c r="P196" s="443">
        <f>+'ต.ค.-ธ.ค.'!P197+'ม.ค.-มี.ค.'!P196+'เม.ย.-มิ.ย.'!P196+'ก.ค.-ก.ย.'!P196</f>
        <v>0</v>
      </c>
      <c r="Q196" s="443">
        <f>+'ต.ค.-ธ.ค.'!Q197+'ม.ค.-มี.ค.'!Q196+'เม.ย.-มิ.ย.'!Q196+'ก.ค.-ก.ย.'!Q196</f>
        <v>0</v>
      </c>
      <c r="R196" s="443">
        <f>+'ต.ค.-ธ.ค.'!R197+'ม.ค.-มี.ค.'!R196+'เม.ย.-มิ.ย.'!R196+'ก.ค.-ก.ย.'!R196</f>
        <v>0</v>
      </c>
      <c r="S196" s="443">
        <f>+'ต.ค.-ธ.ค.'!S197+'ม.ค.-มี.ค.'!S196+'เม.ย.-มิ.ย.'!S196+'ก.ค.-ก.ย.'!S196</f>
        <v>0</v>
      </c>
      <c r="T196" s="443">
        <f>+'ต.ค.-ธ.ค.'!T197+'ม.ค.-มี.ค.'!T196+'เม.ย.-มิ.ย.'!T196+'ก.ค.-ก.ย.'!T196</f>
        <v>0</v>
      </c>
      <c r="U196" s="443">
        <f>+'ต.ค.-ธ.ค.'!U197+'ม.ค.-มี.ค.'!U196+'เม.ย.-มิ.ย.'!U196+'ก.ค.-ก.ย.'!U196</f>
        <v>0</v>
      </c>
      <c r="V196" s="443">
        <f>+'ต.ค.-ธ.ค.'!V197+'ม.ค.-มี.ค.'!V196+'เม.ย.-มิ.ย.'!V196+'ก.ค.-ก.ย.'!V196</f>
        <v>0</v>
      </c>
    </row>
    <row r="197" spans="1:23" ht="25.5" customHeight="1">
      <c r="A197" s="9"/>
      <c r="B197" s="185" t="s">
        <v>321</v>
      </c>
      <c r="C197" s="408">
        <v>90062</v>
      </c>
      <c r="D197" s="458"/>
      <c r="E197" s="443">
        <f>+'ต.ค.-ธ.ค.'!E198+'ม.ค.-มี.ค.'!E197+'เม.ย.-มิ.ย.'!E197+'ก.ค.-ก.ย.'!E197</f>
        <v>0</v>
      </c>
      <c r="F197" s="443">
        <f>+'ต.ค.-ธ.ค.'!F198+'ม.ค.-มี.ค.'!F197+'เม.ย.-มิ.ย.'!F197+'ก.ค.-ก.ย.'!F197</f>
        <v>0</v>
      </c>
      <c r="G197" s="443">
        <f>+'ต.ค.-ธ.ค.'!G198+'ม.ค.-มี.ค.'!G197+'เม.ย.-มิ.ย.'!G197+'ก.ค.-ก.ย.'!G197</f>
        <v>0</v>
      </c>
      <c r="H197" s="443">
        <f>+'ต.ค.-ธ.ค.'!H198+'ม.ค.-มี.ค.'!H197+'เม.ย.-มิ.ย.'!H197+'ก.ค.-ก.ย.'!H197</f>
        <v>0</v>
      </c>
      <c r="I197" s="443">
        <f>+'ต.ค.-ธ.ค.'!I198+'ม.ค.-มี.ค.'!I197+'เม.ย.-มิ.ย.'!I197+'ก.ค.-ก.ย.'!I197</f>
        <v>0</v>
      </c>
      <c r="J197" s="443">
        <f>+'ต.ค.-ธ.ค.'!J198+'ม.ค.-มี.ค.'!J197+'เม.ย.-มิ.ย.'!J197+'ก.ค.-ก.ย.'!J197</f>
        <v>0</v>
      </c>
      <c r="K197" s="443">
        <f>+'ต.ค.-ธ.ค.'!K198+'ม.ค.-มี.ค.'!K197+'เม.ย.-มิ.ย.'!K197+'ก.ค.-ก.ย.'!K197</f>
        <v>0</v>
      </c>
      <c r="L197" s="443">
        <f>+'ต.ค.-ธ.ค.'!L198+'ม.ค.-มี.ค.'!L197+'เม.ย.-มิ.ย.'!L197+'ก.ค.-ก.ย.'!L197</f>
        <v>0</v>
      </c>
      <c r="M197" s="443">
        <f>+'ต.ค.-ธ.ค.'!M198+'ม.ค.-มี.ค.'!M197+'เม.ย.-มิ.ย.'!M197+'ก.ค.-ก.ย.'!M197</f>
        <v>0</v>
      </c>
      <c r="N197" s="443">
        <f>+'ต.ค.-ธ.ค.'!N198+'ม.ค.-มี.ค.'!N197+'เม.ย.-มิ.ย.'!N197+'ก.ค.-ก.ย.'!N197</f>
        <v>0</v>
      </c>
      <c r="O197" s="443">
        <f>+'ต.ค.-ธ.ค.'!O198+'ม.ค.-มี.ค.'!O197+'เม.ย.-มิ.ย.'!O197+'ก.ค.-ก.ย.'!O197</f>
        <v>0</v>
      </c>
      <c r="P197" s="443">
        <f>+'ต.ค.-ธ.ค.'!P198+'ม.ค.-มี.ค.'!P197+'เม.ย.-มิ.ย.'!P197+'ก.ค.-ก.ย.'!P197</f>
        <v>0</v>
      </c>
      <c r="Q197" s="443">
        <f>+'ต.ค.-ธ.ค.'!Q198+'ม.ค.-มี.ค.'!Q197+'เม.ย.-มิ.ย.'!Q197+'ก.ค.-ก.ย.'!Q197</f>
        <v>0</v>
      </c>
      <c r="R197" s="443">
        <f>+'ต.ค.-ธ.ค.'!R198+'ม.ค.-มี.ค.'!R197+'เม.ย.-มิ.ย.'!R197+'ก.ค.-ก.ย.'!R197</f>
        <v>0</v>
      </c>
      <c r="S197" s="443">
        <f>+'ต.ค.-ธ.ค.'!S198+'ม.ค.-มี.ค.'!S197+'เม.ย.-มิ.ย.'!S197+'ก.ค.-ก.ย.'!S197</f>
        <v>0</v>
      </c>
      <c r="T197" s="443">
        <f>+'ต.ค.-ธ.ค.'!T198+'ม.ค.-มี.ค.'!T197+'เม.ย.-มิ.ย.'!T197+'ก.ค.-ก.ย.'!T197</f>
        <v>0</v>
      </c>
      <c r="U197" s="443">
        <f>+'ต.ค.-ธ.ค.'!U198+'ม.ค.-มี.ค.'!U197+'เม.ย.-มิ.ย.'!U197+'ก.ค.-ก.ย.'!U197</f>
        <v>0</v>
      </c>
      <c r="V197" s="443">
        <f>+'ต.ค.-ธ.ค.'!V198+'ม.ค.-มี.ค.'!V197+'เม.ย.-มิ.ย.'!V197+'ก.ค.-ก.ย.'!V197</f>
        <v>0</v>
      </c>
    </row>
    <row r="198" spans="1:23" ht="25.5" customHeight="1">
      <c r="A198" s="165"/>
      <c r="B198" s="185" t="s">
        <v>322</v>
      </c>
      <c r="C198" s="408">
        <v>67067</v>
      </c>
      <c r="D198" s="458"/>
      <c r="E198" s="443">
        <f>+'ต.ค.-ธ.ค.'!E199+'ม.ค.-มี.ค.'!E198+'เม.ย.-มิ.ย.'!E198+'ก.ค.-ก.ย.'!E198</f>
        <v>0</v>
      </c>
      <c r="F198" s="443">
        <f>+'ต.ค.-ธ.ค.'!F199+'ม.ค.-มี.ค.'!F198+'เม.ย.-มิ.ย.'!F198+'ก.ค.-ก.ย.'!F198</f>
        <v>0</v>
      </c>
      <c r="G198" s="443">
        <f>+'ต.ค.-ธ.ค.'!G199+'ม.ค.-มี.ค.'!G198+'เม.ย.-มิ.ย.'!G198+'ก.ค.-ก.ย.'!G198</f>
        <v>0</v>
      </c>
      <c r="H198" s="443">
        <f>+'ต.ค.-ธ.ค.'!H199+'ม.ค.-มี.ค.'!H198+'เม.ย.-มิ.ย.'!H198+'ก.ค.-ก.ย.'!H198</f>
        <v>0</v>
      </c>
      <c r="I198" s="443">
        <f>+'ต.ค.-ธ.ค.'!I199+'ม.ค.-มี.ค.'!I198+'เม.ย.-มิ.ย.'!I198+'ก.ค.-ก.ย.'!I198</f>
        <v>0</v>
      </c>
      <c r="J198" s="443">
        <f>+'ต.ค.-ธ.ค.'!J199+'ม.ค.-มี.ค.'!J198+'เม.ย.-มิ.ย.'!J198+'ก.ค.-ก.ย.'!J198</f>
        <v>0</v>
      </c>
      <c r="K198" s="443">
        <f>+'ต.ค.-ธ.ค.'!K199+'ม.ค.-มี.ค.'!K198+'เม.ย.-มิ.ย.'!K198+'ก.ค.-ก.ย.'!K198</f>
        <v>0</v>
      </c>
      <c r="L198" s="443">
        <f>+'ต.ค.-ธ.ค.'!L199+'ม.ค.-มี.ค.'!L198+'เม.ย.-มิ.ย.'!L198+'ก.ค.-ก.ย.'!L198</f>
        <v>0</v>
      </c>
      <c r="M198" s="443">
        <f>+'ต.ค.-ธ.ค.'!M199+'ม.ค.-มี.ค.'!M198+'เม.ย.-มิ.ย.'!M198+'ก.ค.-ก.ย.'!M198</f>
        <v>0</v>
      </c>
      <c r="N198" s="443">
        <f>+'ต.ค.-ธ.ค.'!N199+'ม.ค.-มี.ค.'!N198+'เม.ย.-มิ.ย.'!N198+'ก.ค.-ก.ย.'!N198</f>
        <v>0</v>
      </c>
      <c r="O198" s="443">
        <f>+'ต.ค.-ธ.ค.'!O199+'ม.ค.-มี.ค.'!O198+'เม.ย.-มิ.ย.'!O198+'ก.ค.-ก.ย.'!O198</f>
        <v>0</v>
      </c>
      <c r="P198" s="443">
        <f>+'ต.ค.-ธ.ค.'!P199+'ม.ค.-มี.ค.'!P198+'เม.ย.-มิ.ย.'!P198+'ก.ค.-ก.ย.'!P198</f>
        <v>0</v>
      </c>
      <c r="Q198" s="443">
        <f>+'ต.ค.-ธ.ค.'!Q199+'ม.ค.-มี.ค.'!Q198+'เม.ย.-มิ.ย.'!Q198+'ก.ค.-ก.ย.'!Q198</f>
        <v>0</v>
      </c>
      <c r="R198" s="443">
        <f>+'ต.ค.-ธ.ค.'!R199+'ม.ค.-มี.ค.'!R198+'เม.ย.-มิ.ย.'!R198+'ก.ค.-ก.ย.'!R198</f>
        <v>0</v>
      </c>
      <c r="S198" s="443">
        <f>+'ต.ค.-ธ.ค.'!S199+'ม.ค.-มี.ค.'!S198+'เม.ย.-มิ.ย.'!S198+'ก.ค.-ก.ย.'!S198</f>
        <v>0</v>
      </c>
      <c r="T198" s="443">
        <f>+'ต.ค.-ธ.ค.'!T199+'ม.ค.-มี.ค.'!T198+'เม.ย.-มิ.ย.'!T198+'ก.ค.-ก.ย.'!T198</f>
        <v>0</v>
      </c>
      <c r="U198" s="443">
        <f>+'ต.ค.-ธ.ค.'!U199+'ม.ค.-มี.ค.'!U198+'เม.ย.-มิ.ย.'!U198+'ก.ค.-ก.ย.'!U198</f>
        <v>0</v>
      </c>
      <c r="V198" s="443">
        <f>+'ต.ค.-ธ.ค.'!V199+'ม.ค.-มี.ค.'!V198+'เม.ย.-มิ.ย.'!V198+'ก.ค.-ก.ย.'!V198</f>
        <v>0</v>
      </c>
    </row>
    <row r="199" spans="1:23" ht="25.5" customHeight="1">
      <c r="A199" s="9"/>
      <c r="B199" s="185"/>
      <c r="C199" s="408"/>
      <c r="D199" s="458"/>
      <c r="E199" s="443">
        <f>+'ต.ค.-ธ.ค.'!E200+'ม.ค.-มี.ค.'!E199+'เม.ย.-มิ.ย.'!E199+'ก.ค.-ก.ย.'!E199</f>
        <v>0</v>
      </c>
      <c r="F199" s="443">
        <f>+'ต.ค.-ธ.ค.'!F200+'ม.ค.-มี.ค.'!F199+'เม.ย.-มิ.ย.'!F199+'ก.ค.-ก.ย.'!F199</f>
        <v>0</v>
      </c>
      <c r="G199" s="443">
        <f>+'ต.ค.-ธ.ค.'!G200+'ม.ค.-มี.ค.'!G199+'เม.ย.-มิ.ย.'!G199+'ก.ค.-ก.ย.'!G199</f>
        <v>0</v>
      </c>
      <c r="H199" s="443">
        <f>+'ต.ค.-ธ.ค.'!H200+'ม.ค.-มี.ค.'!H199+'เม.ย.-มิ.ย.'!H199+'ก.ค.-ก.ย.'!H199</f>
        <v>0</v>
      </c>
      <c r="I199" s="443">
        <f>+'ต.ค.-ธ.ค.'!I200+'ม.ค.-มี.ค.'!I199+'เม.ย.-มิ.ย.'!I199+'ก.ค.-ก.ย.'!I199</f>
        <v>0</v>
      </c>
      <c r="J199" s="443">
        <f>+'ต.ค.-ธ.ค.'!J200+'ม.ค.-มี.ค.'!J199+'เม.ย.-มิ.ย.'!J199+'ก.ค.-ก.ย.'!J199</f>
        <v>0</v>
      </c>
      <c r="K199" s="443">
        <f>+'ต.ค.-ธ.ค.'!K200+'ม.ค.-มี.ค.'!K199+'เม.ย.-มิ.ย.'!K199+'ก.ค.-ก.ย.'!K199</f>
        <v>0</v>
      </c>
      <c r="L199" s="443">
        <f>+'ต.ค.-ธ.ค.'!L200+'ม.ค.-มี.ค.'!L199+'เม.ย.-มิ.ย.'!L199+'ก.ค.-ก.ย.'!L199</f>
        <v>0</v>
      </c>
      <c r="M199" s="443">
        <f>+'ต.ค.-ธ.ค.'!M200+'ม.ค.-มี.ค.'!M199+'เม.ย.-มิ.ย.'!M199+'ก.ค.-ก.ย.'!M199</f>
        <v>0</v>
      </c>
      <c r="N199" s="443">
        <f>+'ต.ค.-ธ.ค.'!N200+'ม.ค.-มี.ค.'!N199+'เม.ย.-มิ.ย.'!N199+'ก.ค.-ก.ย.'!N199</f>
        <v>0</v>
      </c>
      <c r="O199" s="443">
        <f>+'ต.ค.-ธ.ค.'!O200+'ม.ค.-มี.ค.'!O199+'เม.ย.-มิ.ย.'!O199+'ก.ค.-ก.ย.'!O199</f>
        <v>0</v>
      </c>
      <c r="P199" s="443">
        <f>+'ต.ค.-ธ.ค.'!P200+'ม.ค.-มี.ค.'!P199+'เม.ย.-มิ.ย.'!P199+'ก.ค.-ก.ย.'!P199</f>
        <v>0</v>
      </c>
      <c r="Q199" s="443">
        <f>+'ต.ค.-ธ.ค.'!Q200+'ม.ค.-มี.ค.'!Q199+'เม.ย.-มิ.ย.'!Q199+'ก.ค.-ก.ย.'!Q199</f>
        <v>0</v>
      </c>
      <c r="R199" s="443">
        <f>+'ต.ค.-ธ.ค.'!R200+'ม.ค.-มี.ค.'!R199+'เม.ย.-มิ.ย.'!R199+'ก.ค.-ก.ย.'!R199</f>
        <v>0</v>
      </c>
      <c r="S199" s="443">
        <f>+'ต.ค.-ธ.ค.'!S200+'ม.ค.-มี.ค.'!S199+'เม.ย.-มิ.ย.'!S199+'ก.ค.-ก.ย.'!S199</f>
        <v>0</v>
      </c>
      <c r="T199" s="443">
        <f>+'ต.ค.-ธ.ค.'!T200+'ม.ค.-มี.ค.'!T199+'เม.ย.-มิ.ย.'!T199+'ก.ค.-ก.ย.'!T199</f>
        <v>0</v>
      </c>
      <c r="U199" s="443">
        <f>+'ต.ค.-ธ.ค.'!U200+'ม.ค.-มี.ค.'!U199+'เม.ย.-มิ.ย.'!U199+'ก.ค.-ก.ย.'!U199</f>
        <v>0</v>
      </c>
      <c r="V199" s="443">
        <f>+'ต.ค.-ธ.ค.'!V200+'ม.ค.-มี.ค.'!V199+'เม.ย.-มิ.ย.'!V199+'ก.ค.-ก.ย.'!V199</f>
        <v>0</v>
      </c>
    </row>
    <row r="200" spans="1:23" ht="25.5" customHeight="1">
      <c r="A200" s="9"/>
      <c r="B200" s="185"/>
      <c r="C200" s="408"/>
      <c r="D200" s="458"/>
      <c r="E200" s="443">
        <f>+'ต.ค.-ธ.ค.'!E201+'ม.ค.-มี.ค.'!E200+'เม.ย.-มิ.ย.'!E200+'ก.ค.-ก.ย.'!E200</f>
        <v>0</v>
      </c>
      <c r="F200" s="443">
        <f>+'ต.ค.-ธ.ค.'!F201+'ม.ค.-มี.ค.'!F200+'เม.ย.-มิ.ย.'!F200+'ก.ค.-ก.ย.'!F200</f>
        <v>0</v>
      </c>
      <c r="G200" s="443">
        <f>+'ต.ค.-ธ.ค.'!G201+'ม.ค.-มี.ค.'!G200+'เม.ย.-มิ.ย.'!G200+'ก.ค.-ก.ย.'!G200</f>
        <v>0</v>
      </c>
      <c r="H200" s="443">
        <f>+'ต.ค.-ธ.ค.'!H201+'ม.ค.-มี.ค.'!H200+'เม.ย.-มิ.ย.'!H200+'ก.ค.-ก.ย.'!H200</f>
        <v>0</v>
      </c>
      <c r="I200" s="443">
        <f>+'ต.ค.-ธ.ค.'!I201+'ม.ค.-มี.ค.'!I200+'เม.ย.-มิ.ย.'!I200+'ก.ค.-ก.ย.'!I200</f>
        <v>0</v>
      </c>
      <c r="J200" s="443">
        <f>+'ต.ค.-ธ.ค.'!J201+'ม.ค.-มี.ค.'!J200+'เม.ย.-มิ.ย.'!J200+'ก.ค.-ก.ย.'!J200</f>
        <v>0</v>
      </c>
      <c r="K200" s="443">
        <f>+'ต.ค.-ธ.ค.'!K201+'ม.ค.-มี.ค.'!K200+'เม.ย.-มิ.ย.'!K200+'ก.ค.-ก.ย.'!K200</f>
        <v>0</v>
      </c>
      <c r="L200" s="443">
        <f>+'ต.ค.-ธ.ค.'!L201+'ม.ค.-มี.ค.'!L200+'เม.ย.-มิ.ย.'!L200+'ก.ค.-ก.ย.'!L200</f>
        <v>0</v>
      </c>
      <c r="M200" s="443">
        <f>+'ต.ค.-ธ.ค.'!M201+'ม.ค.-มี.ค.'!M200+'เม.ย.-มิ.ย.'!M200+'ก.ค.-ก.ย.'!M200</f>
        <v>0</v>
      </c>
      <c r="N200" s="443">
        <f>+'ต.ค.-ธ.ค.'!N201+'ม.ค.-มี.ค.'!N200+'เม.ย.-มิ.ย.'!N200+'ก.ค.-ก.ย.'!N200</f>
        <v>0</v>
      </c>
      <c r="O200" s="443">
        <f>+'ต.ค.-ธ.ค.'!O201+'ม.ค.-มี.ค.'!O200+'เม.ย.-มิ.ย.'!O200+'ก.ค.-ก.ย.'!O200</f>
        <v>0</v>
      </c>
      <c r="P200" s="443">
        <f>+'ต.ค.-ธ.ค.'!P201+'ม.ค.-มี.ค.'!P200+'เม.ย.-มิ.ย.'!P200+'ก.ค.-ก.ย.'!P200</f>
        <v>0</v>
      </c>
      <c r="Q200" s="443">
        <f>+'ต.ค.-ธ.ค.'!Q201+'ม.ค.-มี.ค.'!Q200+'เม.ย.-มิ.ย.'!Q200+'ก.ค.-ก.ย.'!Q200</f>
        <v>0</v>
      </c>
      <c r="R200" s="443">
        <f>+'ต.ค.-ธ.ค.'!R201+'ม.ค.-มี.ค.'!R200+'เม.ย.-มิ.ย.'!R200+'ก.ค.-ก.ย.'!R200</f>
        <v>0</v>
      </c>
      <c r="S200" s="443">
        <f>+'ต.ค.-ธ.ค.'!S201+'ม.ค.-มี.ค.'!S200+'เม.ย.-มิ.ย.'!S200+'ก.ค.-ก.ย.'!S200</f>
        <v>0</v>
      </c>
      <c r="T200" s="443">
        <f>+'ต.ค.-ธ.ค.'!T201+'ม.ค.-มี.ค.'!T200+'เม.ย.-มิ.ย.'!T200+'ก.ค.-ก.ย.'!T200</f>
        <v>0</v>
      </c>
      <c r="U200" s="443">
        <f>+'ต.ค.-ธ.ค.'!U201+'ม.ค.-มี.ค.'!U200+'เม.ย.-มิ.ย.'!U200+'ก.ค.-ก.ย.'!U200</f>
        <v>0</v>
      </c>
      <c r="V200" s="443">
        <f>+'ต.ค.-ธ.ค.'!V201+'ม.ค.-มี.ค.'!V200+'เม.ย.-มิ.ย.'!V200+'ก.ค.-ก.ย.'!V200</f>
        <v>0</v>
      </c>
    </row>
    <row r="201" spans="1:23" ht="25.5" customHeight="1">
      <c r="A201" s="9"/>
      <c r="B201" s="185"/>
      <c r="C201" s="408"/>
      <c r="D201" s="458"/>
      <c r="E201" s="443">
        <f>+'ต.ค.-ธ.ค.'!E202+'ม.ค.-มี.ค.'!E201+'เม.ย.-มิ.ย.'!E201+'ก.ค.-ก.ย.'!E201</f>
        <v>0</v>
      </c>
      <c r="F201" s="443">
        <f>+'ต.ค.-ธ.ค.'!F202+'ม.ค.-มี.ค.'!F201+'เม.ย.-มิ.ย.'!F201+'ก.ค.-ก.ย.'!F201</f>
        <v>0</v>
      </c>
      <c r="G201" s="443">
        <f>+'ต.ค.-ธ.ค.'!G202+'ม.ค.-มี.ค.'!G201+'เม.ย.-มิ.ย.'!G201+'ก.ค.-ก.ย.'!G201</f>
        <v>0</v>
      </c>
      <c r="H201" s="443">
        <f>+'ต.ค.-ธ.ค.'!H202+'ม.ค.-มี.ค.'!H201+'เม.ย.-มิ.ย.'!H201+'ก.ค.-ก.ย.'!H201</f>
        <v>0</v>
      </c>
      <c r="I201" s="443">
        <f>+'ต.ค.-ธ.ค.'!I202+'ม.ค.-มี.ค.'!I201+'เม.ย.-มิ.ย.'!I201+'ก.ค.-ก.ย.'!I201</f>
        <v>0</v>
      </c>
      <c r="J201" s="443">
        <f>+'ต.ค.-ธ.ค.'!J202+'ม.ค.-มี.ค.'!J201+'เม.ย.-มิ.ย.'!J201+'ก.ค.-ก.ย.'!J201</f>
        <v>0</v>
      </c>
      <c r="K201" s="443">
        <f>+'ต.ค.-ธ.ค.'!K202+'ม.ค.-มี.ค.'!K201+'เม.ย.-มิ.ย.'!K201+'ก.ค.-ก.ย.'!K201</f>
        <v>0</v>
      </c>
      <c r="L201" s="443">
        <f>+'ต.ค.-ธ.ค.'!L202+'ม.ค.-มี.ค.'!L201+'เม.ย.-มิ.ย.'!L201+'ก.ค.-ก.ย.'!L201</f>
        <v>0</v>
      </c>
      <c r="M201" s="443">
        <f>+'ต.ค.-ธ.ค.'!M202+'ม.ค.-มี.ค.'!M201+'เม.ย.-มิ.ย.'!M201+'ก.ค.-ก.ย.'!M201</f>
        <v>0</v>
      </c>
      <c r="N201" s="443">
        <f>+'ต.ค.-ธ.ค.'!N202+'ม.ค.-มี.ค.'!N201+'เม.ย.-มิ.ย.'!N201+'ก.ค.-ก.ย.'!N201</f>
        <v>0</v>
      </c>
      <c r="O201" s="443">
        <f>+'ต.ค.-ธ.ค.'!O202+'ม.ค.-มี.ค.'!O201+'เม.ย.-มิ.ย.'!O201+'ก.ค.-ก.ย.'!O201</f>
        <v>0</v>
      </c>
      <c r="P201" s="443">
        <f>+'ต.ค.-ธ.ค.'!P202+'ม.ค.-มี.ค.'!P201+'เม.ย.-มิ.ย.'!P201+'ก.ค.-ก.ย.'!P201</f>
        <v>0</v>
      </c>
      <c r="Q201" s="443">
        <f>+'ต.ค.-ธ.ค.'!Q202+'ม.ค.-มี.ค.'!Q201+'เม.ย.-มิ.ย.'!Q201+'ก.ค.-ก.ย.'!Q201</f>
        <v>0</v>
      </c>
      <c r="R201" s="443">
        <f>+'ต.ค.-ธ.ค.'!R202+'ม.ค.-มี.ค.'!R201+'เม.ย.-มิ.ย.'!R201+'ก.ค.-ก.ย.'!R201</f>
        <v>0</v>
      </c>
      <c r="S201" s="443">
        <f>+'ต.ค.-ธ.ค.'!S202+'ม.ค.-มี.ค.'!S201+'เม.ย.-มิ.ย.'!S201+'ก.ค.-ก.ย.'!S201</f>
        <v>0</v>
      </c>
      <c r="T201" s="443">
        <f>+'ต.ค.-ธ.ค.'!T202+'ม.ค.-มี.ค.'!T201+'เม.ย.-มิ.ย.'!T201+'ก.ค.-ก.ย.'!T201</f>
        <v>0</v>
      </c>
      <c r="U201" s="443">
        <f>+'ต.ค.-ธ.ค.'!U202+'ม.ค.-มี.ค.'!U201+'เม.ย.-มิ.ย.'!U201+'ก.ค.-ก.ย.'!U201</f>
        <v>0</v>
      </c>
      <c r="V201" s="443">
        <f>+'ต.ค.-ธ.ค.'!V202+'ม.ค.-มี.ค.'!V201+'เม.ย.-มิ.ย.'!V201+'ก.ค.-ก.ย.'!V201</f>
        <v>0</v>
      </c>
    </row>
    <row r="202" spans="1:23" ht="25.5" customHeight="1">
      <c r="A202" s="9"/>
      <c r="B202" s="130"/>
      <c r="C202" s="408"/>
      <c r="D202" s="458"/>
      <c r="E202" s="443">
        <f>+'ต.ค.-ธ.ค.'!E203+'ม.ค.-มี.ค.'!E202+'เม.ย.-มิ.ย.'!E202+'ก.ค.-ก.ย.'!E202</f>
        <v>0</v>
      </c>
      <c r="F202" s="443">
        <f>+'ต.ค.-ธ.ค.'!F203+'ม.ค.-มี.ค.'!F202+'เม.ย.-มิ.ย.'!F202+'ก.ค.-ก.ย.'!F202</f>
        <v>0</v>
      </c>
      <c r="G202" s="443">
        <f>+'ต.ค.-ธ.ค.'!G203+'ม.ค.-มี.ค.'!G202+'เม.ย.-มิ.ย.'!G202+'ก.ค.-ก.ย.'!G202</f>
        <v>0</v>
      </c>
      <c r="H202" s="443">
        <f>+'ต.ค.-ธ.ค.'!H203+'ม.ค.-มี.ค.'!H202+'เม.ย.-มิ.ย.'!H202+'ก.ค.-ก.ย.'!H202</f>
        <v>0</v>
      </c>
      <c r="I202" s="443">
        <f>+'ต.ค.-ธ.ค.'!I203+'ม.ค.-มี.ค.'!I202+'เม.ย.-มิ.ย.'!I202+'ก.ค.-ก.ย.'!I202</f>
        <v>0</v>
      </c>
      <c r="J202" s="443">
        <f>+'ต.ค.-ธ.ค.'!J203+'ม.ค.-มี.ค.'!J202+'เม.ย.-มิ.ย.'!J202+'ก.ค.-ก.ย.'!J202</f>
        <v>0</v>
      </c>
      <c r="K202" s="443">
        <f>+'ต.ค.-ธ.ค.'!K203+'ม.ค.-มี.ค.'!K202+'เม.ย.-มิ.ย.'!K202+'ก.ค.-ก.ย.'!K202</f>
        <v>0</v>
      </c>
      <c r="L202" s="443">
        <f>+'ต.ค.-ธ.ค.'!L203+'ม.ค.-มี.ค.'!L202+'เม.ย.-มิ.ย.'!L202+'ก.ค.-ก.ย.'!L202</f>
        <v>0</v>
      </c>
      <c r="M202" s="443">
        <f>+'ต.ค.-ธ.ค.'!M203+'ม.ค.-มี.ค.'!M202+'เม.ย.-มิ.ย.'!M202+'ก.ค.-ก.ย.'!M202</f>
        <v>0</v>
      </c>
      <c r="N202" s="443">
        <f>+'ต.ค.-ธ.ค.'!N203+'ม.ค.-มี.ค.'!N202+'เม.ย.-มิ.ย.'!N202+'ก.ค.-ก.ย.'!N202</f>
        <v>0</v>
      </c>
      <c r="O202" s="443">
        <f>+'ต.ค.-ธ.ค.'!O203+'ม.ค.-มี.ค.'!O202+'เม.ย.-มิ.ย.'!O202+'ก.ค.-ก.ย.'!O202</f>
        <v>0</v>
      </c>
      <c r="P202" s="443">
        <f>+'ต.ค.-ธ.ค.'!P203+'ม.ค.-มี.ค.'!P202+'เม.ย.-มิ.ย.'!P202+'ก.ค.-ก.ย.'!P202</f>
        <v>0</v>
      </c>
      <c r="Q202" s="443">
        <f>+'ต.ค.-ธ.ค.'!Q203+'ม.ค.-มี.ค.'!Q202+'เม.ย.-มิ.ย.'!Q202+'ก.ค.-ก.ย.'!Q202</f>
        <v>0</v>
      </c>
      <c r="R202" s="443">
        <f>+'ต.ค.-ธ.ค.'!R203+'ม.ค.-มี.ค.'!R202+'เม.ย.-มิ.ย.'!R202+'ก.ค.-ก.ย.'!R202</f>
        <v>0</v>
      </c>
      <c r="S202" s="443">
        <f>+'ต.ค.-ธ.ค.'!S203+'ม.ค.-มี.ค.'!S202+'เม.ย.-มิ.ย.'!S202+'ก.ค.-ก.ย.'!S202</f>
        <v>0</v>
      </c>
      <c r="T202" s="443">
        <f>+'ต.ค.-ธ.ค.'!T203+'ม.ค.-มี.ค.'!T202+'เม.ย.-มิ.ย.'!T202+'ก.ค.-ก.ย.'!T202</f>
        <v>0</v>
      </c>
      <c r="U202" s="443">
        <f>+'ต.ค.-ธ.ค.'!U203+'ม.ค.-มี.ค.'!U202+'เม.ย.-มิ.ย.'!U202+'ก.ค.-ก.ย.'!U202</f>
        <v>0</v>
      </c>
      <c r="V202" s="443">
        <f>+'ต.ค.-ธ.ค.'!V203+'ม.ค.-มี.ค.'!V202+'เม.ย.-มิ.ย.'!V202+'ก.ค.-ก.ย.'!V202</f>
        <v>0</v>
      </c>
    </row>
    <row r="203" spans="1:23" ht="25.5" customHeight="1">
      <c r="A203" s="197"/>
      <c r="B203" s="198"/>
      <c r="C203" s="408"/>
      <c r="D203" s="458"/>
      <c r="E203" s="443">
        <f>+'ต.ค.-ธ.ค.'!E204+'ม.ค.-มี.ค.'!E203+'เม.ย.-มิ.ย.'!E203+'ก.ค.-ก.ย.'!E203</f>
        <v>0</v>
      </c>
      <c r="F203" s="443">
        <f>+'ต.ค.-ธ.ค.'!F204+'ม.ค.-มี.ค.'!F203+'เม.ย.-มิ.ย.'!F203+'ก.ค.-ก.ย.'!F203</f>
        <v>0</v>
      </c>
      <c r="G203" s="443">
        <f>+'ต.ค.-ธ.ค.'!G204+'ม.ค.-มี.ค.'!G203+'เม.ย.-มิ.ย.'!G203+'ก.ค.-ก.ย.'!G203</f>
        <v>0</v>
      </c>
      <c r="H203" s="443">
        <f>+'ต.ค.-ธ.ค.'!H204+'ม.ค.-มี.ค.'!H203+'เม.ย.-มิ.ย.'!H203+'ก.ค.-ก.ย.'!H203</f>
        <v>0</v>
      </c>
      <c r="I203" s="443">
        <f>+'ต.ค.-ธ.ค.'!I204+'ม.ค.-มี.ค.'!I203+'เม.ย.-มิ.ย.'!I203+'ก.ค.-ก.ย.'!I203</f>
        <v>0</v>
      </c>
      <c r="J203" s="443">
        <f>+'ต.ค.-ธ.ค.'!J204+'ม.ค.-มี.ค.'!J203+'เม.ย.-มิ.ย.'!J203+'ก.ค.-ก.ย.'!J203</f>
        <v>0</v>
      </c>
      <c r="K203" s="443">
        <f>+'ต.ค.-ธ.ค.'!K204+'ม.ค.-มี.ค.'!K203+'เม.ย.-มิ.ย.'!K203+'ก.ค.-ก.ย.'!K203</f>
        <v>0</v>
      </c>
      <c r="L203" s="443">
        <f>+'ต.ค.-ธ.ค.'!L204+'ม.ค.-มี.ค.'!L203+'เม.ย.-มิ.ย.'!L203+'ก.ค.-ก.ย.'!L203</f>
        <v>0</v>
      </c>
      <c r="M203" s="443">
        <f>+'ต.ค.-ธ.ค.'!M204+'ม.ค.-มี.ค.'!M203+'เม.ย.-มิ.ย.'!M203+'ก.ค.-ก.ย.'!M203</f>
        <v>0</v>
      </c>
      <c r="N203" s="443">
        <f>+'ต.ค.-ธ.ค.'!N204+'ม.ค.-มี.ค.'!N203+'เม.ย.-มิ.ย.'!N203+'ก.ค.-ก.ย.'!N203</f>
        <v>0</v>
      </c>
      <c r="O203" s="443">
        <f>+'ต.ค.-ธ.ค.'!O204+'ม.ค.-มี.ค.'!O203+'เม.ย.-มิ.ย.'!O203+'ก.ค.-ก.ย.'!O203</f>
        <v>0</v>
      </c>
      <c r="P203" s="443">
        <f>+'ต.ค.-ธ.ค.'!P204+'ม.ค.-มี.ค.'!P203+'เม.ย.-มิ.ย.'!P203+'ก.ค.-ก.ย.'!P203</f>
        <v>0</v>
      </c>
      <c r="Q203" s="443">
        <f>+'ต.ค.-ธ.ค.'!Q204+'ม.ค.-มี.ค.'!Q203+'เม.ย.-มิ.ย.'!Q203+'ก.ค.-ก.ย.'!Q203</f>
        <v>0</v>
      </c>
      <c r="R203" s="443">
        <f>+'ต.ค.-ธ.ค.'!R204+'ม.ค.-มี.ค.'!R203+'เม.ย.-มิ.ย.'!R203+'ก.ค.-ก.ย.'!R203</f>
        <v>0</v>
      </c>
      <c r="S203" s="443">
        <f>+'ต.ค.-ธ.ค.'!S204+'ม.ค.-มี.ค.'!S203+'เม.ย.-มิ.ย.'!S203+'ก.ค.-ก.ย.'!S203</f>
        <v>0</v>
      </c>
      <c r="T203" s="443">
        <f>+'ต.ค.-ธ.ค.'!T204+'ม.ค.-มี.ค.'!T203+'เม.ย.-มิ.ย.'!T203+'ก.ค.-ก.ย.'!T203</f>
        <v>0</v>
      </c>
      <c r="U203" s="443">
        <f>+'ต.ค.-ธ.ค.'!U204+'ม.ค.-มี.ค.'!U203+'เม.ย.-มิ.ย.'!U203+'ก.ค.-ก.ย.'!U203</f>
        <v>0</v>
      </c>
      <c r="V203" s="443">
        <f>+'ต.ค.-ธ.ค.'!V204+'ม.ค.-มี.ค.'!V203+'เม.ย.-มิ.ย.'!V203+'ก.ค.-ก.ย.'!V203</f>
        <v>0</v>
      </c>
    </row>
    <row r="204" spans="1:23" ht="25.5" customHeight="1" thickBot="1">
      <c r="A204" s="46"/>
      <c r="B204" s="47" t="s">
        <v>5</v>
      </c>
      <c r="C204" s="411">
        <f>SUM(C178:C203)</f>
        <v>2610778</v>
      </c>
      <c r="D204" s="466">
        <f>SUM(D178:D203)</f>
        <v>0</v>
      </c>
      <c r="E204" s="467">
        <f>SUM(E178:E203)</f>
        <v>434527.36</v>
      </c>
      <c r="F204" s="467">
        <f t="shared" ref="F204:U204" si="5">SUM(F178:F203)</f>
        <v>73852.600000000006</v>
      </c>
      <c r="G204" s="466">
        <f t="shared" si="5"/>
        <v>0</v>
      </c>
      <c r="H204" s="467">
        <f t="shared" si="5"/>
        <v>102809</v>
      </c>
      <c r="I204" s="466">
        <f>SUM(I178:I203)</f>
        <v>1494498.8599999999</v>
      </c>
      <c r="J204" s="466">
        <f t="shared" si="5"/>
        <v>0</v>
      </c>
      <c r="K204" s="466">
        <f t="shared" si="5"/>
        <v>0</v>
      </c>
      <c r="L204" s="466">
        <f t="shared" si="5"/>
        <v>0</v>
      </c>
      <c r="M204" s="467">
        <f t="shared" si="5"/>
        <v>109517.45</v>
      </c>
      <c r="N204" s="466">
        <f t="shared" si="5"/>
        <v>169000</v>
      </c>
      <c r="O204" s="466">
        <f t="shared" si="5"/>
        <v>0</v>
      </c>
      <c r="P204" s="466">
        <f t="shared" si="5"/>
        <v>0</v>
      </c>
      <c r="Q204" s="466">
        <f t="shared" si="5"/>
        <v>0</v>
      </c>
      <c r="R204" s="466">
        <f t="shared" si="5"/>
        <v>65658</v>
      </c>
      <c r="S204" s="466">
        <f t="shared" si="5"/>
        <v>0</v>
      </c>
      <c r="T204" s="466"/>
      <c r="U204" s="466">
        <f t="shared" si="5"/>
        <v>0</v>
      </c>
      <c r="V204" s="466">
        <f>SUM(V178:V203)</f>
        <v>15280</v>
      </c>
      <c r="W204" s="583">
        <f>SUM(D204:V204)</f>
        <v>2465143.27</v>
      </c>
    </row>
    <row r="205" spans="1:23" ht="25.5" customHeight="1" thickTop="1">
      <c r="A205" s="5" t="s">
        <v>114</v>
      </c>
      <c r="B205" s="6"/>
      <c r="C205" s="412"/>
      <c r="D205" s="458"/>
      <c r="E205" s="443"/>
      <c r="F205" s="443"/>
      <c r="G205" s="443"/>
      <c r="H205" s="443"/>
      <c r="I205" s="443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43"/>
      <c r="U205" s="443">
        <f>+เม.ย.!U204+พ.ค.!U204+มิ.ย.!U204</f>
        <v>0</v>
      </c>
      <c r="V205" s="443">
        <f>+เม.ย.!V204+พ.ค.!V204+มิ.ย.!V204</f>
        <v>0</v>
      </c>
    </row>
    <row r="206" spans="1:23" ht="25.5" customHeight="1">
      <c r="A206" s="9"/>
      <c r="B206" s="130" t="s">
        <v>20</v>
      </c>
      <c r="C206" s="408">
        <f>240000+35000</f>
        <v>275000</v>
      </c>
      <c r="D206" s="472"/>
      <c r="E206" s="443">
        <f>+'ต.ค.-ธ.ค.'!E207+'ม.ค.-มี.ค.'!E206+'เม.ย.-มิ.ย.'!E206+'ก.ค.-ก.ย.'!E206</f>
        <v>253981.34999999998</v>
      </c>
      <c r="F206" s="443">
        <f>+'ต.ค.-ธ.ค.'!F207+'ม.ค.-มี.ค.'!F206+'เม.ย.-มิ.ย.'!F206+'ก.ค.-ก.ย.'!F206</f>
        <v>0</v>
      </c>
      <c r="G206" s="443">
        <f>+'ต.ค.-ธ.ค.'!G207+'ม.ค.-มี.ค.'!G206+'เม.ย.-มิ.ย.'!G206+'ก.ค.-ก.ย.'!G206</f>
        <v>0</v>
      </c>
      <c r="H206" s="443">
        <f>+'ต.ค.-ธ.ค.'!H207+'ม.ค.-มี.ค.'!H206+'เม.ย.-มิ.ย.'!H206+'ก.ค.-ก.ย.'!H206</f>
        <v>37629.86</v>
      </c>
      <c r="I206" s="443">
        <f>+'ต.ค.-มิ.ย. 61'!I206+ก.ค.!I206</f>
        <v>0</v>
      </c>
      <c r="J206" s="443">
        <f>+'ต.ค.-มิ.ย. 61'!J206+ก.ค.!J206</f>
        <v>0</v>
      </c>
      <c r="K206" s="443">
        <f>+'ต.ค.-มิ.ย. 61'!K206+ก.ค.!K206</f>
        <v>0</v>
      </c>
      <c r="L206" s="443">
        <f>+'ต.ค.-มิ.ย. 61'!L206+ก.ค.!L206</f>
        <v>0</v>
      </c>
      <c r="M206" s="443">
        <f>+'ต.ค.-มิ.ย. 61'!M206+ก.ค.!M206</f>
        <v>0</v>
      </c>
      <c r="N206" s="443">
        <f>+'ต.ค.-มิ.ย. 61'!N206+ก.ค.!N206</f>
        <v>0</v>
      </c>
      <c r="O206" s="443">
        <f>+'ต.ค.-มิ.ย. 61'!O206+ก.ค.!O206</f>
        <v>0</v>
      </c>
      <c r="P206" s="443">
        <f>+'ต.ค.-มิ.ย. 61'!P206+ก.ค.!P206</f>
        <v>0</v>
      </c>
      <c r="Q206" s="443">
        <f>+'ต.ค.-มิ.ย. 61'!Q206+ก.ค.!Q206</f>
        <v>0</v>
      </c>
      <c r="R206" s="443">
        <f>+'ต.ค.-มิ.ย. 61'!R206+ก.ค.!R206</f>
        <v>0</v>
      </c>
      <c r="S206" s="443">
        <f>+'ต.ค.-มิ.ย. 61'!S206+ก.ค.!S206</f>
        <v>0</v>
      </c>
      <c r="T206" s="443">
        <f>+'ต.ค.-มิ.ย. 61'!T206+ก.ค.!T206</f>
        <v>0</v>
      </c>
      <c r="U206" s="443">
        <f>+'ต.ค.-มิ.ย. 61'!U206+ก.ค.!U206</f>
        <v>0</v>
      </c>
      <c r="V206" s="443">
        <f>+'ต.ค.-มิ.ย. 61'!V206+ก.ค.!V206</f>
        <v>0</v>
      </c>
      <c r="W206" s="586"/>
    </row>
    <row r="207" spans="1:23" ht="25.5" customHeight="1">
      <c r="A207" s="9"/>
      <c r="B207" s="130" t="s">
        <v>283</v>
      </c>
      <c r="C207" s="408">
        <f>100000+12000</f>
        <v>112000</v>
      </c>
      <c r="D207" s="472"/>
      <c r="E207" s="443">
        <f>+'ต.ค.-ธ.ค.'!E208+'ม.ค.-มี.ค.'!E207+'เม.ย.-มิ.ย.'!E207+'ก.ค.-ก.ย.'!E207</f>
        <v>78995.67</v>
      </c>
      <c r="F207" s="443">
        <f>+'ต.ค.-ธ.ค.'!F208+'ม.ค.-มี.ค.'!F207+'เม.ย.-มิ.ย.'!F207+'ก.ค.-ก.ย.'!F207</f>
        <v>0</v>
      </c>
      <c r="G207" s="443">
        <f>+'ต.ค.-ธ.ค.'!G208+'ม.ค.-มี.ค.'!G207+'เม.ย.-มิ.ย.'!G207+'ก.ค.-ก.ย.'!G207</f>
        <v>0</v>
      </c>
      <c r="H207" s="443">
        <f>+'ต.ค.-ธ.ค.'!H208+'ม.ค.-มี.ค.'!H207+'เม.ย.-มิ.ย.'!H207+'ก.ค.-ก.ย.'!H207</f>
        <v>13632.2</v>
      </c>
      <c r="I207" s="443">
        <f>+'ต.ค.-มิ.ย. 61'!I207+ก.ค.!I207</f>
        <v>0</v>
      </c>
      <c r="J207" s="443">
        <f>+'ต.ค.-มิ.ย. 61'!J207+ก.ค.!J207</f>
        <v>0</v>
      </c>
      <c r="K207" s="443">
        <f>+'ต.ค.-มิ.ย. 61'!K207+ก.ค.!K207</f>
        <v>0</v>
      </c>
      <c r="L207" s="443">
        <f>+'ต.ค.-มิ.ย. 61'!L207+ก.ค.!L207</f>
        <v>0</v>
      </c>
      <c r="M207" s="443">
        <f>+'ต.ค.-มิ.ย. 61'!M207+ก.ค.!M207</f>
        <v>0</v>
      </c>
      <c r="N207" s="443">
        <f>+'ต.ค.-มิ.ย. 61'!N207+ก.ค.!N207</f>
        <v>0</v>
      </c>
      <c r="O207" s="443">
        <f>+'ต.ค.-มิ.ย. 61'!O207+ก.ค.!O207</f>
        <v>0</v>
      </c>
      <c r="P207" s="443">
        <f>+'ต.ค.-มิ.ย. 61'!P207+ก.ค.!P207</f>
        <v>0</v>
      </c>
      <c r="Q207" s="443">
        <f>+'ต.ค.-มิ.ย. 61'!Q207+ก.ค.!Q207</f>
        <v>0</v>
      </c>
      <c r="R207" s="443">
        <f>+'ต.ค.-มิ.ย. 61'!R207+ก.ค.!R207</f>
        <v>0</v>
      </c>
      <c r="S207" s="443">
        <f>+'ต.ค.-มิ.ย. 61'!S207+ก.ค.!S207</f>
        <v>0</v>
      </c>
      <c r="T207" s="443">
        <f>+'ต.ค.-มิ.ย. 61'!T207+ก.ค.!T207</f>
        <v>0</v>
      </c>
      <c r="U207" s="443">
        <f>+'ต.ค.-มิ.ย. 61'!U207+ก.ค.!U207</f>
        <v>0</v>
      </c>
      <c r="V207" s="443">
        <f>+'ต.ค.-มิ.ย. 61'!V207+ก.ค.!V207</f>
        <v>0</v>
      </c>
    </row>
    <row r="208" spans="1:23" ht="25.5" customHeight="1">
      <c r="A208" s="9"/>
      <c r="B208" s="130" t="s">
        <v>284</v>
      </c>
      <c r="C208" s="408">
        <f>15000+3000</f>
        <v>18000</v>
      </c>
      <c r="D208" s="442"/>
      <c r="E208" s="443">
        <f>+'ต.ค.-ธ.ค.'!E209+'ม.ค.-มี.ค.'!E208+'เม.ย.-มิ.ย.'!E208+'ก.ค.-ก.ย.'!E208</f>
        <v>15508</v>
      </c>
      <c r="F208" s="443">
        <f>+'ต.ค.-ธ.ค.'!F209+'ม.ค.-มี.ค.'!F208+'เม.ย.-มิ.ย.'!F208+'ก.ค.-ก.ย.'!F208</f>
        <v>0</v>
      </c>
      <c r="G208" s="443">
        <f>+'ต.ค.-ธ.ค.'!G209+'ม.ค.-มี.ค.'!G208+'เม.ย.-มิ.ย.'!G208+'ก.ค.-ก.ย.'!G208</f>
        <v>0</v>
      </c>
      <c r="H208" s="443">
        <f>+'ต.ค.-ธ.ค.'!H209+'ม.ค.-มี.ค.'!H208+'เม.ย.-มิ.ย.'!H208+'ก.ค.-ก.ย.'!H208</f>
        <v>1000</v>
      </c>
      <c r="I208" s="443">
        <f>+'ต.ค.-มิ.ย. 61'!I208+ก.ค.!I208</f>
        <v>0</v>
      </c>
      <c r="J208" s="443">
        <f>+'ต.ค.-มิ.ย. 61'!J208+ก.ค.!J208</f>
        <v>0</v>
      </c>
      <c r="K208" s="443">
        <f>+'ต.ค.-มิ.ย. 61'!K208+ก.ค.!K208</f>
        <v>0</v>
      </c>
      <c r="L208" s="443">
        <f>+'ต.ค.-มิ.ย. 61'!L208+ก.ค.!L208</f>
        <v>0</v>
      </c>
      <c r="M208" s="443">
        <f>+'ต.ค.-มิ.ย. 61'!M208+ก.ค.!M208</f>
        <v>0</v>
      </c>
      <c r="N208" s="443">
        <f>+'ต.ค.-มิ.ย. 61'!N208+ก.ค.!N208</f>
        <v>0</v>
      </c>
      <c r="O208" s="443">
        <f>+'ต.ค.-มิ.ย. 61'!O208+ก.ค.!O208</f>
        <v>0</v>
      </c>
      <c r="P208" s="443">
        <f>+'ต.ค.-มิ.ย. 61'!P208+ก.ค.!P208</f>
        <v>0</v>
      </c>
      <c r="Q208" s="443">
        <f>+'ต.ค.-มิ.ย. 61'!Q208+ก.ค.!Q208</f>
        <v>0</v>
      </c>
      <c r="R208" s="443">
        <f>+'ต.ค.-มิ.ย. 61'!R208+ก.ค.!R208</f>
        <v>0</v>
      </c>
      <c r="S208" s="443">
        <f>+'ต.ค.-มิ.ย. 61'!S208+ก.ค.!S208</f>
        <v>0</v>
      </c>
      <c r="T208" s="443">
        <f>+'ต.ค.-มิ.ย. 61'!T208+ก.ค.!T208</f>
        <v>0</v>
      </c>
      <c r="U208" s="443">
        <f>+'ต.ค.-มิ.ย. 61'!U208+ก.ค.!U208</f>
        <v>0</v>
      </c>
      <c r="V208" s="443">
        <f>+'ต.ค.-มิ.ย. 61'!V208+ก.ค.!V208</f>
        <v>0</v>
      </c>
    </row>
    <row r="209" spans="1:23" ht="25.5" customHeight="1">
      <c r="A209" s="9"/>
      <c r="B209" s="130" t="s">
        <v>285</v>
      </c>
      <c r="C209" s="408">
        <f>72000+32000+16100</f>
        <v>120100</v>
      </c>
      <c r="D209" s="442"/>
      <c r="E209" s="443">
        <f>+'ต.ค.-ธ.ค.'!E210+'ม.ค.-มี.ค.'!E209+'เม.ย.-มิ.ย.'!E209+'ก.ค.-ก.ย.'!E209</f>
        <v>86991</v>
      </c>
      <c r="F209" s="443">
        <f>+'ต.ค.-ธ.ค.'!F210+'ม.ค.-มี.ค.'!F209+'เม.ย.-มิ.ย.'!F209+'ก.ค.-ก.ย.'!F209</f>
        <v>0</v>
      </c>
      <c r="G209" s="443">
        <f>+'ต.ค.-ธ.ค.'!G210+'ม.ค.-มี.ค.'!G209+'เม.ย.-มิ.ย.'!G209+'ก.ค.-ก.ย.'!G209</f>
        <v>0</v>
      </c>
      <c r="H209" s="443">
        <f>+'ต.ค.-ธ.ค.'!H210+'ม.ค.-มี.ค.'!H209+'เม.ย.-มิ.ย.'!H209+'ก.ค.-ก.ย.'!H209</f>
        <v>28954.199999999997</v>
      </c>
      <c r="I209" s="443">
        <f>+'ต.ค.-มิ.ย. 61'!I209+ก.ค.!I209</f>
        <v>0</v>
      </c>
      <c r="J209" s="443">
        <f>+'ต.ค.-มิ.ย. 61'!J209+ก.ค.!J209</f>
        <v>0</v>
      </c>
      <c r="K209" s="443">
        <f>+'ต.ค.-มิ.ย. 61'!K209+ก.ค.!K209</f>
        <v>0</v>
      </c>
      <c r="L209" s="443">
        <f>+'ต.ค.-มิ.ย. 61'!L209+ก.ค.!L209</f>
        <v>0</v>
      </c>
      <c r="M209" s="443">
        <f>+'ต.ค.-มิ.ย. 61'!M209+ก.ค.!M209</f>
        <v>0</v>
      </c>
      <c r="N209" s="443">
        <f>+'ต.ค.-มิ.ย. 61'!N209+ก.ค.!N209</f>
        <v>0</v>
      </c>
      <c r="O209" s="443">
        <f>+'ต.ค.-มิ.ย. 61'!O209+ก.ค.!O209</f>
        <v>0</v>
      </c>
      <c r="P209" s="443">
        <f>+'ต.ค.-มิ.ย. 61'!P209+ก.ค.!P209</f>
        <v>0</v>
      </c>
      <c r="Q209" s="443">
        <f>+'ต.ค.-มิ.ย. 61'!Q209+ก.ค.!Q209</f>
        <v>0</v>
      </c>
      <c r="R209" s="443">
        <f>+'ต.ค.-มิ.ย. 61'!R209+ก.ค.!R209</f>
        <v>0</v>
      </c>
      <c r="S209" s="443">
        <f>+'ต.ค.-มิ.ย. 61'!S209+ก.ค.!S209</f>
        <v>0</v>
      </c>
      <c r="T209" s="443">
        <f>+'ต.ค.-มิ.ย. 61'!T209+ก.ค.!T209</f>
        <v>0</v>
      </c>
      <c r="U209" s="443">
        <f>+'ต.ค.-มิ.ย. 61'!U209+ก.ค.!U209</f>
        <v>0</v>
      </c>
      <c r="V209" s="443">
        <f>+'ต.ค.-มิ.ย. 61'!V209+ก.ค.!V209</f>
        <v>0</v>
      </c>
    </row>
    <row r="210" spans="1:23" ht="25.5" customHeight="1" thickBot="1">
      <c r="A210" s="15"/>
      <c r="B210" s="14" t="s">
        <v>5</v>
      </c>
      <c r="C210" s="411">
        <f>SUM(C206:C209)</f>
        <v>525100</v>
      </c>
      <c r="D210" s="457">
        <f>SUM(D206:D209)</f>
        <v>0</v>
      </c>
      <c r="E210" s="456">
        <f>SUM(E206:E209)</f>
        <v>435476.01999999996</v>
      </c>
      <c r="F210" s="456">
        <f t="shared" ref="F210:V210" si="6">SUM(F206:F209)</f>
        <v>0</v>
      </c>
      <c r="G210" s="457">
        <f t="shared" si="6"/>
        <v>0</v>
      </c>
      <c r="H210" s="456">
        <f>SUM(H206:H209)</f>
        <v>81216.259999999995</v>
      </c>
      <c r="I210" s="457">
        <f t="shared" si="6"/>
        <v>0</v>
      </c>
      <c r="J210" s="457">
        <f t="shared" si="6"/>
        <v>0</v>
      </c>
      <c r="K210" s="457">
        <f t="shared" si="6"/>
        <v>0</v>
      </c>
      <c r="L210" s="457">
        <f t="shared" si="6"/>
        <v>0</v>
      </c>
      <c r="M210" s="456">
        <f t="shared" si="6"/>
        <v>0</v>
      </c>
      <c r="N210" s="457">
        <f t="shared" si="6"/>
        <v>0</v>
      </c>
      <c r="O210" s="457">
        <f t="shared" si="6"/>
        <v>0</v>
      </c>
      <c r="P210" s="457">
        <f t="shared" si="6"/>
        <v>0</v>
      </c>
      <c r="Q210" s="457">
        <f t="shared" si="6"/>
        <v>0</v>
      </c>
      <c r="R210" s="457">
        <f t="shared" si="6"/>
        <v>0</v>
      </c>
      <c r="S210" s="457">
        <f t="shared" si="6"/>
        <v>0</v>
      </c>
      <c r="T210" s="457"/>
      <c r="U210" s="457">
        <f t="shared" si="6"/>
        <v>0</v>
      </c>
      <c r="V210" s="457">
        <f t="shared" si="6"/>
        <v>0</v>
      </c>
      <c r="W210" s="587">
        <f>SUM(D210:V210)</f>
        <v>516692.27999999997</v>
      </c>
    </row>
    <row r="211" spans="1:23" ht="25.5" customHeight="1" thickTop="1">
      <c r="A211" s="3" t="s">
        <v>122</v>
      </c>
      <c r="B211" s="4"/>
      <c r="C211" s="407"/>
      <c r="D211" s="458"/>
      <c r="E211" s="459"/>
      <c r="F211" s="459"/>
      <c r="G211" s="459"/>
      <c r="H211" s="459"/>
      <c r="I211" s="459"/>
      <c r="J211" s="459"/>
      <c r="K211" s="459"/>
      <c r="L211" s="459"/>
      <c r="M211" s="459"/>
      <c r="N211" s="459"/>
      <c r="O211" s="459"/>
      <c r="P211" s="459"/>
      <c r="Q211" s="459"/>
      <c r="R211" s="459"/>
      <c r="S211" s="459"/>
      <c r="T211" s="459"/>
      <c r="U211" s="459"/>
      <c r="V211" s="459"/>
    </row>
    <row r="212" spans="1:23" ht="25.5" customHeight="1">
      <c r="A212" s="169"/>
      <c r="B212" s="185" t="s">
        <v>323</v>
      </c>
      <c r="C212" s="412">
        <v>864000</v>
      </c>
      <c r="D212" s="442"/>
      <c r="E212" s="443">
        <f>+'ต.ค.-ธ.ค.'!E213+'ม.ค.-มี.ค.'!E212+'เม.ย.-มิ.ย.'!E212+'ก.ค.-ก.ย.'!E212</f>
        <v>0</v>
      </c>
      <c r="F212" s="443">
        <f>+'ต.ค.-ธ.ค.'!F213+'ม.ค.-มี.ค.'!F212+'เม.ย.-มิ.ย.'!F212+'ก.ค.-ก.ย.'!F212</f>
        <v>0</v>
      </c>
      <c r="G212" s="443">
        <f>+'ต.ค.-ธ.ค.'!G213+'ม.ค.-มี.ค.'!G212+'เม.ย.-มิ.ย.'!G212+'ก.ค.-ก.ย.'!G212</f>
        <v>0</v>
      </c>
      <c r="H212" s="443">
        <f>+'ต.ค.-ธ.ค.'!H213+'ม.ค.-มี.ค.'!H212+'เม.ย.-มิ.ย.'!H212+'ก.ค.-ก.ย.'!H212</f>
        <v>0</v>
      </c>
      <c r="I212" s="443">
        <f>+'ต.ค.-ธ.ค.'!I213+'ม.ค.-มี.ค.'!I212+'เม.ย.-มิ.ย.'!I212+'ก.ค.-ก.ย.'!I212</f>
        <v>904620</v>
      </c>
      <c r="J212" s="443">
        <f>+'ต.ค.-ธ.ค.'!J213+'ม.ค.-มี.ค.'!J212+'เม.ย.-มิ.ย.'!J212+'ก.ค.-ก.ย.'!J212</f>
        <v>0</v>
      </c>
      <c r="K212" s="443">
        <f>+'ต.ค.-ธ.ค.'!K213+'ม.ค.-มี.ค.'!K212+'เม.ย.-มิ.ย.'!K212+'ก.ค.-ก.ย.'!K212</f>
        <v>0</v>
      </c>
      <c r="L212" s="443">
        <f>+'ต.ค.-ธ.ค.'!L213+'ม.ค.-มี.ค.'!L212+'เม.ย.-มิ.ย.'!L212+'ก.ค.-ก.ย.'!L212</f>
        <v>0</v>
      </c>
      <c r="M212" s="443">
        <f>+'ต.ค.-ธ.ค.'!M213+'ม.ค.-มี.ค.'!M212+'เม.ย.-มิ.ย.'!M212+'ก.ค.-ก.ย.'!M212</f>
        <v>0</v>
      </c>
      <c r="N212" s="443">
        <f>+'ต.ค.-ธ.ค.'!N213+'ม.ค.-มี.ค.'!N212+'เม.ย.-มิ.ย.'!N212+'ก.ค.-ก.ย.'!N212</f>
        <v>0</v>
      </c>
      <c r="O212" s="443">
        <f>+'ต.ค.-ธ.ค.'!O213+'ม.ค.-มี.ค.'!O212+'เม.ย.-มิ.ย.'!O212+'ก.ค.-ก.ย.'!O212</f>
        <v>0</v>
      </c>
      <c r="P212" s="443">
        <f>+'ต.ค.-ธ.ค.'!P213+'ม.ค.-มี.ค.'!P212+'เม.ย.-มิ.ย.'!P212+'ก.ค.-ก.ย.'!P212</f>
        <v>0</v>
      </c>
      <c r="Q212" s="443">
        <f>+'ต.ค.-ธ.ค.'!Q213+'ม.ค.-มี.ค.'!Q212+'เม.ย.-มิ.ย.'!Q212+'ก.ค.-ก.ย.'!Q212</f>
        <v>0</v>
      </c>
      <c r="R212" s="443">
        <f>+'ต.ค.-ธ.ค.'!R213+'ม.ค.-มี.ค.'!R212+'เม.ย.-มิ.ย.'!R212+'ก.ค.-ก.ย.'!R212</f>
        <v>0</v>
      </c>
      <c r="S212" s="443">
        <f>+'ต.ค.-ธ.ค.'!S213+'ม.ค.-มี.ค.'!S212+'เม.ย.-มิ.ย.'!S212+'ก.ค.-ก.ย.'!S212</f>
        <v>0</v>
      </c>
      <c r="T212" s="443">
        <f>+'ต.ค.-ธ.ค.'!T213+'ม.ค.-มี.ค.'!T212+'เม.ย.-มิ.ย.'!T212+'ก.ค.-ก.ย.'!T212</f>
        <v>0</v>
      </c>
      <c r="U212" s="443">
        <f>+'ต.ค.-ธ.ค.'!U213+'ม.ค.-มี.ค.'!U212+'เม.ย.-มิ.ย.'!U212+'ก.ค.-ก.ย.'!U212</f>
        <v>0</v>
      </c>
      <c r="V212" s="443">
        <f>+'ต.ค.-ธ.ค.'!V213+'ม.ค.-มี.ค.'!V212+'เม.ย.-มิ.ย.'!V212+'ก.ค.-ก.ย.'!V212</f>
        <v>0</v>
      </c>
    </row>
    <row r="213" spans="1:23" ht="25.5" customHeight="1">
      <c r="A213" s="169"/>
      <c r="B213" s="185" t="s">
        <v>324</v>
      </c>
      <c r="C213" s="412">
        <v>1096000</v>
      </c>
      <c r="D213" s="442"/>
      <c r="E213" s="443">
        <f>+'ต.ค.-ธ.ค.'!E214+'ม.ค.-มี.ค.'!E213+'เม.ย.-มิ.ย.'!E213+'ก.ค.-ก.ย.'!E213</f>
        <v>0</v>
      </c>
      <c r="F213" s="443">
        <f>+'ต.ค.-ธ.ค.'!F214+'ม.ค.-มี.ค.'!F213+'เม.ย.-มิ.ย.'!F213+'ก.ค.-ก.ย.'!F213</f>
        <v>0</v>
      </c>
      <c r="G213" s="443">
        <f>+'ต.ค.-ธ.ค.'!G214+'ม.ค.-มี.ค.'!G213+'เม.ย.-มิ.ย.'!G213+'ก.ค.-ก.ย.'!G213</f>
        <v>0</v>
      </c>
      <c r="H213" s="443">
        <f>+'ต.ค.-ธ.ค.'!H214+'ม.ค.-มี.ค.'!H213+'เม.ย.-มิ.ย.'!H213+'ก.ค.-ก.ย.'!H213</f>
        <v>0</v>
      </c>
      <c r="I213" s="443">
        <f>+'ต.ค.-ธ.ค.'!I214+'ม.ค.-มี.ค.'!I213+'เม.ย.-มิ.ย.'!I213+'ก.ค.-ก.ย.'!I213</f>
        <v>1113860</v>
      </c>
      <c r="J213" s="443">
        <f>+'ต.ค.-ธ.ค.'!J214+'ม.ค.-มี.ค.'!J213+'เม.ย.-มิ.ย.'!J213+'ก.ค.-ก.ย.'!J213</f>
        <v>0</v>
      </c>
      <c r="K213" s="443">
        <f>+'ต.ค.-ธ.ค.'!K214+'ม.ค.-มี.ค.'!K213+'เม.ย.-มิ.ย.'!K213+'ก.ค.-ก.ย.'!K213</f>
        <v>0</v>
      </c>
      <c r="L213" s="443">
        <f>+'ต.ค.-ธ.ค.'!L214+'ม.ค.-มี.ค.'!L213+'เม.ย.-มิ.ย.'!L213+'ก.ค.-ก.ย.'!L213</f>
        <v>0</v>
      </c>
      <c r="M213" s="443">
        <f>+'ต.ค.-ธ.ค.'!M214+'ม.ค.-มี.ค.'!M213+'เม.ย.-มิ.ย.'!M213+'ก.ค.-ก.ย.'!M213</f>
        <v>0</v>
      </c>
      <c r="N213" s="443">
        <f>+'ต.ค.-ธ.ค.'!N214+'ม.ค.-มี.ค.'!N213+'เม.ย.-มิ.ย.'!N213+'ก.ค.-ก.ย.'!N213</f>
        <v>0</v>
      </c>
      <c r="O213" s="443">
        <f>+'ต.ค.-ธ.ค.'!O214+'ม.ค.-มี.ค.'!O213+'เม.ย.-มิ.ย.'!O213+'ก.ค.-ก.ย.'!O213</f>
        <v>0</v>
      </c>
      <c r="P213" s="443">
        <f>+'ต.ค.-ธ.ค.'!P214+'ม.ค.-มี.ค.'!P213+'เม.ย.-มิ.ย.'!P213+'ก.ค.-ก.ย.'!P213</f>
        <v>0</v>
      </c>
      <c r="Q213" s="443">
        <f>+'ต.ค.-ธ.ค.'!Q214+'ม.ค.-มี.ค.'!Q213+'เม.ย.-มิ.ย.'!Q213+'ก.ค.-ก.ย.'!Q213</f>
        <v>0</v>
      </c>
      <c r="R213" s="443">
        <f>+'ต.ค.-ธ.ค.'!R214+'ม.ค.-มี.ค.'!R213+'เม.ย.-มิ.ย.'!R213+'ก.ค.-ก.ย.'!R213</f>
        <v>0</v>
      </c>
      <c r="S213" s="443">
        <f>+'ต.ค.-ธ.ค.'!S214+'ม.ค.-มี.ค.'!S213+'เม.ย.-มิ.ย.'!S213+'ก.ค.-ก.ย.'!S213</f>
        <v>0</v>
      </c>
      <c r="T213" s="443">
        <f>+'ต.ค.-ธ.ค.'!T214+'ม.ค.-มี.ค.'!T213+'เม.ย.-มิ.ย.'!T213+'ก.ค.-ก.ย.'!T213</f>
        <v>0</v>
      </c>
      <c r="U213" s="443">
        <f>+'ต.ค.-ธ.ค.'!U214+'ม.ค.-มี.ค.'!U213+'เม.ย.-มิ.ย.'!U213+'ก.ค.-ก.ย.'!U213</f>
        <v>0</v>
      </c>
      <c r="V213" s="443">
        <f>+'ต.ค.-ธ.ค.'!V214+'ม.ค.-มี.ค.'!V213+'เม.ย.-มิ.ย.'!V213+'ก.ค.-ก.ย.'!V213</f>
        <v>0</v>
      </c>
    </row>
    <row r="214" spans="1:23" ht="25.5" customHeight="1">
      <c r="A214" s="169"/>
      <c r="B214" s="185" t="s">
        <v>325</v>
      </c>
      <c r="C214" s="412">
        <v>580000</v>
      </c>
      <c r="D214" s="458"/>
      <c r="E214" s="443">
        <f>+'ต.ค.-ธ.ค.'!E215+'ม.ค.-มี.ค.'!E214+'เม.ย.-มิ.ย.'!E214+'ก.ค.-ก.ย.'!E214</f>
        <v>0</v>
      </c>
      <c r="F214" s="443">
        <f>+'ต.ค.-ธ.ค.'!F215+'ม.ค.-มี.ค.'!F214+'เม.ย.-มิ.ย.'!F214+'ก.ค.-ก.ย.'!F214</f>
        <v>0</v>
      </c>
      <c r="G214" s="443">
        <f>+'ต.ค.-ธ.ค.'!G215+'ม.ค.-มี.ค.'!G214+'เม.ย.-มิ.ย.'!G214+'ก.ค.-ก.ย.'!G214</f>
        <v>0</v>
      </c>
      <c r="H214" s="443">
        <f>+'ต.ค.-ธ.ค.'!H215+'ม.ค.-มี.ค.'!H214+'เม.ย.-มิ.ย.'!H214+'ก.ค.-ก.ย.'!H214</f>
        <v>0</v>
      </c>
      <c r="I214" s="443">
        <f>+'ต.ค.-ธ.ค.'!I215+'ม.ค.-มี.ค.'!I214+'เม.ย.-มิ.ย.'!I214+'ก.ค.-ก.ย.'!I214</f>
        <v>567680</v>
      </c>
      <c r="J214" s="443">
        <f>+'ต.ค.-ธ.ค.'!J215+'ม.ค.-มี.ค.'!J214+'เม.ย.-มิ.ย.'!J214+'ก.ค.-ก.ย.'!J214</f>
        <v>0</v>
      </c>
      <c r="K214" s="443">
        <f>+'ต.ค.-ธ.ค.'!K215+'ม.ค.-มี.ค.'!K214+'เม.ย.-มิ.ย.'!K214+'ก.ค.-ก.ย.'!K214</f>
        <v>0</v>
      </c>
      <c r="L214" s="443">
        <f>+'ต.ค.-ธ.ค.'!L215+'ม.ค.-มี.ค.'!L214+'เม.ย.-มิ.ย.'!L214+'ก.ค.-ก.ย.'!L214</f>
        <v>0</v>
      </c>
      <c r="M214" s="443">
        <f>+'ต.ค.-ธ.ค.'!M215+'ม.ค.-มี.ค.'!M214+'เม.ย.-มิ.ย.'!M214+'ก.ค.-ก.ย.'!M214</f>
        <v>0</v>
      </c>
      <c r="N214" s="443">
        <f>+'ต.ค.-ธ.ค.'!N215+'ม.ค.-มี.ค.'!N214+'เม.ย.-มิ.ย.'!N214+'ก.ค.-ก.ย.'!N214</f>
        <v>0</v>
      </c>
      <c r="O214" s="443">
        <f>+'ต.ค.-ธ.ค.'!O215+'ม.ค.-มี.ค.'!O214+'เม.ย.-มิ.ย.'!O214+'ก.ค.-ก.ย.'!O214</f>
        <v>0</v>
      </c>
      <c r="P214" s="443">
        <f>+'ต.ค.-ธ.ค.'!P215+'ม.ค.-มี.ค.'!P214+'เม.ย.-มิ.ย.'!P214+'ก.ค.-ก.ย.'!P214</f>
        <v>0</v>
      </c>
      <c r="Q214" s="443">
        <f>+'ต.ค.-ธ.ค.'!Q215+'ม.ค.-มี.ค.'!Q214+'เม.ย.-มิ.ย.'!Q214+'ก.ค.-ก.ย.'!Q214</f>
        <v>0</v>
      </c>
      <c r="R214" s="443">
        <f>+'ต.ค.-ธ.ค.'!R215+'ม.ค.-มี.ค.'!R214+'เม.ย.-มิ.ย.'!R214+'ก.ค.-ก.ย.'!R214</f>
        <v>0</v>
      </c>
      <c r="S214" s="443">
        <f>+'ต.ค.-ธ.ค.'!S215+'ม.ค.-มี.ค.'!S214+'เม.ย.-มิ.ย.'!S214+'ก.ค.-ก.ย.'!S214</f>
        <v>0</v>
      </c>
      <c r="T214" s="443">
        <f>+'ต.ค.-ธ.ค.'!T215+'ม.ค.-มี.ค.'!T214+'เม.ย.-มิ.ย.'!T214+'ก.ค.-ก.ย.'!T214</f>
        <v>0</v>
      </c>
      <c r="U214" s="443">
        <f>+'ต.ค.-ธ.ค.'!U215+'ม.ค.-มี.ค.'!U214+'เม.ย.-มิ.ย.'!U214+'ก.ค.-ก.ย.'!U214</f>
        <v>0</v>
      </c>
      <c r="V214" s="443">
        <f>+'ต.ค.-ธ.ค.'!V215+'ม.ค.-มี.ค.'!V214+'เม.ย.-มิ.ย.'!V214+'ก.ค.-ก.ย.'!V214</f>
        <v>0</v>
      </c>
    </row>
    <row r="215" spans="1:23" ht="25.5" customHeight="1">
      <c r="A215" s="169"/>
      <c r="B215" s="185" t="s">
        <v>351</v>
      </c>
      <c r="C215" s="412">
        <v>223000</v>
      </c>
      <c r="D215" s="458"/>
      <c r="E215" s="443">
        <f>+'ต.ค.-ธ.ค.'!E216+'ม.ค.-มี.ค.'!E215+'เม.ย.-มิ.ย.'!E215+'ก.ค.-ก.ย.'!E215</f>
        <v>0</v>
      </c>
      <c r="F215" s="443">
        <f>+'ต.ค.-ธ.ค.'!F216+'ม.ค.-มี.ค.'!F215+'เม.ย.-มิ.ย.'!F215+'ก.ค.-ก.ย.'!F215</f>
        <v>0</v>
      </c>
      <c r="G215" s="443">
        <f>+'ต.ค.-ธ.ค.'!G216+'ม.ค.-มี.ค.'!G215+'เม.ย.-มิ.ย.'!G215+'ก.ค.-ก.ย.'!G215</f>
        <v>0</v>
      </c>
      <c r="H215" s="443">
        <f>+'ต.ค.-ธ.ค.'!H216+'ม.ค.-มี.ค.'!H215+'เม.ย.-มิ.ย.'!H215+'ก.ค.-ก.ย.'!H215</f>
        <v>0</v>
      </c>
      <c r="I215" s="443">
        <f>+'ต.ค.-ธ.ค.'!I216+'ม.ค.-มี.ค.'!I215+'เม.ย.-มิ.ย.'!I215+'ก.ค.-ก.ย.'!I215</f>
        <v>0</v>
      </c>
      <c r="J215" s="443">
        <f>+'ต.ค.-ธ.ค.'!J216+'ม.ค.-มี.ค.'!J215+'เม.ย.-มิ.ย.'!J215+'ก.ค.-ก.ย.'!J215</f>
        <v>0</v>
      </c>
      <c r="K215" s="443">
        <f>+'ต.ค.-ธ.ค.'!K216+'ม.ค.-มี.ค.'!K215+'เม.ย.-มิ.ย.'!K215+'ก.ค.-ก.ย.'!K215</f>
        <v>0</v>
      </c>
      <c r="L215" s="443">
        <f>+'ต.ค.-ธ.ค.'!L216+'ม.ค.-มี.ค.'!L215+'เม.ย.-มิ.ย.'!L215+'ก.ค.-ก.ย.'!L215</f>
        <v>0</v>
      </c>
      <c r="M215" s="443">
        <f>+'ต.ค.-ธ.ค.'!M216+'ม.ค.-มี.ค.'!M215+'เม.ย.-มิ.ย.'!M215+'ก.ค.-ก.ย.'!M215</f>
        <v>0</v>
      </c>
      <c r="N215" s="443">
        <f>+'ต.ค.-ธ.ค.'!N216+'ม.ค.-มี.ค.'!N215+'เม.ย.-มิ.ย.'!N215+'ก.ค.-ก.ย.'!N215</f>
        <v>0</v>
      </c>
      <c r="O215" s="443">
        <f>+'ต.ค.-ธ.ค.'!O216+'ม.ค.-มี.ค.'!O215+'เม.ย.-มิ.ย.'!O215+'ก.ค.-ก.ย.'!O215</f>
        <v>0</v>
      </c>
      <c r="P215" s="443">
        <f>+'ต.ค.-ธ.ค.'!P216+'ม.ค.-มี.ค.'!P215+'เม.ย.-มิ.ย.'!P215+'ก.ค.-ก.ย.'!P215</f>
        <v>0</v>
      </c>
      <c r="Q215" s="443">
        <f>+'ต.ค.-ธ.ค.'!Q216+'ม.ค.-มี.ค.'!Q215+'เม.ย.-มิ.ย.'!Q215+'ก.ค.-ก.ย.'!Q215</f>
        <v>0</v>
      </c>
      <c r="R215" s="443">
        <f>+'ต.ค.-ธ.ค.'!R216+'ม.ค.-มี.ค.'!R215+'เม.ย.-มิ.ย.'!R215+'ก.ค.-ก.ย.'!R215</f>
        <v>0</v>
      </c>
      <c r="S215" s="443">
        <f>+'ต.ค.-ธ.ค.'!S216+'ม.ค.-มี.ค.'!S215+'เม.ย.-มิ.ย.'!S215+'ก.ค.-ก.ย.'!S215</f>
        <v>0</v>
      </c>
      <c r="T215" s="443">
        <f>+'ต.ค.-ธ.ค.'!T216+'ม.ค.-มี.ค.'!T215+'เม.ย.-มิ.ย.'!T215+'ก.ค.-ก.ย.'!T215</f>
        <v>0</v>
      </c>
      <c r="U215" s="443">
        <f>+'ต.ค.-ธ.ค.'!U216+'ม.ค.-มี.ค.'!U215+'เม.ย.-มิ.ย.'!U215+'ก.ค.-ก.ย.'!U215</f>
        <v>0</v>
      </c>
      <c r="V215" s="443">
        <f>+'ต.ค.-ธ.ค.'!V216+'ม.ค.-มี.ค.'!V215+'เม.ย.-มิ.ย.'!V215+'ก.ค.-ก.ย.'!V215</f>
        <v>0</v>
      </c>
    </row>
    <row r="216" spans="1:23" ht="25.5" customHeight="1">
      <c r="A216" s="169"/>
      <c r="B216" s="185" t="s">
        <v>442</v>
      </c>
      <c r="C216" s="190">
        <v>100000</v>
      </c>
      <c r="D216" s="458"/>
      <c r="E216" s="443">
        <f>+'ต.ค.-ธ.ค.'!E217+'ม.ค.-มี.ค.'!E216+'เม.ย.-มิ.ย.'!E216+'ก.ค.-ก.ย.'!E216</f>
        <v>0</v>
      </c>
      <c r="F216" s="443">
        <f>+'ต.ค.-ธ.ค.'!F217+'ม.ค.-มี.ค.'!F216+'เม.ย.-มิ.ย.'!F216+'ก.ค.-ก.ย.'!F216</f>
        <v>0</v>
      </c>
      <c r="G216" s="443">
        <f>+'ต.ค.-ธ.ค.'!G217+'ม.ค.-มี.ค.'!G216+'เม.ย.-มิ.ย.'!G216+'ก.ค.-ก.ย.'!G216</f>
        <v>0</v>
      </c>
      <c r="H216" s="443">
        <f>+'ต.ค.-ธ.ค.'!H217+'ม.ค.-มี.ค.'!H216+'เม.ย.-มิ.ย.'!H216+'ก.ค.-ก.ย.'!H216</f>
        <v>0</v>
      </c>
      <c r="I216" s="443">
        <f>+'ต.ค.-ธ.ค.'!I217+'ม.ค.-มี.ค.'!I216+'เม.ย.-มิ.ย.'!I216+'ก.ค.-ก.ย.'!I216</f>
        <v>0</v>
      </c>
      <c r="J216" s="443">
        <f>+'ต.ค.-ธ.ค.'!J217+'ม.ค.-มี.ค.'!J216+'เม.ย.-มิ.ย.'!J216+'ก.ค.-ก.ย.'!J216</f>
        <v>0</v>
      </c>
      <c r="K216" s="443">
        <f>+'ต.ค.-ธ.ค.'!K217+'ม.ค.-มี.ค.'!K216+'เม.ย.-มิ.ย.'!K216+'ก.ค.-ก.ย.'!K216</f>
        <v>100000</v>
      </c>
      <c r="L216" s="443">
        <f>+'ต.ค.-ธ.ค.'!L217+'ม.ค.-มี.ค.'!L216+'เม.ย.-มิ.ย.'!L216+'ก.ค.-ก.ย.'!L216</f>
        <v>0</v>
      </c>
      <c r="M216" s="443">
        <f>+'ต.ค.-ธ.ค.'!M217+'ม.ค.-มี.ค.'!M216+'เม.ย.-มิ.ย.'!M216+'ก.ค.-ก.ย.'!M216</f>
        <v>0</v>
      </c>
      <c r="N216" s="443">
        <f>+'ต.ค.-ธ.ค.'!N217+'ม.ค.-มี.ค.'!N216+'เม.ย.-มิ.ย.'!N216+'ก.ค.-ก.ย.'!N216</f>
        <v>0</v>
      </c>
      <c r="O216" s="443">
        <f>+'ต.ค.-ธ.ค.'!O217+'ม.ค.-มี.ค.'!O216+'เม.ย.-มิ.ย.'!O216+'ก.ค.-ก.ย.'!O216</f>
        <v>0</v>
      </c>
      <c r="P216" s="443">
        <f>+'ต.ค.-ธ.ค.'!P217+'ม.ค.-มี.ค.'!P216+'เม.ย.-มิ.ย.'!P216+'ก.ค.-ก.ย.'!P216</f>
        <v>0</v>
      </c>
      <c r="Q216" s="443">
        <f>+'ต.ค.-ธ.ค.'!Q217+'ม.ค.-มี.ค.'!Q216+'เม.ย.-มิ.ย.'!Q216+'ก.ค.-ก.ย.'!Q216</f>
        <v>0</v>
      </c>
      <c r="R216" s="443">
        <f>+'ต.ค.-ธ.ค.'!R217+'ม.ค.-มี.ค.'!R216+'เม.ย.-มิ.ย.'!R216+'ก.ค.-ก.ย.'!R216</f>
        <v>0</v>
      </c>
      <c r="S216" s="443">
        <f>+'ต.ค.-ธ.ค.'!S217+'ม.ค.-มี.ค.'!S216+'เม.ย.-มิ.ย.'!S216+'ก.ค.-ก.ย.'!S216</f>
        <v>0</v>
      </c>
      <c r="T216" s="443">
        <f>+'ต.ค.-ธ.ค.'!T217+'ม.ค.-มี.ค.'!T216+'เม.ย.-มิ.ย.'!T216+'ก.ค.-ก.ย.'!T216</f>
        <v>0</v>
      </c>
      <c r="U216" s="443">
        <f>+'ต.ค.-ธ.ค.'!U217+'ม.ค.-มี.ค.'!U216+'เม.ย.-มิ.ย.'!U216+'ก.ค.-ก.ย.'!U216</f>
        <v>0</v>
      </c>
      <c r="V216" s="443">
        <f>+'ต.ค.-ธ.ค.'!V217+'ม.ค.-มี.ค.'!V216+'เม.ย.-มิ.ย.'!V216+'ก.ค.-ก.ย.'!V216</f>
        <v>0</v>
      </c>
    </row>
    <row r="217" spans="1:23" ht="25.5" customHeight="1">
      <c r="A217" s="169"/>
      <c r="B217" s="185"/>
      <c r="C217" s="412"/>
      <c r="D217" s="458"/>
      <c r="E217" s="459"/>
      <c r="F217" s="460"/>
      <c r="G217" s="460"/>
      <c r="H217" s="460"/>
      <c r="I217" s="443"/>
      <c r="J217" s="458"/>
      <c r="K217" s="458"/>
      <c r="L217" s="458"/>
      <c r="M217" s="460"/>
      <c r="N217" s="458"/>
      <c r="O217" s="458"/>
      <c r="P217" s="458"/>
      <c r="Q217" s="458"/>
      <c r="R217" s="543"/>
      <c r="S217" s="542"/>
      <c r="T217" s="542"/>
      <c r="U217" s="543"/>
      <c r="V217" s="543"/>
    </row>
    <row r="218" spans="1:23" ht="25.5" customHeight="1">
      <c r="A218" s="169"/>
      <c r="B218" s="185"/>
      <c r="C218" s="412"/>
      <c r="D218" s="458"/>
      <c r="E218" s="459"/>
      <c r="F218" s="460"/>
      <c r="G218" s="460"/>
      <c r="H218" s="460"/>
      <c r="I218" s="443"/>
      <c r="J218" s="458"/>
      <c r="K218" s="458"/>
      <c r="L218" s="458"/>
      <c r="M218" s="460"/>
      <c r="N218" s="458"/>
      <c r="O218" s="458"/>
      <c r="P218" s="458"/>
      <c r="Q218" s="458"/>
      <c r="R218" s="543"/>
      <c r="S218" s="542"/>
      <c r="T218" s="542"/>
      <c r="U218" s="543"/>
      <c r="V218" s="543"/>
    </row>
    <row r="219" spans="1:23" ht="25.5" customHeight="1">
      <c r="A219" s="5"/>
      <c r="B219" s="185"/>
      <c r="C219" s="408"/>
      <c r="D219" s="458"/>
      <c r="E219" s="459"/>
      <c r="F219" s="460"/>
      <c r="G219" s="460"/>
      <c r="H219" s="460"/>
      <c r="I219" s="443"/>
      <c r="J219" s="458"/>
      <c r="K219" s="458"/>
      <c r="L219" s="458"/>
      <c r="M219" s="460"/>
      <c r="N219" s="458"/>
      <c r="O219" s="458"/>
      <c r="P219" s="458"/>
      <c r="Q219" s="458"/>
      <c r="R219" s="543"/>
      <c r="S219" s="542"/>
      <c r="T219" s="542"/>
      <c r="U219" s="543"/>
      <c r="V219" s="543"/>
    </row>
    <row r="220" spans="1:23" ht="25.5" customHeight="1">
      <c r="A220" s="5"/>
      <c r="B220" s="130"/>
      <c r="C220" s="409"/>
      <c r="D220" s="442"/>
      <c r="E220" s="443"/>
      <c r="F220" s="444"/>
      <c r="G220" s="444"/>
      <c r="H220" s="444"/>
      <c r="I220" s="443"/>
      <c r="J220" s="442"/>
      <c r="K220" s="442"/>
      <c r="L220" s="442"/>
      <c r="M220" s="444"/>
      <c r="N220" s="442"/>
      <c r="O220" s="442"/>
      <c r="P220" s="442"/>
      <c r="Q220" s="442"/>
      <c r="R220" s="538"/>
      <c r="S220" s="539"/>
      <c r="T220" s="539"/>
      <c r="U220" s="538"/>
      <c r="V220" s="538"/>
    </row>
    <row r="221" spans="1:23" ht="25.5" customHeight="1" thickBot="1">
      <c r="A221" s="15"/>
      <c r="B221" s="14" t="s">
        <v>5</v>
      </c>
      <c r="C221" s="411">
        <f>SUM(C212:C220)</f>
        <v>2863000</v>
      </c>
      <c r="D221" s="466">
        <f>SUM(D212:D220)</f>
        <v>0</v>
      </c>
      <c r="E221" s="467">
        <f t="shared" ref="E221:V221" si="7">SUM(E212:E220)</f>
        <v>0</v>
      </c>
      <c r="F221" s="467">
        <f t="shared" si="7"/>
        <v>0</v>
      </c>
      <c r="G221" s="467">
        <f t="shared" si="7"/>
        <v>0</v>
      </c>
      <c r="H221" s="467">
        <f t="shared" si="7"/>
        <v>0</v>
      </c>
      <c r="I221" s="466">
        <f>SUM(I212:I220)</f>
        <v>2586160</v>
      </c>
      <c r="J221" s="466">
        <f t="shared" si="7"/>
        <v>0</v>
      </c>
      <c r="K221" s="466">
        <f>SUM(K212:K220)</f>
        <v>100000</v>
      </c>
      <c r="L221" s="466">
        <f t="shared" si="7"/>
        <v>0</v>
      </c>
      <c r="M221" s="467">
        <f t="shared" si="7"/>
        <v>0</v>
      </c>
      <c r="N221" s="466">
        <f t="shared" si="7"/>
        <v>0</v>
      </c>
      <c r="O221" s="466">
        <f t="shared" si="7"/>
        <v>0</v>
      </c>
      <c r="P221" s="466">
        <f t="shared" si="7"/>
        <v>0</v>
      </c>
      <c r="Q221" s="466">
        <f t="shared" si="7"/>
        <v>0</v>
      </c>
      <c r="R221" s="466">
        <f t="shared" si="7"/>
        <v>0</v>
      </c>
      <c r="S221" s="466">
        <f t="shared" si="7"/>
        <v>0</v>
      </c>
      <c r="T221" s="466"/>
      <c r="U221" s="466">
        <f t="shared" si="7"/>
        <v>0</v>
      </c>
      <c r="V221" s="466">
        <f t="shared" si="7"/>
        <v>0</v>
      </c>
      <c r="W221" s="583">
        <f>SUM(D221:V221)</f>
        <v>2686160</v>
      </c>
    </row>
    <row r="222" spans="1:23" ht="25.5" customHeight="1" thickTop="1">
      <c r="A222" s="20" t="s">
        <v>71</v>
      </c>
      <c r="B222" s="21"/>
      <c r="C222" s="420"/>
      <c r="D222" s="458"/>
      <c r="E222" s="459"/>
      <c r="F222" s="460"/>
      <c r="G222" s="460"/>
      <c r="H222" s="460"/>
      <c r="I222" s="458"/>
      <c r="J222" s="458"/>
      <c r="K222" s="458"/>
      <c r="L222" s="458"/>
      <c r="M222" s="460"/>
      <c r="N222" s="458"/>
      <c r="O222" s="458"/>
      <c r="P222" s="458"/>
      <c r="Q222" s="458"/>
      <c r="R222" s="543"/>
      <c r="S222" s="542"/>
      <c r="T222" s="542"/>
      <c r="U222" s="543"/>
      <c r="V222" s="543"/>
    </row>
    <row r="223" spans="1:23" ht="25.5" customHeight="1">
      <c r="A223" s="66"/>
      <c r="B223" s="130"/>
      <c r="C223" s="408"/>
      <c r="D223" s="442">
        <f>+'ต.ค.-มิ.ย. 61'!D223+ก.ค.!D223</f>
        <v>0</v>
      </c>
      <c r="E223" s="442">
        <f>+'ต.ค.-มิ.ย. 61'!E223+ก.ค.!E223</f>
        <v>0</v>
      </c>
      <c r="F223" s="442">
        <f>+'ต.ค.-มิ.ย. 61'!F223+ก.ค.!F223</f>
        <v>0</v>
      </c>
      <c r="G223" s="442">
        <f>+'ต.ค.-มิ.ย. 61'!G223+ก.ค.!G223</f>
        <v>0</v>
      </c>
      <c r="H223" s="442">
        <f>+'ต.ค.-มิ.ย. 61'!H223+ก.ค.!H223</f>
        <v>0</v>
      </c>
      <c r="I223" s="442">
        <f>+'ต.ค.-มิ.ย. 61'!I223+ก.ค.!I223</f>
        <v>0</v>
      </c>
      <c r="J223" s="442">
        <f>+'ต.ค.-มิ.ย. 61'!J223+ก.ค.!J223</f>
        <v>0</v>
      </c>
      <c r="K223" s="442">
        <f>+'ต.ค.-มิ.ย. 61'!K223+ก.ค.!K223</f>
        <v>0</v>
      </c>
      <c r="L223" s="442">
        <f>+'ต.ค.-มิ.ย. 61'!L223+ก.ค.!L223</f>
        <v>0</v>
      </c>
      <c r="M223" s="442">
        <f>+'ต.ค.-มิ.ย. 61'!M223+ก.ค.!M223</f>
        <v>0</v>
      </c>
      <c r="N223" s="442">
        <f>+'ต.ค.-มิ.ย. 61'!N223+ก.ค.!N223</f>
        <v>0</v>
      </c>
      <c r="O223" s="442">
        <f>+'ต.ค.-มิ.ย. 61'!O223+ก.ค.!O223</f>
        <v>0</v>
      </c>
      <c r="P223" s="442">
        <f>+'ต.ค.-มิ.ย. 61'!P223+ก.ค.!P223</f>
        <v>0</v>
      </c>
      <c r="Q223" s="442">
        <f>+'ต.ค.-มิ.ย. 61'!Q223+ก.ค.!Q223</f>
        <v>0</v>
      </c>
      <c r="R223" s="442">
        <f>+'ต.ค.-มิ.ย. 61'!R223+ก.ค.!R223</f>
        <v>0</v>
      </c>
      <c r="S223" s="442">
        <f>+'ต.ค.-มิ.ย. 61'!S223+ก.ค.!S223</f>
        <v>0</v>
      </c>
      <c r="T223" s="442">
        <f>+'ต.ค.-มิ.ย. 61'!T223+ก.ค.!T223</f>
        <v>0</v>
      </c>
      <c r="U223" s="442">
        <f>+'ต.ค.-มิ.ย. 61'!U223+ก.ค.!U223</f>
        <v>0</v>
      </c>
      <c r="V223" s="538"/>
    </row>
    <row r="224" spans="1:23" ht="25.5" customHeight="1" thickBot="1">
      <c r="A224" s="167"/>
      <c r="B224" s="47" t="s">
        <v>5</v>
      </c>
      <c r="C224" s="414">
        <f>SUM(C222:C223)</f>
        <v>0</v>
      </c>
      <c r="D224" s="466">
        <f>SUM(D223)</f>
        <v>0</v>
      </c>
      <c r="E224" s="466">
        <f t="shared" ref="E224:V224" si="8">SUM(E223)</f>
        <v>0</v>
      </c>
      <c r="F224" s="466">
        <f t="shared" si="8"/>
        <v>0</v>
      </c>
      <c r="G224" s="466">
        <f t="shared" si="8"/>
        <v>0</v>
      </c>
      <c r="H224" s="466">
        <f t="shared" si="8"/>
        <v>0</v>
      </c>
      <c r="I224" s="466">
        <f t="shared" si="8"/>
        <v>0</v>
      </c>
      <c r="J224" s="466">
        <f t="shared" si="8"/>
        <v>0</v>
      </c>
      <c r="K224" s="466">
        <f t="shared" si="8"/>
        <v>0</v>
      </c>
      <c r="L224" s="466">
        <f t="shared" si="8"/>
        <v>0</v>
      </c>
      <c r="M224" s="466">
        <f t="shared" si="8"/>
        <v>0</v>
      </c>
      <c r="N224" s="466">
        <f t="shared" si="8"/>
        <v>0</v>
      </c>
      <c r="O224" s="466">
        <f t="shared" si="8"/>
        <v>0</v>
      </c>
      <c r="P224" s="466">
        <f t="shared" si="8"/>
        <v>0</v>
      </c>
      <c r="Q224" s="466">
        <f t="shared" si="8"/>
        <v>0</v>
      </c>
      <c r="R224" s="466">
        <f t="shared" si="8"/>
        <v>0</v>
      </c>
      <c r="S224" s="466">
        <f t="shared" si="8"/>
        <v>0</v>
      </c>
      <c r="T224" s="466">
        <f t="shared" si="8"/>
        <v>0</v>
      </c>
      <c r="U224" s="466">
        <f t="shared" si="8"/>
        <v>0</v>
      </c>
      <c r="V224" s="466">
        <f t="shared" si="8"/>
        <v>0</v>
      </c>
    </row>
    <row r="225" spans="1:24" ht="25.5" customHeight="1" thickTop="1">
      <c r="A225" s="20" t="s">
        <v>115</v>
      </c>
      <c r="B225" s="284"/>
      <c r="C225" s="421"/>
      <c r="D225" s="458"/>
      <c r="E225" s="459"/>
      <c r="F225" s="460"/>
      <c r="G225" s="460"/>
      <c r="H225" s="460"/>
      <c r="I225" s="458"/>
      <c r="J225" s="458"/>
      <c r="K225" s="458"/>
      <c r="L225" s="458"/>
      <c r="M225" s="460"/>
      <c r="N225" s="458"/>
      <c r="O225" s="458"/>
      <c r="P225" s="458"/>
      <c r="Q225" s="458"/>
      <c r="R225" s="543"/>
      <c r="S225" s="542"/>
      <c r="T225" s="542"/>
      <c r="U225" s="543"/>
      <c r="V225" s="543"/>
    </row>
    <row r="226" spans="1:24" ht="25.5" customHeight="1">
      <c r="A226" s="20"/>
      <c r="B226" s="252" t="s">
        <v>291</v>
      </c>
      <c r="C226" s="421"/>
      <c r="D226" s="442"/>
      <c r="E226" s="443"/>
      <c r="F226" s="444"/>
      <c r="G226" s="444"/>
      <c r="H226" s="444"/>
      <c r="I226" s="442"/>
      <c r="J226" s="442"/>
      <c r="K226" s="442"/>
      <c r="L226" s="442"/>
      <c r="M226" s="444"/>
      <c r="N226" s="442"/>
      <c r="O226" s="442"/>
      <c r="P226" s="442"/>
      <c r="Q226" s="442"/>
      <c r="R226" s="538"/>
      <c r="S226" s="539"/>
      <c r="T226" s="539"/>
      <c r="U226" s="538"/>
      <c r="V226" s="538"/>
    </row>
    <row r="227" spans="1:24" s="310" customFormat="1" ht="25.5" customHeight="1">
      <c r="A227" s="20"/>
      <c r="B227" s="186" t="s">
        <v>286</v>
      </c>
      <c r="C227" s="422">
        <v>10000</v>
      </c>
      <c r="D227" s="442">
        <f>+'ต.ค.-ธ.ค.'!D228+'ม.ค.-มี.ค.'!D227+'เม.ย.-มิ.ย.'!D227+'ก.ค.-ก.ย.'!D227</f>
        <v>0</v>
      </c>
      <c r="E227" s="442">
        <f>+'ต.ค.-ธ.ค.'!E228+'ม.ค.-มี.ค.'!E227+'เม.ย.-มิ.ย.'!E227+'ก.ค.-ก.ย.'!E227</f>
        <v>10000</v>
      </c>
      <c r="F227" s="442">
        <f>+'ต.ค.-ธ.ค.'!F228+'ม.ค.-มี.ค.'!F227+'เม.ย.-มิ.ย.'!F227+'ก.ค.-ก.ย.'!F227</f>
        <v>0</v>
      </c>
      <c r="G227" s="442">
        <f>+'ต.ค.-ธ.ค.'!G228+'ม.ค.-มี.ค.'!G227+'เม.ย.-มิ.ย.'!G227+'ก.ค.-ก.ย.'!G227</f>
        <v>0</v>
      </c>
      <c r="H227" s="442">
        <f>+'ต.ค.-ธ.ค.'!H228+'ม.ค.-มี.ค.'!H227+'เม.ย.-มิ.ย.'!H227+'ก.ค.-ก.ย.'!H227</f>
        <v>0</v>
      </c>
      <c r="I227" s="442">
        <f>+'ต.ค.-ธ.ค.'!I228+'ม.ค.-มี.ค.'!I227+'เม.ย.-มิ.ย.'!I227+'ก.ค.-ก.ย.'!I227</f>
        <v>0</v>
      </c>
      <c r="J227" s="442">
        <f>+'ต.ค.-ธ.ค.'!J228+'ม.ค.-มี.ค.'!J227+'เม.ย.-มิ.ย.'!J227+'ก.ค.-ก.ย.'!J227</f>
        <v>0</v>
      </c>
      <c r="K227" s="442">
        <f>+'ต.ค.-ธ.ค.'!K228+'ม.ค.-มี.ค.'!K227+'เม.ย.-มิ.ย.'!K227+'ก.ค.-ก.ย.'!K227</f>
        <v>0</v>
      </c>
      <c r="L227" s="442">
        <f>+'ต.ค.-ธ.ค.'!L228+'ม.ค.-มี.ค.'!L227+'เม.ย.-มิ.ย.'!L227+'ก.ค.-ก.ย.'!L227</f>
        <v>0</v>
      </c>
      <c r="M227" s="442">
        <f>+'ต.ค.-ธ.ค.'!M228+'ม.ค.-มี.ค.'!M227+'เม.ย.-มิ.ย.'!M227+'ก.ค.-ก.ย.'!M227</f>
        <v>0</v>
      </c>
      <c r="N227" s="442">
        <f>+'ต.ค.-ธ.ค.'!N228+'ม.ค.-มี.ค.'!N227+'เม.ย.-มิ.ย.'!N227+'ก.ค.-ก.ย.'!N227</f>
        <v>0</v>
      </c>
      <c r="O227" s="442">
        <f>+'ต.ค.-ธ.ค.'!O228+'ม.ค.-มี.ค.'!O227+'เม.ย.-มิ.ย.'!O227+'ก.ค.-ก.ย.'!O227</f>
        <v>0</v>
      </c>
      <c r="P227" s="442">
        <f>+'ต.ค.-ธ.ค.'!P228+'ม.ค.-มี.ค.'!P227+'เม.ย.-มิ.ย.'!P227+'ก.ค.-ก.ย.'!P227</f>
        <v>0</v>
      </c>
      <c r="Q227" s="442">
        <f>+'ต.ค.-ธ.ค.'!Q228+'ม.ค.-มี.ค.'!Q227+'เม.ย.-มิ.ย.'!Q227+'ก.ค.-ก.ย.'!Q227</f>
        <v>0</v>
      </c>
      <c r="R227" s="442">
        <f>+'ต.ค.-ธ.ค.'!R228+'ม.ค.-มี.ค.'!R227+'เม.ย.-มิ.ย.'!R227+'ก.ค.-ก.ย.'!R227</f>
        <v>0</v>
      </c>
      <c r="S227" s="442">
        <f>+'ต.ค.-ธ.ค.'!S228+'ม.ค.-มี.ค.'!S227+'เม.ย.-มิ.ย.'!S227+'ก.ค.-ก.ย.'!S227</f>
        <v>0</v>
      </c>
      <c r="T227" s="442">
        <f>+'ต.ค.-ธ.ค.'!T228+'ม.ค.-มี.ค.'!T227+'เม.ย.-มิ.ย.'!T227+'ก.ค.-ก.ย.'!T227</f>
        <v>0</v>
      </c>
      <c r="U227" s="442">
        <f>+'ต.ค.-ธ.ค.'!U228+'ม.ค.-มี.ค.'!U227+'เม.ย.-มิ.ย.'!U227+'ก.ค.-ก.ย.'!U227</f>
        <v>0</v>
      </c>
      <c r="V227" s="442">
        <f>+'ต.ค.-ธ.ค.'!V228+'ม.ค.-มี.ค.'!V227+'เม.ย.-มิ.ย.'!V227+'ก.ค.-ก.ย.'!V227</f>
        <v>0</v>
      </c>
      <c r="W227" s="579"/>
      <c r="X227" s="364"/>
    </row>
    <row r="228" spans="1:24" s="310" customFormat="1" ht="25.5" customHeight="1">
      <c r="A228" s="20"/>
      <c r="B228" s="186" t="s">
        <v>287</v>
      </c>
      <c r="C228" s="422">
        <v>4500</v>
      </c>
      <c r="D228" s="442">
        <f>+'ต.ค.-ธ.ค.'!D229+'ม.ค.-มี.ค.'!D228+'เม.ย.-มิ.ย.'!D228+'ก.ค.-ก.ย.'!D228</f>
        <v>0</v>
      </c>
      <c r="E228" s="442">
        <f>+'ต.ค.-ธ.ค.'!E229+'ม.ค.-มี.ค.'!E228+'เม.ย.-มิ.ย.'!E228+'ก.ค.-ก.ย.'!E228</f>
        <v>2700</v>
      </c>
      <c r="F228" s="442">
        <f>+'ต.ค.-ธ.ค.'!F229+'ม.ค.-มี.ค.'!F228+'เม.ย.-มิ.ย.'!F228+'ก.ค.-ก.ย.'!F228</f>
        <v>0</v>
      </c>
      <c r="G228" s="442">
        <f>+'ต.ค.-ธ.ค.'!G229+'ม.ค.-มี.ค.'!G228+'เม.ย.-มิ.ย.'!G228+'ก.ค.-ก.ย.'!G228</f>
        <v>0</v>
      </c>
      <c r="H228" s="442">
        <f>+'ต.ค.-ธ.ค.'!H229+'ม.ค.-มี.ค.'!H228+'เม.ย.-มิ.ย.'!H228+'ก.ค.-ก.ย.'!H228</f>
        <v>0</v>
      </c>
      <c r="I228" s="442">
        <f>+'ต.ค.-ธ.ค.'!I229+'ม.ค.-มี.ค.'!I228+'เม.ย.-มิ.ย.'!I228+'ก.ค.-ก.ย.'!I228</f>
        <v>0</v>
      </c>
      <c r="J228" s="442">
        <f>+'ต.ค.-ธ.ค.'!J229+'ม.ค.-มี.ค.'!J228+'เม.ย.-มิ.ย.'!J228+'ก.ค.-ก.ย.'!J228</f>
        <v>0</v>
      </c>
      <c r="K228" s="442">
        <f>+'ต.ค.-ธ.ค.'!K229+'ม.ค.-มี.ค.'!K228+'เม.ย.-มิ.ย.'!K228+'ก.ค.-ก.ย.'!K228</f>
        <v>0</v>
      </c>
      <c r="L228" s="442">
        <f>+'ต.ค.-ธ.ค.'!L229+'ม.ค.-มี.ค.'!L228+'เม.ย.-มิ.ย.'!L228+'ก.ค.-ก.ย.'!L228</f>
        <v>0</v>
      </c>
      <c r="M228" s="442">
        <f>+'ต.ค.-ธ.ค.'!M229+'ม.ค.-มี.ค.'!M228+'เม.ย.-มิ.ย.'!M228+'ก.ค.-ก.ย.'!M228</f>
        <v>0</v>
      </c>
      <c r="N228" s="442">
        <f>+'ต.ค.-ธ.ค.'!N229+'ม.ค.-มี.ค.'!N228+'เม.ย.-มิ.ย.'!N228+'ก.ค.-ก.ย.'!N228</f>
        <v>0</v>
      </c>
      <c r="O228" s="442">
        <f>+'ต.ค.-ธ.ค.'!O229+'ม.ค.-มี.ค.'!O228+'เม.ย.-มิ.ย.'!O228+'ก.ค.-ก.ย.'!O228</f>
        <v>0</v>
      </c>
      <c r="P228" s="442">
        <f>+'ต.ค.-ธ.ค.'!P229+'ม.ค.-มี.ค.'!P228+'เม.ย.-มิ.ย.'!P228+'ก.ค.-ก.ย.'!P228</f>
        <v>0</v>
      </c>
      <c r="Q228" s="442">
        <f>+'ต.ค.-ธ.ค.'!Q229+'ม.ค.-มี.ค.'!Q228+'เม.ย.-มิ.ย.'!Q228+'ก.ค.-ก.ย.'!Q228</f>
        <v>0</v>
      </c>
      <c r="R228" s="442">
        <f>+'ต.ค.-ธ.ค.'!R229+'ม.ค.-มี.ค.'!R228+'เม.ย.-มิ.ย.'!R228+'ก.ค.-ก.ย.'!R228</f>
        <v>0</v>
      </c>
      <c r="S228" s="442">
        <f>+'ต.ค.-ธ.ค.'!S229+'ม.ค.-มี.ค.'!S228+'เม.ย.-มิ.ย.'!S228+'ก.ค.-ก.ย.'!S228</f>
        <v>0</v>
      </c>
      <c r="T228" s="442">
        <f>+'ต.ค.-ธ.ค.'!T229+'ม.ค.-มี.ค.'!T228+'เม.ย.-มิ.ย.'!T228+'ก.ค.-ก.ย.'!T228</f>
        <v>0</v>
      </c>
      <c r="U228" s="442">
        <f>+'ต.ค.-ธ.ค.'!U229+'ม.ค.-มี.ค.'!U228+'เม.ย.-มิ.ย.'!U228+'ก.ค.-ก.ย.'!U228</f>
        <v>0</v>
      </c>
      <c r="V228" s="442">
        <f>+'ต.ค.-ธ.ค.'!V229+'ม.ค.-มี.ค.'!V228+'เม.ย.-มิ.ย.'!V228+'ก.ค.-ก.ย.'!V228</f>
        <v>0</v>
      </c>
      <c r="W228" s="579"/>
      <c r="X228" s="364"/>
    </row>
    <row r="229" spans="1:24" s="310" customFormat="1" ht="25.5" customHeight="1">
      <c r="A229" s="20"/>
      <c r="B229" s="186" t="s">
        <v>288</v>
      </c>
      <c r="C229" s="422">
        <v>3000</v>
      </c>
      <c r="D229" s="442">
        <f>+'ต.ค.-ธ.ค.'!D230+'ม.ค.-มี.ค.'!D229+'เม.ย.-มิ.ย.'!D229+'ก.ค.-ก.ย.'!D229</f>
        <v>0</v>
      </c>
      <c r="E229" s="442">
        <f>+'ต.ค.-ธ.ค.'!E230+'ม.ค.-มี.ค.'!E229+'เม.ย.-มิ.ย.'!E229+'ก.ค.-ก.ย.'!E229</f>
        <v>1600</v>
      </c>
      <c r="F229" s="442">
        <f>+'ต.ค.-ธ.ค.'!F230+'ม.ค.-มี.ค.'!F229+'เม.ย.-มิ.ย.'!F229+'ก.ค.-ก.ย.'!F229</f>
        <v>0</v>
      </c>
      <c r="G229" s="442">
        <f>+'ต.ค.-ธ.ค.'!G230+'ม.ค.-มี.ค.'!G229+'เม.ย.-มิ.ย.'!G229+'ก.ค.-ก.ย.'!G229</f>
        <v>0</v>
      </c>
      <c r="H229" s="442">
        <f>+'ต.ค.-ธ.ค.'!H230+'ม.ค.-มี.ค.'!H229+'เม.ย.-มิ.ย.'!H229+'ก.ค.-ก.ย.'!H229</f>
        <v>0</v>
      </c>
      <c r="I229" s="442">
        <f>+'ต.ค.-ธ.ค.'!I230+'ม.ค.-มี.ค.'!I229+'เม.ย.-มิ.ย.'!I229+'ก.ค.-ก.ย.'!I229</f>
        <v>0</v>
      </c>
      <c r="J229" s="442">
        <f>+'ต.ค.-ธ.ค.'!J230+'ม.ค.-มี.ค.'!J229+'เม.ย.-มิ.ย.'!J229+'ก.ค.-ก.ย.'!J229</f>
        <v>0</v>
      </c>
      <c r="K229" s="442">
        <f>+'ต.ค.-ธ.ค.'!K230+'ม.ค.-มี.ค.'!K229+'เม.ย.-มิ.ย.'!K229+'ก.ค.-ก.ย.'!K229</f>
        <v>0</v>
      </c>
      <c r="L229" s="442">
        <f>+'ต.ค.-ธ.ค.'!L230+'ม.ค.-มี.ค.'!L229+'เม.ย.-มิ.ย.'!L229+'ก.ค.-ก.ย.'!L229</f>
        <v>0</v>
      </c>
      <c r="M229" s="442">
        <f>+'ต.ค.-ธ.ค.'!M230+'ม.ค.-มี.ค.'!M229+'เม.ย.-มิ.ย.'!M229+'ก.ค.-ก.ย.'!M229</f>
        <v>0</v>
      </c>
      <c r="N229" s="442">
        <f>+'ต.ค.-ธ.ค.'!N230+'ม.ค.-มี.ค.'!N229+'เม.ย.-มิ.ย.'!N229+'ก.ค.-ก.ย.'!N229</f>
        <v>0</v>
      </c>
      <c r="O229" s="442">
        <f>+'ต.ค.-ธ.ค.'!O230+'ม.ค.-มี.ค.'!O229+'เม.ย.-มิ.ย.'!O229+'ก.ค.-ก.ย.'!O229</f>
        <v>0</v>
      </c>
      <c r="P229" s="442">
        <f>+'ต.ค.-ธ.ค.'!P230+'ม.ค.-มี.ค.'!P229+'เม.ย.-มิ.ย.'!P229+'ก.ค.-ก.ย.'!P229</f>
        <v>0</v>
      </c>
      <c r="Q229" s="442">
        <f>+'ต.ค.-ธ.ค.'!Q230+'ม.ค.-มี.ค.'!Q229+'เม.ย.-มิ.ย.'!Q229+'ก.ค.-ก.ย.'!Q229</f>
        <v>0</v>
      </c>
      <c r="R229" s="442">
        <f>+'ต.ค.-ธ.ค.'!R230+'ม.ค.-มี.ค.'!R229+'เม.ย.-มิ.ย.'!R229+'ก.ค.-ก.ย.'!R229</f>
        <v>0</v>
      </c>
      <c r="S229" s="442">
        <f>+'ต.ค.-ธ.ค.'!S230+'ม.ค.-มี.ค.'!S229+'เม.ย.-มิ.ย.'!S229+'ก.ค.-ก.ย.'!S229</f>
        <v>0</v>
      </c>
      <c r="T229" s="442">
        <f>+'ต.ค.-ธ.ค.'!T230+'ม.ค.-มี.ค.'!T229+'เม.ย.-มิ.ย.'!T229+'ก.ค.-ก.ย.'!T229</f>
        <v>0</v>
      </c>
      <c r="U229" s="442">
        <f>+'ต.ค.-ธ.ค.'!U230+'ม.ค.-มี.ค.'!U229+'เม.ย.-มิ.ย.'!U229+'ก.ค.-ก.ย.'!U229</f>
        <v>0</v>
      </c>
      <c r="V229" s="442">
        <f>+'ต.ค.-ธ.ค.'!V230+'ม.ค.-มี.ค.'!V229+'เม.ย.-มิ.ย.'!V229+'ก.ค.-ก.ย.'!V229</f>
        <v>0</v>
      </c>
      <c r="W229" s="579"/>
      <c r="X229" s="364"/>
    </row>
    <row r="230" spans="1:24" s="310" customFormat="1" ht="25.5" customHeight="1">
      <c r="A230" s="20"/>
      <c r="B230" s="186" t="s">
        <v>289</v>
      </c>
      <c r="C230" s="422">
        <v>20000</v>
      </c>
      <c r="D230" s="442">
        <f>+'ต.ค.-ธ.ค.'!D231+'ม.ค.-มี.ค.'!D230+'เม.ย.-มิ.ย.'!D230+'ก.ค.-ก.ย.'!D230</f>
        <v>0</v>
      </c>
      <c r="E230" s="442">
        <f>+'ต.ค.-ธ.ค.'!E231+'ม.ค.-มี.ค.'!E230+'เม.ย.-มิ.ย.'!E230+'ก.ค.-ก.ย.'!E230</f>
        <v>19800</v>
      </c>
      <c r="F230" s="442">
        <f>+'ต.ค.-ธ.ค.'!F231+'ม.ค.-มี.ค.'!F230+'เม.ย.-มิ.ย.'!F230+'ก.ค.-ก.ย.'!F230</f>
        <v>0</v>
      </c>
      <c r="G230" s="442">
        <f>+'ต.ค.-ธ.ค.'!G231+'ม.ค.-มี.ค.'!G230+'เม.ย.-มิ.ย.'!G230+'ก.ค.-ก.ย.'!G230</f>
        <v>0</v>
      </c>
      <c r="H230" s="442">
        <f>+'ต.ค.-ธ.ค.'!H231+'ม.ค.-มี.ค.'!H230+'เม.ย.-มิ.ย.'!H230+'ก.ค.-ก.ย.'!H230</f>
        <v>0</v>
      </c>
      <c r="I230" s="442">
        <f>+'ต.ค.-ธ.ค.'!I231+'ม.ค.-มี.ค.'!I230+'เม.ย.-มิ.ย.'!I230+'ก.ค.-ก.ย.'!I230</f>
        <v>0</v>
      </c>
      <c r="J230" s="442">
        <f>+'ต.ค.-ธ.ค.'!J231+'ม.ค.-มี.ค.'!J230+'เม.ย.-มิ.ย.'!J230+'ก.ค.-ก.ย.'!J230</f>
        <v>0</v>
      </c>
      <c r="K230" s="442">
        <f>+'ต.ค.-ธ.ค.'!K231+'ม.ค.-มี.ค.'!K230+'เม.ย.-มิ.ย.'!K230+'ก.ค.-ก.ย.'!K230</f>
        <v>0</v>
      </c>
      <c r="L230" s="442">
        <f>+'ต.ค.-ธ.ค.'!L231+'ม.ค.-มี.ค.'!L230+'เม.ย.-มิ.ย.'!L230+'ก.ค.-ก.ย.'!L230</f>
        <v>0</v>
      </c>
      <c r="M230" s="442">
        <f>+'ต.ค.-ธ.ค.'!M231+'ม.ค.-มี.ค.'!M230+'เม.ย.-มิ.ย.'!M230+'ก.ค.-ก.ย.'!M230</f>
        <v>0</v>
      </c>
      <c r="N230" s="442">
        <f>+'ต.ค.-ธ.ค.'!N231+'ม.ค.-มี.ค.'!N230+'เม.ย.-มิ.ย.'!N230+'ก.ค.-ก.ย.'!N230</f>
        <v>0</v>
      </c>
      <c r="O230" s="442">
        <f>+'ต.ค.-ธ.ค.'!O231+'ม.ค.-มี.ค.'!O230+'เม.ย.-มิ.ย.'!O230+'ก.ค.-ก.ย.'!O230</f>
        <v>0</v>
      </c>
      <c r="P230" s="442">
        <f>+'ต.ค.-ธ.ค.'!P231+'ม.ค.-มี.ค.'!P230+'เม.ย.-มิ.ย.'!P230+'ก.ค.-ก.ย.'!P230</f>
        <v>0</v>
      </c>
      <c r="Q230" s="442">
        <f>+'ต.ค.-ธ.ค.'!Q231+'ม.ค.-มี.ค.'!Q230+'เม.ย.-มิ.ย.'!Q230+'ก.ค.-ก.ย.'!Q230</f>
        <v>0</v>
      </c>
      <c r="R230" s="442">
        <f>+'ต.ค.-ธ.ค.'!R231+'ม.ค.-มี.ค.'!R230+'เม.ย.-มิ.ย.'!R230+'ก.ค.-ก.ย.'!R230</f>
        <v>0</v>
      </c>
      <c r="S230" s="442">
        <f>+'ต.ค.-ธ.ค.'!S231+'ม.ค.-มี.ค.'!S230+'เม.ย.-มิ.ย.'!S230+'ก.ค.-ก.ย.'!S230</f>
        <v>0</v>
      </c>
      <c r="T230" s="442">
        <f>+'ต.ค.-ธ.ค.'!T231+'ม.ค.-มี.ค.'!T230+'เม.ย.-มิ.ย.'!T230+'ก.ค.-ก.ย.'!T230</f>
        <v>0</v>
      </c>
      <c r="U230" s="442">
        <f>+'ต.ค.-ธ.ค.'!U231+'ม.ค.-มี.ค.'!U230+'เม.ย.-มิ.ย.'!U230+'ก.ค.-ก.ย.'!U230</f>
        <v>0</v>
      </c>
      <c r="V230" s="442">
        <f>+'ต.ค.-ธ.ค.'!V231+'ม.ค.-มี.ค.'!V230+'เม.ย.-มิ.ย.'!V230+'ก.ค.-ก.ย.'!V230</f>
        <v>0</v>
      </c>
      <c r="W230" s="579"/>
      <c r="X230" s="364"/>
    </row>
    <row r="231" spans="1:24" s="310" customFormat="1" ht="25.5" customHeight="1">
      <c r="A231" s="20"/>
      <c r="B231" s="186" t="s">
        <v>290</v>
      </c>
      <c r="C231" s="423">
        <f>5500+5500</f>
        <v>11000</v>
      </c>
      <c r="D231" s="442">
        <f>+'ต.ค.-ธ.ค.'!D232+'ม.ค.-มี.ค.'!D231+'เม.ย.-มิ.ย.'!D231+'ก.ค.-ก.ย.'!D231</f>
        <v>0</v>
      </c>
      <c r="E231" s="442">
        <f>+'ต.ค.-ธ.ค.'!E232+'ม.ค.-มี.ค.'!E231+'เม.ย.-มิ.ย.'!E231+'ก.ค.-ก.ย.'!E231</f>
        <v>0</v>
      </c>
      <c r="F231" s="442">
        <f>+'ต.ค.-ธ.ค.'!F232+'ม.ค.-มี.ค.'!F231+'เม.ย.-มิ.ย.'!F231+'ก.ค.-ก.ย.'!F231</f>
        <v>0</v>
      </c>
      <c r="G231" s="442">
        <f>+'ต.ค.-ธ.ค.'!G232+'ม.ค.-มี.ค.'!G231+'เม.ย.-มิ.ย.'!G231+'ก.ค.-ก.ย.'!G231</f>
        <v>0</v>
      </c>
      <c r="H231" s="442">
        <f>+'ต.ค.-ธ.ค.'!H232+'ม.ค.-มี.ค.'!H231+'เม.ย.-มิ.ย.'!H231+'ก.ค.-ก.ย.'!H231</f>
        <v>0</v>
      </c>
      <c r="I231" s="442">
        <f>+'ต.ค.-ธ.ค.'!I232+'ม.ค.-มี.ค.'!I231+'เม.ย.-มิ.ย.'!I231+'ก.ค.-ก.ย.'!I231</f>
        <v>0</v>
      </c>
      <c r="J231" s="442">
        <f>+'ต.ค.-ธ.ค.'!J232+'ม.ค.-มี.ค.'!J231+'เม.ย.-มิ.ย.'!J231+'ก.ค.-ก.ย.'!J231</f>
        <v>0</v>
      </c>
      <c r="K231" s="442">
        <f>+'ต.ค.-ธ.ค.'!K232+'ม.ค.-มี.ค.'!K231+'เม.ย.-มิ.ย.'!K231+'ก.ค.-ก.ย.'!K231</f>
        <v>0</v>
      </c>
      <c r="L231" s="442">
        <f>+'ต.ค.-ธ.ค.'!L232+'ม.ค.-มี.ค.'!L231+'เม.ย.-มิ.ย.'!L231+'ก.ค.-ก.ย.'!L231</f>
        <v>0</v>
      </c>
      <c r="M231" s="442">
        <f>+'ต.ค.-ธ.ค.'!M232+'ม.ค.-มี.ค.'!M231+'เม.ย.-มิ.ย.'!M231+'ก.ค.-ก.ย.'!M231</f>
        <v>0</v>
      </c>
      <c r="N231" s="442">
        <f>+'ต.ค.-ธ.ค.'!N232+'ม.ค.-มี.ค.'!N231+'เม.ย.-มิ.ย.'!N231+'ก.ค.-ก.ย.'!N231</f>
        <v>0</v>
      </c>
      <c r="O231" s="442">
        <f>+'ต.ค.-ธ.ค.'!O232+'ม.ค.-มี.ค.'!O231+'เม.ย.-มิ.ย.'!O231+'ก.ค.-ก.ย.'!O231</f>
        <v>0</v>
      </c>
      <c r="P231" s="442">
        <f>+'ต.ค.-ธ.ค.'!P232+'ม.ค.-มี.ค.'!P231+'เม.ย.-มิ.ย.'!P231+'ก.ค.-ก.ย.'!P231</f>
        <v>0</v>
      </c>
      <c r="Q231" s="442">
        <f>+'ต.ค.-ธ.ค.'!Q232+'ม.ค.-มี.ค.'!Q231+'เม.ย.-มิ.ย.'!Q231+'ก.ค.-ก.ย.'!Q231</f>
        <v>0</v>
      </c>
      <c r="R231" s="442">
        <f>+'ต.ค.-ธ.ค.'!R232+'ม.ค.-มี.ค.'!R231+'เม.ย.-มิ.ย.'!R231+'ก.ค.-ก.ย.'!R231</f>
        <v>0</v>
      </c>
      <c r="S231" s="442">
        <f>+'ต.ค.-ธ.ค.'!S232+'ม.ค.-มี.ค.'!S231+'เม.ย.-มิ.ย.'!S231+'ก.ค.-ก.ย.'!S231</f>
        <v>0</v>
      </c>
      <c r="T231" s="442">
        <f>+'ต.ค.-ธ.ค.'!T232+'ม.ค.-มี.ค.'!T231+'เม.ย.-มิ.ย.'!T231+'ก.ค.-ก.ย.'!T231</f>
        <v>0</v>
      </c>
      <c r="U231" s="442">
        <f>+'ต.ค.-ธ.ค.'!U232+'ม.ค.-มี.ค.'!U231+'เม.ย.-มิ.ย.'!U231+'ก.ค.-ก.ย.'!U231</f>
        <v>0</v>
      </c>
      <c r="V231" s="442">
        <f>+'ต.ค.-ธ.ค.'!V232+'ม.ค.-มี.ค.'!V231+'เม.ย.-มิ.ย.'!V231+'ก.ค.-ก.ย.'!V231</f>
        <v>0</v>
      </c>
      <c r="W231" s="579"/>
      <c r="X231" s="364"/>
    </row>
    <row r="232" spans="1:24" s="310" customFormat="1" ht="25.5" customHeight="1">
      <c r="A232" s="20"/>
      <c r="B232" s="186" t="s">
        <v>305</v>
      </c>
      <c r="C232" s="423">
        <v>16000</v>
      </c>
      <c r="D232" s="442">
        <f>+'ต.ค.-ธ.ค.'!D233+'ม.ค.-มี.ค.'!D232+'เม.ย.-มิ.ย.'!D232+'ก.ค.-ก.ย.'!D232</f>
        <v>0</v>
      </c>
      <c r="E232" s="442">
        <f>+'ต.ค.-ธ.ค.'!E233+'ม.ค.-มี.ค.'!E232+'เม.ย.-มิ.ย.'!E232+'ก.ค.-ก.ย.'!E232</f>
        <v>0</v>
      </c>
      <c r="F232" s="442">
        <f>+'ต.ค.-ธ.ค.'!F233+'ม.ค.-มี.ค.'!F232+'เม.ย.-มิ.ย.'!F232+'ก.ค.-ก.ย.'!F232</f>
        <v>0</v>
      </c>
      <c r="G232" s="442">
        <f>+'ต.ค.-ธ.ค.'!G233+'ม.ค.-มี.ค.'!G232+'เม.ย.-มิ.ย.'!G232+'ก.ค.-ก.ย.'!G232</f>
        <v>0</v>
      </c>
      <c r="H232" s="442">
        <f>+'ต.ค.-ธ.ค.'!H233+'ม.ค.-มี.ค.'!H232+'เม.ย.-มิ.ย.'!H232+'ก.ค.-ก.ย.'!H232</f>
        <v>16000</v>
      </c>
      <c r="I232" s="442">
        <f>+'ต.ค.-ธ.ค.'!I233+'ม.ค.-มี.ค.'!I232+'เม.ย.-มิ.ย.'!I232+'ก.ค.-ก.ย.'!I232</f>
        <v>0</v>
      </c>
      <c r="J232" s="442">
        <f>+'ต.ค.-ธ.ค.'!J233+'ม.ค.-มี.ค.'!J232+'เม.ย.-มิ.ย.'!J232+'ก.ค.-ก.ย.'!J232</f>
        <v>0</v>
      </c>
      <c r="K232" s="442">
        <f>+'ต.ค.-ธ.ค.'!K233+'ม.ค.-มี.ค.'!K232+'เม.ย.-มิ.ย.'!K232+'ก.ค.-ก.ย.'!K232</f>
        <v>0</v>
      </c>
      <c r="L232" s="442">
        <f>+'ต.ค.-ธ.ค.'!L233+'ม.ค.-มี.ค.'!L232+'เม.ย.-มิ.ย.'!L232+'ก.ค.-ก.ย.'!L232</f>
        <v>0</v>
      </c>
      <c r="M232" s="442">
        <f>+'ต.ค.-ธ.ค.'!M233+'ม.ค.-มี.ค.'!M232+'เม.ย.-มิ.ย.'!M232+'ก.ค.-ก.ย.'!M232</f>
        <v>0</v>
      </c>
      <c r="N232" s="442">
        <f>+'ต.ค.-ธ.ค.'!N233+'ม.ค.-มี.ค.'!N232+'เม.ย.-มิ.ย.'!N232+'ก.ค.-ก.ย.'!N232</f>
        <v>0</v>
      </c>
      <c r="O232" s="442">
        <f>+'ต.ค.-ธ.ค.'!O233+'ม.ค.-มี.ค.'!O232+'เม.ย.-มิ.ย.'!O232+'ก.ค.-ก.ย.'!O232</f>
        <v>0</v>
      </c>
      <c r="P232" s="442">
        <f>+'ต.ค.-ธ.ค.'!P233+'ม.ค.-มี.ค.'!P232+'เม.ย.-มิ.ย.'!P232+'ก.ค.-ก.ย.'!P232</f>
        <v>0</v>
      </c>
      <c r="Q232" s="442">
        <f>+'ต.ค.-ธ.ค.'!Q233+'ม.ค.-มี.ค.'!Q232+'เม.ย.-มิ.ย.'!Q232+'ก.ค.-ก.ย.'!Q232</f>
        <v>0</v>
      </c>
      <c r="R232" s="442">
        <f>+'ต.ค.-ธ.ค.'!R233+'ม.ค.-มี.ค.'!R232+'เม.ย.-มิ.ย.'!R232+'ก.ค.-ก.ย.'!R232</f>
        <v>0</v>
      </c>
      <c r="S232" s="442">
        <f>+'ต.ค.-ธ.ค.'!S233+'ม.ค.-มี.ค.'!S232+'เม.ย.-มิ.ย.'!S232+'ก.ค.-ก.ย.'!S232</f>
        <v>0</v>
      </c>
      <c r="T232" s="442">
        <f>+'ต.ค.-ธ.ค.'!T233+'ม.ค.-มี.ค.'!T232+'เม.ย.-มิ.ย.'!T232+'ก.ค.-ก.ย.'!T232</f>
        <v>0</v>
      </c>
      <c r="U232" s="442">
        <f>+'ต.ค.-ธ.ค.'!U233+'ม.ค.-มี.ค.'!U232+'เม.ย.-มิ.ย.'!U232+'ก.ค.-ก.ย.'!U232</f>
        <v>0</v>
      </c>
      <c r="V232" s="442">
        <f>+'ต.ค.-ธ.ค.'!V233+'ม.ค.-มี.ค.'!V232+'เม.ย.-มิ.ย.'!V232+'ก.ค.-ก.ย.'!V232</f>
        <v>0</v>
      </c>
      <c r="W232" s="579"/>
      <c r="X232" s="364"/>
    </row>
    <row r="233" spans="1:24" s="310" customFormat="1" ht="25.5" customHeight="1">
      <c r="A233" s="20"/>
      <c r="B233" s="186" t="s">
        <v>334</v>
      </c>
      <c r="C233" s="423">
        <v>4500</v>
      </c>
      <c r="D233" s="442">
        <f>+'ต.ค.-ธ.ค.'!D234+'ม.ค.-มี.ค.'!D233+'เม.ย.-มิ.ย.'!D233+'ก.ค.-ก.ย.'!D233</f>
        <v>0</v>
      </c>
      <c r="E233" s="442">
        <f>+'ต.ค.-ธ.ค.'!E234+'ม.ค.-มี.ค.'!E233+'เม.ย.-มิ.ย.'!E233+'ก.ค.-ก.ย.'!E233</f>
        <v>0</v>
      </c>
      <c r="F233" s="442">
        <f>+'ต.ค.-ธ.ค.'!F234+'ม.ค.-มี.ค.'!F233+'เม.ย.-มิ.ย.'!F233+'ก.ค.-ก.ย.'!F233</f>
        <v>0</v>
      </c>
      <c r="G233" s="442">
        <f>+'ต.ค.-ธ.ค.'!G234+'ม.ค.-มี.ค.'!G233+'เม.ย.-มิ.ย.'!G233+'ก.ค.-ก.ย.'!G233</f>
        <v>0</v>
      </c>
      <c r="H233" s="442">
        <f>+'ต.ค.-ธ.ค.'!H234+'ม.ค.-มี.ค.'!H233+'เม.ย.-มิ.ย.'!H233+'ก.ค.-ก.ย.'!H233</f>
        <v>0</v>
      </c>
      <c r="I233" s="442">
        <f>+'ต.ค.-ธ.ค.'!I234+'ม.ค.-มี.ค.'!I233+'เม.ย.-มิ.ย.'!I233+'ก.ค.-ก.ย.'!I233</f>
        <v>0</v>
      </c>
      <c r="J233" s="442">
        <f>+'ต.ค.-ธ.ค.'!J234+'ม.ค.-มี.ค.'!J233+'เม.ย.-มิ.ย.'!J233+'ก.ค.-ก.ย.'!J233</f>
        <v>0</v>
      </c>
      <c r="K233" s="442">
        <f>+'ต.ค.-ธ.ค.'!K234+'ม.ค.-มี.ค.'!K233+'เม.ย.-มิ.ย.'!K233+'ก.ค.-ก.ย.'!K233</f>
        <v>0</v>
      </c>
      <c r="L233" s="442">
        <f>+'ต.ค.-ธ.ค.'!L234+'ม.ค.-มี.ค.'!L233+'เม.ย.-มิ.ย.'!L233+'ก.ค.-ก.ย.'!L233</f>
        <v>0</v>
      </c>
      <c r="M233" s="442">
        <f>+'ต.ค.-ธ.ค.'!M234+'ม.ค.-มี.ค.'!M233+'เม.ย.-มิ.ย.'!M233+'ก.ค.-ก.ย.'!M233</f>
        <v>0</v>
      </c>
      <c r="N233" s="442">
        <f>+'ต.ค.-ธ.ค.'!N234+'ม.ค.-มี.ค.'!N233+'เม.ย.-มิ.ย.'!N233+'ก.ค.-ก.ย.'!N233</f>
        <v>0</v>
      </c>
      <c r="O233" s="442">
        <f>+'ต.ค.-ธ.ค.'!O234+'ม.ค.-มี.ค.'!O233+'เม.ย.-มิ.ย.'!O233+'ก.ค.-ก.ย.'!O233</f>
        <v>0</v>
      </c>
      <c r="P233" s="442">
        <f>+'ต.ค.-ธ.ค.'!P234+'ม.ค.-มี.ค.'!P233+'เม.ย.-มิ.ย.'!P233+'ก.ค.-ก.ย.'!P233</f>
        <v>0</v>
      </c>
      <c r="Q233" s="442">
        <f>+'ต.ค.-ธ.ค.'!Q234+'ม.ค.-มี.ค.'!Q233+'เม.ย.-มิ.ย.'!Q233+'ก.ค.-ก.ย.'!Q233</f>
        <v>0</v>
      </c>
      <c r="R233" s="442">
        <f>+'ต.ค.-ธ.ค.'!R234+'ม.ค.-มี.ค.'!R233+'เม.ย.-มิ.ย.'!R233+'ก.ค.-ก.ย.'!R233</f>
        <v>0</v>
      </c>
      <c r="S233" s="442">
        <f>+'ต.ค.-ธ.ค.'!S234+'ม.ค.-มี.ค.'!S233+'เม.ย.-มิ.ย.'!S233+'ก.ค.-ก.ย.'!S233</f>
        <v>0</v>
      </c>
      <c r="T233" s="442">
        <f>+'ต.ค.-ธ.ค.'!T234+'ม.ค.-มี.ค.'!T233+'เม.ย.-มิ.ย.'!T233+'ก.ค.-ก.ย.'!T233</f>
        <v>0</v>
      </c>
      <c r="U233" s="442">
        <f>+'ต.ค.-ธ.ค.'!U234+'ม.ค.-มี.ค.'!U233+'เม.ย.-มิ.ย.'!U233+'ก.ค.-ก.ย.'!U233</f>
        <v>0</v>
      </c>
      <c r="V233" s="442">
        <f>+'ต.ค.-ธ.ค.'!V234+'ม.ค.-มี.ค.'!V233+'เม.ย.-มิ.ย.'!V233+'ก.ค.-ก.ย.'!V233</f>
        <v>0</v>
      </c>
      <c r="W233" s="579"/>
      <c r="X233" s="364"/>
    </row>
    <row r="234" spans="1:24" s="310" customFormat="1" ht="25.5" customHeight="1">
      <c r="A234" s="20"/>
      <c r="B234" s="620" t="s">
        <v>335</v>
      </c>
      <c r="C234" s="621">
        <v>4500</v>
      </c>
      <c r="D234" s="450">
        <f>+'ต.ค.-ธ.ค.'!D235+'ม.ค.-มี.ค.'!D234+'เม.ย.-มิ.ย.'!D234+'ก.ค.-ก.ย.'!D234</f>
        <v>0</v>
      </c>
      <c r="E234" s="450">
        <f>+'ต.ค.-ธ.ค.'!E235+'ม.ค.-มี.ค.'!E234+'เม.ย.-มิ.ย.'!E234+'ก.ค.-ก.ย.'!E234</f>
        <v>0</v>
      </c>
      <c r="F234" s="450">
        <f>+'ต.ค.-ธ.ค.'!F235+'ม.ค.-มี.ค.'!F234+'เม.ย.-มิ.ย.'!F234+'ก.ค.-ก.ย.'!F234</f>
        <v>0</v>
      </c>
      <c r="G234" s="450">
        <f>+'ต.ค.-ธ.ค.'!G235+'ม.ค.-มี.ค.'!G234+'เม.ย.-มิ.ย.'!G234+'ก.ค.-ก.ย.'!G234</f>
        <v>0</v>
      </c>
      <c r="H234" s="450">
        <f>+'ต.ค.-ธ.ค.'!H235+'ม.ค.-มี.ค.'!H234+'เม.ย.-มิ.ย.'!H234+'ก.ค.-ก.ย.'!H234</f>
        <v>0</v>
      </c>
      <c r="I234" s="450">
        <f>+'ต.ค.-ธ.ค.'!I235+'ม.ค.-มี.ค.'!I234+'เม.ย.-มิ.ย.'!I234+'ก.ค.-ก.ย.'!I234</f>
        <v>0</v>
      </c>
      <c r="J234" s="450">
        <f>+'ต.ค.-ธ.ค.'!J235+'ม.ค.-มี.ค.'!J234+'เม.ย.-มิ.ย.'!J234+'ก.ค.-ก.ย.'!J234</f>
        <v>0</v>
      </c>
      <c r="K234" s="450">
        <f>+'ต.ค.-ธ.ค.'!K235+'ม.ค.-มี.ค.'!K234+'เม.ย.-มิ.ย.'!K234+'ก.ค.-ก.ย.'!K234</f>
        <v>0</v>
      </c>
      <c r="L234" s="450">
        <f>+'ต.ค.-ธ.ค.'!L235+'ม.ค.-มี.ค.'!L234+'เม.ย.-มิ.ย.'!L234+'ก.ค.-ก.ย.'!L234</f>
        <v>0</v>
      </c>
      <c r="M234" s="450">
        <f>+'ต.ค.-ธ.ค.'!M235+'ม.ค.-มี.ค.'!M234+'เม.ย.-มิ.ย.'!M234+'ก.ค.-ก.ย.'!M234</f>
        <v>0</v>
      </c>
      <c r="N234" s="450">
        <f>+'ต.ค.-ธ.ค.'!N235+'ม.ค.-มี.ค.'!N234+'เม.ย.-มิ.ย.'!N234+'ก.ค.-ก.ย.'!N234</f>
        <v>0</v>
      </c>
      <c r="O234" s="450">
        <f>+'ต.ค.-ธ.ค.'!O235+'ม.ค.-มี.ค.'!O234+'เม.ย.-มิ.ย.'!O234+'ก.ค.-ก.ย.'!O234</f>
        <v>0</v>
      </c>
      <c r="P234" s="450">
        <f>+'ต.ค.-ธ.ค.'!P235+'ม.ค.-มี.ค.'!P234+'เม.ย.-มิ.ย.'!P234+'ก.ค.-ก.ย.'!P234</f>
        <v>0</v>
      </c>
      <c r="Q234" s="450">
        <f>+'ต.ค.-ธ.ค.'!Q235+'ม.ค.-มี.ค.'!Q234+'เม.ย.-มิ.ย.'!Q234+'ก.ค.-ก.ย.'!Q234</f>
        <v>0</v>
      </c>
      <c r="R234" s="450">
        <f>+'ต.ค.-ธ.ค.'!R235+'ม.ค.-มี.ค.'!R234+'เม.ย.-มิ.ย.'!R234+'ก.ค.-ก.ย.'!R234</f>
        <v>0</v>
      </c>
      <c r="S234" s="450">
        <f>+'ต.ค.-ธ.ค.'!S235+'ม.ค.-มี.ค.'!S234+'เม.ย.-มิ.ย.'!S234+'ก.ค.-ก.ย.'!S234</f>
        <v>0</v>
      </c>
      <c r="T234" s="450">
        <f>+'ต.ค.-ธ.ค.'!T235+'ม.ค.-มี.ค.'!T234+'เม.ย.-มิ.ย.'!T234+'ก.ค.-ก.ย.'!T234</f>
        <v>0</v>
      </c>
      <c r="U234" s="450">
        <f>+'ต.ค.-ธ.ค.'!U235+'ม.ค.-มี.ค.'!U234+'เม.ย.-มิ.ย.'!U234+'ก.ค.-ก.ย.'!U234</f>
        <v>0</v>
      </c>
      <c r="V234" s="450">
        <f>+'ต.ค.-ธ.ค.'!V235+'ม.ค.-มี.ค.'!V234+'เม.ย.-มิ.ย.'!V234+'ก.ค.-ก.ย.'!V234</f>
        <v>0</v>
      </c>
      <c r="W234" s="579"/>
      <c r="X234" s="364"/>
    </row>
    <row r="235" spans="1:24" s="626" customFormat="1" ht="25.5" customHeight="1" thickBot="1">
      <c r="A235" s="15"/>
      <c r="B235" s="622"/>
      <c r="C235" s="623">
        <f>SUM(C227:C234)</f>
        <v>73500</v>
      </c>
      <c r="D235" s="457"/>
      <c r="E235" s="463">
        <f>SUM(E227:E234)</f>
        <v>34100</v>
      </c>
      <c r="F235" s="463">
        <f t="shared" ref="F235:V235" si="9">SUM(F227:F234)</f>
        <v>0</v>
      </c>
      <c r="G235" s="463">
        <f t="shared" si="9"/>
        <v>0</v>
      </c>
      <c r="H235" s="463">
        <f t="shared" si="9"/>
        <v>16000</v>
      </c>
      <c r="I235" s="463">
        <f t="shared" si="9"/>
        <v>0</v>
      </c>
      <c r="J235" s="463">
        <f t="shared" si="9"/>
        <v>0</v>
      </c>
      <c r="K235" s="463">
        <f t="shared" si="9"/>
        <v>0</v>
      </c>
      <c r="L235" s="463">
        <f t="shared" si="9"/>
        <v>0</v>
      </c>
      <c r="M235" s="463">
        <f>SUM(M227:M234)</f>
        <v>0</v>
      </c>
      <c r="N235" s="463">
        <f t="shared" si="9"/>
        <v>0</v>
      </c>
      <c r="O235" s="463">
        <f t="shared" si="9"/>
        <v>0</v>
      </c>
      <c r="P235" s="463">
        <f t="shared" si="9"/>
        <v>0</v>
      </c>
      <c r="Q235" s="463">
        <f t="shared" si="9"/>
        <v>0</v>
      </c>
      <c r="R235" s="463">
        <f t="shared" si="9"/>
        <v>0</v>
      </c>
      <c r="S235" s="463">
        <f t="shared" si="9"/>
        <v>0</v>
      </c>
      <c r="T235" s="463"/>
      <c r="U235" s="463">
        <f t="shared" si="9"/>
        <v>0</v>
      </c>
      <c r="V235" s="463">
        <f t="shared" si="9"/>
        <v>0</v>
      </c>
      <c r="W235" s="624">
        <f>SUM(D235:V235)</f>
        <v>50100</v>
      </c>
      <c r="X235" s="625"/>
    </row>
    <row r="236" spans="1:24" s="310" customFormat="1" ht="25.5" customHeight="1" thickTop="1">
      <c r="A236" s="20"/>
      <c r="B236" s="360" t="s">
        <v>292</v>
      </c>
      <c r="C236" s="545"/>
      <c r="D236" s="458"/>
      <c r="E236" s="459"/>
      <c r="F236" s="459"/>
      <c r="G236" s="459"/>
      <c r="H236" s="459"/>
      <c r="I236" s="459"/>
      <c r="J236" s="459"/>
      <c r="K236" s="459"/>
      <c r="L236" s="459"/>
      <c r="M236" s="459"/>
      <c r="N236" s="459"/>
      <c r="O236" s="459"/>
      <c r="P236" s="459"/>
      <c r="Q236" s="459"/>
      <c r="R236" s="459"/>
      <c r="S236" s="459"/>
      <c r="T236" s="459"/>
      <c r="U236" s="459"/>
      <c r="V236" s="459"/>
      <c r="W236" s="579"/>
      <c r="X236" s="364"/>
    </row>
    <row r="237" spans="1:24" s="310" customFormat="1" ht="25.5" customHeight="1">
      <c r="A237" s="20"/>
      <c r="B237" s="186" t="s">
        <v>293</v>
      </c>
      <c r="C237" s="423">
        <v>32000</v>
      </c>
      <c r="D237" s="442">
        <f>+'ต.ค.-ธ.ค.'!D238+'ม.ค.-มี.ค.'!D237+'เม.ย.-มิ.ย.'!D237+'ก.ค.-ก.ย.'!D237</f>
        <v>0</v>
      </c>
      <c r="E237" s="442">
        <f>+'ต.ค.-ธ.ค.'!E238+'ม.ค.-มี.ค.'!E237+'เม.ย.-มิ.ย.'!E237+'ก.ค.-ก.ย.'!E237</f>
        <v>32000</v>
      </c>
      <c r="F237" s="442">
        <f>+'ต.ค.-ธ.ค.'!F238+'ม.ค.-มี.ค.'!F237+'เม.ย.-มิ.ย.'!F237+'ก.ค.-ก.ย.'!F237</f>
        <v>0</v>
      </c>
      <c r="G237" s="442">
        <f>+'ต.ค.-ธ.ค.'!G238+'ม.ค.-มี.ค.'!G237+'เม.ย.-มิ.ย.'!G237+'ก.ค.-ก.ย.'!G237</f>
        <v>0</v>
      </c>
      <c r="H237" s="442">
        <f>+'ต.ค.-ธ.ค.'!H238+'ม.ค.-มี.ค.'!H237+'เม.ย.-มิ.ย.'!H237+'ก.ค.-ก.ย.'!H237</f>
        <v>0</v>
      </c>
      <c r="I237" s="442">
        <f>+'ต.ค.-ธ.ค.'!I238+'ม.ค.-มี.ค.'!I237+'เม.ย.-มิ.ย.'!I237+'ก.ค.-ก.ย.'!I237</f>
        <v>0</v>
      </c>
      <c r="J237" s="442">
        <f>+'ต.ค.-ธ.ค.'!J238+'ม.ค.-มี.ค.'!J237+'เม.ย.-มิ.ย.'!J237+'ก.ค.-ก.ย.'!J237</f>
        <v>0</v>
      </c>
      <c r="K237" s="442">
        <f>+'ต.ค.-ธ.ค.'!K238+'ม.ค.-มี.ค.'!K237+'เม.ย.-มิ.ย.'!K237+'ก.ค.-ก.ย.'!K237</f>
        <v>0</v>
      </c>
      <c r="L237" s="442">
        <f>+'ต.ค.-ธ.ค.'!L238+'ม.ค.-มี.ค.'!L237+'เม.ย.-มิ.ย.'!L237+'ก.ค.-ก.ย.'!L237</f>
        <v>0</v>
      </c>
      <c r="M237" s="442">
        <f>+'ต.ค.-ธ.ค.'!M238+'ม.ค.-มี.ค.'!M237+'เม.ย.-มิ.ย.'!M237+'ก.ค.-ก.ย.'!M237</f>
        <v>0</v>
      </c>
      <c r="N237" s="442">
        <f>+'ต.ค.-ธ.ค.'!N238+'ม.ค.-มี.ค.'!N237+'เม.ย.-มิ.ย.'!N237+'ก.ค.-ก.ย.'!N237</f>
        <v>0</v>
      </c>
      <c r="O237" s="442">
        <f>+'ต.ค.-ธ.ค.'!O238+'ม.ค.-มี.ค.'!O237+'เม.ย.-มิ.ย.'!O237+'ก.ค.-ก.ย.'!O237</f>
        <v>0</v>
      </c>
      <c r="P237" s="442">
        <f>+'ต.ค.-ธ.ค.'!P238+'ม.ค.-มี.ค.'!P237+'เม.ย.-มิ.ย.'!P237+'ก.ค.-ก.ย.'!P237</f>
        <v>0</v>
      </c>
      <c r="Q237" s="442">
        <f>+'ต.ค.-ธ.ค.'!Q238+'ม.ค.-มี.ค.'!Q237+'เม.ย.-มิ.ย.'!Q237+'ก.ค.-ก.ย.'!Q237</f>
        <v>0</v>
      </c>
      <c r="R237" s="442">
        <f>+'ต.ค.-ธ.ค.'!R238+'ม.ค.-มี.ค.'!R237+'เม.ย.-มิ.ย.'!R237+'ก.ค.-ก.ย.'!R237</f>
        <v>0</v>
      </c>
      <c r="S237" s="442">
        <f>+'ต.ค.-ธ.ค.'!S238+'ม.ค.-มี.ค.'!S237+'เม.ย.-มิ.ย.'!S237+'ก.ค.-ก.ย.'!S237</f>
        <v>0</v>
      </c>
      <c r="T237" s="442">
        <f>+'ต.ค.-ธ.ค.'!T238+'ม.ค.-มี.ค.'!T237+'เม.ย.-มิ.ย.'!T237+'ก.ค.-ก.ย.'!T237</f>
        <v>0</v>
      </c>
      <c r="U237" s="442">
        <f>+'ต.ค.-ธ.ค.'!U238+'ม.ค.-มี.ค.'!U237+'เม.ย.-มิ.ย.'!U237+'ก.ค.-ก.ย.'!U237</f>
        <v>0</v>
      </c>
      <c r="V237" s="442">
        <f>+'ต.ค.-ธ.ค.'!V238+'ม.ค.-มี.ค.'!V237+'เม.ย.-มิ.ย.'!V237+'ก.ค.-ก.ย.'!V237</f>
        <v>0</v>
      </c>
      <c r="W237" s="579"/>
      <c r="X237" s="364"/>
    </row>
    <row r="238" spans="1:24" s="310" customFormat="1" ht="25.5" customHeight="1">
      <c r="A238" s="20"/>
      <c r="B238" s="186" t="s">
        <v>125</v>
      </c>
      <c r="C238" s="423">
        <f>2800+2800+2300</f>
        <v>7900</v>
      </c>
      <c r="D238" s="442">
        <f>+'ต.ค.-ธ.ค.'!D239+'ม.ค.-มี.ค.'!D238+'เม.ย.-มิ.ย.'!D238+'ก.ค.-ก.ย.'!D238</f>
        <v>0</v>
      </c>
      <c r="E238" s="442">
        <f>+'ต.ค.-ธ.ค.'!E239+'ม.ค.-มี.ค.'!E238+'เม.ย.-มิ.ย.'!E238+'ก.ค.-ก.ย.'!E238</f>
        <v>2800</v>
      </c>
      <c r="F238" s="442">
        <f>+'ต.ค.-ธ.ค.'!F239+'ม.ค.-มี.ค.'!F238+'เม.ย.-มิ.ย.'!F238+'ก.ค.-ก.ย.'!F238</f>
        <v>2800</v>
      </c>
      <c r="G238" s="442">
        <f>+'ต.ค.-ธ.ค.'!G239+'ม.ค.-มี.ค.'!G238+'เม.ย.-มิ.ย.'!G238+'ก.ค.-ก.ย.'!G238</f>
        <v>0</v>
      </c>
      <c r="H238" s="442">
        <f>+'ต.ค.-ธ.ค.'!H239+'ม.ค.-มี.ค.'!H238+'เม.ย.-มิ.ย.'!H238+'ก.ค.-ก.ย.'!H238</f>
        <v>2300</v>
      </c>
      <c r="I238" s="442">
        <f>+'ต.ค.-ธ.ค.'!I239+'ม.ค.-มี.ค.'!I238+'เม.ย.-มิ.ย.'!I238+'ก.ค.-ก.ย.'!I238</f>
        <v>0</v>
      </c>
      <c r="J238" s="442">
        <f>+'ต.ค.-ธ.ค.'!J239+'ม.ค.-มี.ค.'!J238+'เม.ย.-มิ.ย.'!J238+'ก.ค.-ก.ย.'!J238</f>
        <v>0</v>
      </c>
      <c r="K238" s="442">
        <f>+'ต.ค.-ธ.ค.'!K239+'ม.ค.-มี.ค.'!K238+'เม.ย.-มิ.ย.'!K238+'ก.ค.-ก.ย.'!K238</f>
        <v>0</v>
      </c>
      <c r="L238" s="442">
        <f>+'ต.ค.-ธ.ค.'!L239+'ม.ค.-มี.ค.'!L238+'เม.ย.-มิ.ย.'!L238+'ก.ค.-ก.ย.'!L238</f>
        <v>0</v>
      </c>
      <c r="M238" s="442">
        <f>+'ต.ค.-ธ.ค.'!M239+'ม.ค.-มี.ค.'!M238+'เม.ย.-มิ.ย.'!M238+'ก.ค.-ก.ย.'!M238</f>
        <v>0</v>
      </c>
      <c r="N238" s="442">
        <f>+'ต.ค.-ธ.ค.'!N239+'ม.ค.-มี.ค.'!N238+'เม.ย.-มิ.ย.'!N238+'ก.ค.-ก.ย.'!N238</f>
        <v>0</v>
      </c>
      <c r="O238" s="442">
        <f>+'ต.ค.-ธ.ค.'!O239+'ม.ค.-มี.ค.'!O238+'เม.ย.-มิ.ย.'!O238+'ก.ค.-ก.ย.'!O238</f>
        <v>0</v>
      </c>
      <c r="P238" s="442">
        <f>+'ต.ค.-ธ.ค.'!P239+'ม.ค.-มี.ค.'!P238+'เม.ย.-มิ.ย.'!P238+'ก.ค.-ก.ย.'!P238</f>
        <v>0</v>
      </c>
      <c r="Q238" s="442">
        <f>+'ต.ค.-ธ.ค.'!Q239+'ม.ค.-มี.ค.'!Q238+'เม.ย.-มิ.ย.'!Q238+'ก.ค.-ก.ย.'!Q238</f>
        <v>0</v>
      </c>
      <c r="R238" s="442">
        <f>+'ต.ค.-ธ.ค.'!R239+'ม.ค.-มี.ค.'!R238+'เม.ย.-มิ.ย.'!R238+'ก.ค.-ก.ย.'!R238</f>
        <v>0</v>
      </c>
      <c r="S238" s="442">
        <f>+'ต.ค.-ธ.ค.'!S239+'ม.ค.-มี.ค.'!S238+'เม.ย.-มิ.ย.'!S238+'ก.ค.-ก.ย.'!S238</f>
        <v>0</v>
      </c>
      <c r="T238" s="442">
        <f>+'ต.ค.-ธ.ค.'!T239+'ม.ค.-มี.ค.'!T238+'เม.ย.-มิ.ย.'!T238+'ก.ค.-ก.ย.'!T238</f>
        <v>0</v>
      </c>
      <c r="U238" s="442">
        <f>+'ต.ค.-ธ.ค.'!U239+'ม.ค.-มี.ค.'!U238+'เม.ย.-มิ.ย.'!U238+'ก.ค.-ก.ย.'!U238</f>
        <v>0</v>
      </c>
      <c r="V238" s="442">
        <f>+'ต.ค.-ธ.ค.'!V239+'ม.ค.-มี.ค.'!V238+'เม.ย.-มิ.ย.'!V238+'ก.ค.-ก.ย.'!V238</f>
        <v>0</v>
      </c>
      <c r="W238" s="579"/>
      <c r="X238" s="364"/>
    </row>
    <row r="239" spans="1:24" s="310" customFormat="1" ht="25.5" customHeight="1">
      <c r="A239" s="20"/>
      <c r="B239" s="186" t="s">
        <v>294</v>
      </c>
      <c r="C239" s="423">
        <v>21000</v>
      </c>
      <c r="D239" s="442">
        <f>+'ต.ค.-ธ.ค.'!D240+'ม.ค.-มี.ค.'!D239+'เม.ย.-มิ.ย.'!D239+'ก.ค.-ก.ย.'!D239</f>
        <v>0</v>
      </c>
      <c r="E239" s="442">
        <f>+'ต.ค.-ธ.ค.'!E240+'ม.ค.-มี.ค.'!E239+'เม.ย.-มิ.ย.'!E239+'ก.ค.-ก.ย.'!E239</f>
        <v>0</v>
      </c>
      <c r="F239" s="442">
        <f>+'ต.ค.-ธ.ค.'!F240+'ม.ค.-มี.ค.'!F239+'เม.ย.-มิ.ย.'!F239+'ก.ค.-ก.ย.'!F239</f>
        <v>21000</v>
      </c>
      <c r="G239" s="442">
        <f>+'ต.ค.-ธ.ค.'!G240+'ม.ค.-มี.ค.'!G239+'เม.ย.-มิ.ย.'!G239+'ก.ค.-ก.ย.'!G239</f>
        <v>0</v>
      </c>
      <c r="H239" s="442">
        <f>+'ต.ค.-ธ.ค.'!H240+'ม.ค.-มี.ค.'!H239+'เม.ย.-มิ.ย.'!H239+'ก.ค.-ก.ย.'!H239</f>
        <v>0</v>
      </c>
      <c r="I239" s="442">
        <f>+'ต.ค.-ธ.ค.'!I240+'ม.ค.-มี.ค.'!I239+'เม.ย.-มิ.ย.'!I239+'ก.ค.-ก.ย.'!I239</f>
        <v>0</v>
      </c>
      <c r="J239" s="442">
        <f>+'ต.ค.-ธ.ค.'!J240+'ม.ค.-มี.ค.'!J239+'เม.ย.-มิ.ย.'!J239+'ก.ค.-ก.ย.'!J239</f>
        <v>0</v>
      </c>
      <c r="K239" s="442">
        <f>+'ต.ค.-ธ.ค.'!K240+'ม.ค.-มี.ค.'!K239+'เม.ย.-มิ.ย.'!K239+'ก.ค.-ก.ย.'!K239</f>
        <v>0</v>
      </c>
      <c r="L239" s="442">
        <f>+'ต.ค.-ธ.ค.'!L240+'ม.ค.-มี.ค.'!L239+'เม.ย.-มิ.ย.'!L239+'ก.ค.-ก.ย.'!L239</f>
        <v>0</v>
      </c>
      <c r="M239" s="442">
        <f>+'ต.ค.-ธ.ค.'!M240+'ม.ค.-มี.ค.'!M239+'เม.ย.-มิ.ย.'!M239+'ก.ค.-ก.ย.'!M239</f>
        <v>0</v>
      </c>
      <c r="N239" s="442">
        <f>+'ต.ค.-ธ.ค.'!N240+'ม.ค.-มี.ค.'!N239+'เม.ย.-มิ.ย.'!N239+'ก.ค.-ก.ย.'!N239</f>
        <v>0</v>
      </c>
      <c r="O239" s="442">
        <f>+'ต.ค.-ธ.ค.'!O240+'ม.ค.-มี.ค.'!O239+'เม.ย.-มิ.ย.'!O239+'ก.ค.-ก.ย.'!O239</f>
        <v>0</v>
      </c>
      <c r="P239" s="442">
        <f>+'ต.ค.-ธ.ค.'!P240+'ม.ค.-มี.ค.'!P239+'เม.ย.-มิ.ย.'!P239+'ก.ค.-ก.ย.'!P239</f>
        <v>0</v>
      </c>
      <c r="Q239" s="442">
        <f>+'ต.ค.-ธ.ค.'!Q240+'ม.ค.-มี.ค.'!Q239+'เม.ย.-มิ.ย.'!Q239+'ก.ค.-ก.ย.'!Q239</f>
        <v>0</v>
      </c>
      <c r="R239" s="442">
        <f>+'ต.ค.-ธ.ค.'!R240+'ม.ค.-มี.ค.'!R239+'เม.ย.-มิ.ย.'!R239+'ก.ค.-ก.ย.'!R239</f>
        <v>0</v>
      </c>
      <c r="S239" s="442">
        <f>+'ต.ค.-ธ.ค.'!S240+'ม.ค.-มี.ค.'!S239+'เม.ย.-มิ.ย.'!S239+'ก.ค.-ก.ย.'!S239</f>
        <v>0</v>
      </c>
      <c r="T239" s="442">
        <f>+'ต.ค.-ธ.ค.'!T240+'ม.ค.-มี.ค.'!T239+'เม.ย.-มิ.ย.'!T239+'ก.ค.-ก.ย.'!T239</f>
        <v>0</v>
      </c>
      <c r="U239" s="442">
        <f>+'ต.ค.-ธ.ค.'!U240+'ม.ค.-มี.ค.'!U239+'เม.ย.-มิ.ย.'!U239+'ก.ค.-ก.ย.'!U239</f>
        <v>0</v>
      </c>
      <c r="V239" s="442">
        <f>+'ต.ค.-ธ.ค.'!V240+'ม.ค.-มี.ค.'!V239+'เม.ย.-มิ.ย.'!V239+'ก.ค.-ก.ย.'!V239</f>
        <v>0</v>
      </c>
      <c r="W239" s="579"/>
      <c r="X239" s="364"/>
    </row>
    <row r="240" spans="1:24" s="310" customFormat="1" ht="25.5" customHeight="1">
      <c r="A240" s="20"/>
      <c r="B240" s="186" t="s">
        <v>293</v>
      </c>
      <c r="C240" s="423">
        <v>16000</v>
      </c>
      <c r="D240" s="442">
        <f>+'ต.ค.-ธ.ค.'!D241+'ม.ค.-มี.ค.'!D240+'เม.ย.-มิ.ย.'!D240+'ก.ค.-ก.ย.'!D240</f>
        <v>0</v>
      </c>
      <c r="E240" s="442">
        <f>+'ต.ค.-ธ.ค.'!E241+'ม.ค.-มี.ค.'!E240+'เม.ย.-มิ.ย.'!E240+'ก.ค.-ก.ย.'!E240</f>
        <v>0</v>
      </c>
      <c r="F240" s="442">
        <f>+'ต.ค.-ธ.ค.'!F241+'ม.ค.-มี.ค.'!F240+'เม.ย.-มิ.ย.'!F240+'ก.ค.-ก.ย.'!F240</f>
        <v>0</v>
      </c>
      <c r="G240" s="442">
        <f>+'ต.ค.-ธ.ค.'!G241+'ม.ค.-มี.ค.'!G240+'เม.ย.-มิ.ย.'!G240+'ก.ค.-ก.ย.'!G240</f>
        <v>0</v>
      </c>
      <c r="H240" s="442">
        <f>+'ต.ค.-ธ.ค.'!H241+'ม.ค.-มี.ค.'!H240+'เม.ย.-มิ.ย.'!H240+'ก.ค.-ก.ย.'!H240</f>
        <v>16000</v>
      </c>
      <c r="I240" s="442">
        <f>+'ต.ค.-ธ.ค.'!I241+'ม.ค.-มี.ค.'!I240+'เม.ย.-มิ.ย.'!I240+'ก.ค.-ก.ย.'!I240</f>
        <v>0</v>
      </c>
      <c r="J240" s="442">
        <f>+'ต.ค.-ธ.ค.'!J241+'ม.ค.-มี.ค.'!J240+'เม.ย.-มิ.ย.'!J240+'ก.ค.-ก.ย.'!J240</f>
        <v>0</v>
      </c>
      <c r="K240" s="442">
        <f>+'ต.ค.-ธ.ค.'!K241+'ม.ค.-มี.ค.'!K240+'เม.ย.-มิ.ย.'!K240+'ก.ค.-ก.ย.'!K240</f>
        <v>0</v>
      </c>
      <c r="L240" s="442">
        <f>+'ต.ค.-ธ.ค.'!L241+'ม.ค.-มี.ค.'!L240+'เม.ย.-มิ.ย.'!L240+'ก.ค.-ก.ย.'!L240</f>
        <v>0</v>
      </c>
      <c r="M240" s="442">
        <f>+'ต.ค.-ธ.ค.'!M241+'ม.ค.-มี.ค.'!M240+'เม.ย.-มิ.ย.'!M240+'ก.ค.-ก.ย.'!M240</f>
        <v>0</v>
      </c>
      <c r="N240" s="442">
        <f>+'ต.ค.-ธ.ค.'!N241+'ม.ค.-มี.ค.'!N240+'เม.ย.-มิ.ย.'!N240+'ก.ค.-ก.ย.'!N240</f>
        <v>0</v>
      </c>
      <c r="O240" s="442">
        <f>+'ต.ค.-ธ.ค.'!O241+'ม.ค.-มี.ค.'!O240+'เม.ย.-มิ.ย.'!O240+'ก.ค.-ก.ย.'!O240</f>
        <v>0</v>
      </c>
      <c r="P240" s="442">
        <f>+'ต.ค.-ธ.ค.'!P241+'ม.ค.-มี.ค.'!P240+'เม.ย.-มิ.ย.'!P240+'ก.ค.-ก.ย.'!P240</f>
        <v>0</v>
      </c>
      <c r="Q240" s="442">
        <f>+'ต.ค.-ธ.ค.'!Q241+'ม.ค.-มี.ค.'!Q240+'เม.ย.-มิ.ย.'!Q240+'ก.ค.-ก.ย.'!Q240</f>
        <v>0</v>
      </c>
      <c r="R240" s="442">
        <f>+'ต.ค.-ธ.ค.'!R241+'ม.ค.-มี.ค.'!R240+'เม.ย.-มิ.ย.'!R240+'ก.ค.-ก.ย.'!R240</f>
        <v>0</v>
      </c>
      <c r="S240" s="442">
        <f>+'ต.ค.-ธ.ค.'!S241+'ม.ค.-มี.ค.'!S240+'เม.ย.-มิ.ย.'!S240+'ก.ค.-ก.ย.'!S240</f>
        <v>0</v>
      </c>
      <c r="T240" s="442">
        <f>+'ต.ค.-ธ.ค.'!T241+'ม.ค.-มี.ค.'!T240+'เม.ย.-มิ.ย.'!T240+'ก.ค.-ก.ย.'!T240</f>
        <v>0</v>
      </c>
      <c r="U240" s="442">
        <f>+'ต.ค.-ธ.ค.'!U241+'ม.ค.-มี.ค.'!U240+'เม.ย.-มิ.ย.'!U240+'ก.ค.-ก.ย.'!U240</f>
        <v>0</v>
      </c>
      <c r="V240" s="442">
        <f>+'ต.ค.-ธ.ค.'!V241+'ม.ค.-มี.ค.'!V240+'เม.ย.-มิ.ย.'!V240+'ก.ค.-ก.ย.'!V240</f>
        <v>0</v>
      </c>
      <c r="W240" s="579"/>
      <c r="X240" s="364"/>
    </row>
    <row r="241" spans="1:24" s="310" customFormat="1" ht="25.5" customHeight="1">
      <c r="A241" s="20"/>
      <c r="B241" s="620" t="s">
        <v>306</v>
      </c>
      <c r="C241" s="621">
        <v>7700</v>
      </c>
      <c r="D241" s="450">
        <f>+'ต.ค.-ธ.ค.'!D242+'ม.ค.-มี.ค.'!D241+'เม.ย.-มิ.ย.'!D241+'ก.ค.-ก.ย.'!D241</f>
        <v>0</v>
      </c>
      <c r="E241" s="450">
        <f>+'ต.ค.-ธ.ค.'!E242+'ม.ค.-มี.ค.'!E241+'เม.ย.-มิ.ย.'!E241+'ก.ค.-ก.ย.'!E241</f>
        <v>0</v>
      </c>
      <c r="F241" s="450">
        <f>+'ต.ค.-ธ.ค.'!F242+'ม.ค.-มี.ค.'!F241+'เม.ย.-มิ.ย.'!F241+'ก.ค.-ก.ย.'!F241</f>
        <v>0</v>
      </c>
      <c r="G241" s="450">
        <f>+'ต.ค.-ธ.ค.'!G242+'ม.ค.-มี.ค.'!G241+'เม.ย.-มิ.ย.'!G241+'ก.ค.-ก.ย.'!G241</f>
        <v>0</v>
      </c>
      <c r="H241" s="450">
        <f>+'ต.ค.-ธ.ค.'!H242+'ม.ค.-มี.ค.'!H241+'เม.ย.-มิ.ย.'!H241+'ก.ค.-ก.ย.'!H241</f>
        <v>7700</v>
      </c>
      <c r="I241" s="450">
        <f>+'ต.ค.-ธ.ค.'!I242+'ม.ค.-มี.ค.'!I241+'เม.ย.-มิ.ย.'!I241+'ก.ค.-ก.ย.'!I241</f>
        <v>0</v>
      </c>
      <c r="J241" s="450">
        <f>+'ต.ค.-ธ.ค.'!J242+'ม.ค.-มี.ค.'!J241+'เม.ย.-มิ.ย.'!J241+'ก.ค.-ก.ย.'!J241</f>
        <v>0</v>
      </c>
      <c r="K241" s="450">
        <f>+'ต.ค.-ธ.ค.'!K242+'ม.ค.-มี.ค.'!K241+'เม.ย.-มิ.ย.'!K241+'ก.ค.-ก.ย.'!K241</f>
        <v>0</v>
      </c>
      <c r="L241" s="450">
        <f>+'ต.ค.-ธ.ค.'!L242+'ม.ค.-มี.ค.'!L241+'เม.ย.-มิ.ย.'!L241+'ก.ค.-ก.ย.'!L241</f>
        <v>0</v>
      </c>
      <c r="M241" s="450">
        <f>+'ต.ค.-ธ.ค.'!M242+'ม.ค.-มี.ค.'!M241+'เม.ย.-มิ.ย.'!M241+'ก.ค.-ก.ย.'!M241</f>
        <v>0</v>
      </c>
      <c r="N241" s="450">
        <f>+'ต.ค.-ธ.ค.'!N242+'ม.ค.-มี.ค.'!N241+'เม.ย.-มิ.ย.'!N241+'ก.ค.-ก.ย.'!N241</f>
        <v>0</v>
      </c>
      <c r="O241" s="450">
        <f>+'ต.ค.-ธ.ค.'!O242+'ม.ค.-มี.ค.'!O241+'เม.ย.-มิ.ย.'!O241+'ก.ค.-ก.ย.'!O241</f>
        <v>0</v>
      </c>
      <c r="P241" s="450">
        <f>+'ต.ค.-ธ.ค.'!P242+'ม.ค.-มี.ค.'!P241+'เม.ย.-มิ.ย.'!P241+'ก.ค.-ก.ย.'!P241</f>
        <v>0</v>
      </c>
      <c r="Q241" s="450">
        <f>+'ต.ค.-ธ.ค.'!Q242+'ม.ค.-มี.ค.'!Q241+'เม.ย.-มิ.ย.'!Q241+'ก.ค.-ก.ย.'!Q241</f>
        <v>0</v>
      </c>
      <c r="R241" s="450">
        <f>+'ต.ค.-ธ.ค.'!R242+'ม.ค.-มี.ค.'!R241+'เม.ย.-มิ.ย.'!R241+'ก.ค.-ก.ย.'!R241</f>
        <v>0</v>
      </c>
      <c r="S241" s="450">
        <f>+'ต.ค.-ธ.ค.'!S242+'ม.ค.-มี.ค.'!S241+'เม.ย.-มิ.ย.'!S241+'ก.ค.-ก.ย.'!S241</f>
        <v>0</v>
      </c>
      <c r="T241" s="450">
        <f>+'ต.ค.-ธ.ค.'!T242+'ม.ค.-มี.ค.'!T241+'เม.ย.-มิ.ย.'!T241+'ก.ค.-ก.ย.'!T241</f>
        <v>0</v>
      </c>
      <c r="U241" s="450">
        <f>+'ต.ค.-ธ.ค.'!U242+'ม.ค.-มี.ค.'!U241+'เม.ย.-มิ.ย.'!U241+'ก.ค.-ก.ย.'!U241</f>
        <v>0</v>
      </c>
      <c r="V241" s="450">
        <f>+'ต.ค.-ธ.ค.'!V242+'ม.ค.-มี.ค.'!V241+'เม.ย.-มิ.ย.'!V241+'ก.ค.-ก.ย.'!V241</f>
        <v>0</v>
      </c>
      <c r="W241" s="579"/>
      <c r="X241" s="364"/>
    </row>
    <row r="242" spans="1:24" s="626" customFormat="1" ht="25.5" customHeight="1" thickBot="1">
      <c r="A242" s="15"/>
      <c r="B242" s="622"/>
      <c r="C242" s="623">
        <f>SUM(C237:C241)</f>
        <v>84600</v>
      </c>
      <c r="D242" s="457"/>
      <c r="E242" s="463">
        <f>SUM(E237:E241)</f>
        <v>34800</v>
      </c>
      <c r="F242" s="463">
        <f>SUM(F237:F241)</f>
        <v>23800</v>
      </c>
      <c r="G242" s="463">
        <f t="shared" ref="G242:V242" si="10">SUM(G237:G241)</f>
        <v>0</v>
      </c>
      <c r="H242" s="463">
        <f>SUM(H237:H241)</f>
        <v>26000</v>
      </c>
      <c r="I242" s="463">
        <f t="shared" si="10"/>
        <v>0</v>
      </c>
      <c r="J242" s="463">
        <f t="shared" si="10"/>
        <v>0</v>
      </c>
      <c r="K242" s="463">
        <f t="shared" si="10"/>
        <v>0</v>
      </c>
      <c r="L242" s="463">
        <f t="shared" si="10"/>
        <v>0</v>
      </c>
      <c r="M242" s="463">
        <f>SUM(M237:M241)</f>
        <v>0</v>
      </c>
      <c r="N242" s="463">
        <f t="shared" si="10"/>
        <v>0</v>
      </c>
      <c r="O242" s="463">
        <f t="shared" si="10"/>
        <v>0</v>
      </c>
      <c r="P242" s="463">
        <f t="shared" si="10"/>
        <v>0</v>
      </c>
      <c r="Q242" s="463">
        <f t="shared" si="10"/>
        <v>0</v>
      </c>
      <c r="R242" s="463">
        <f t="shared" si="10"/>
        <v>0</v>
      </c>
      <c r="S242" s="463">
        <f t="shared" si="10"/>
        <v>0</v>
      </c>
      <c r="T242" s="463"/>
      <c r="U242" s="463">
        <f t="shared" si="10"/>
        <v>0</v>
      </c>
      <c r="V242" s="463">
        <f t="shared" si="10"/>
        <v>0</v>
      </c>
      <c r="W242" s="624">
        <f>SUM(D242:V242)</f>
        <v>84600</v>
      </c>
      <c r="X242" s="625"/>
    </row>
    <row r="243" spans="1:24" s="310" customFormat="1" ht="25.5" customHeight="1" thickTop="1">
      <c r="A243" s="20"/>
      <c r="B243" s="360" t="s">
        <v>336</v>
      </c>
      <c r="C243" s="545"/>
      <c r="D243" s="458"/>
      <c r="E243" s="459"/>
      <c r="F243" s="459"/>
      <c r="G243" s="459"/>
      <c r="H243" s="459"/>
      <c r="I243" s="459"/>
      <c r="J243" s="459"/>
      <c r="K243" s="459"/>
      <c r="L243" s="459"/>
      <c r="M243" s="459"/>
      <c r="N243" s="459"/>
      <c r="O243" s="459"/>
      <c r="P243" s="459"/>
      <c r="Q243" s="459"/>
      <c r="R243" s="459"/>
      <c r="S243" s="459"/>
      <c r="T243" s="459"/>
      <c r="U243" s="459"/>
      <c r="V243" s="459"/>
      <c r="W243" s="579"/>
      <c r="X243" s="364"/>
    </row>
    <row r="244" spans="1:24" s="310" customFormat="1" ht="25.5" customHeight="1">
      <c r="A244" s="20"/>
      <c r="B244" s="186" t="s">
        <v>337</v>
      </c>
      <c r="C244" s="423">
        <v>9000</v>
      </c>
      <c r="D244" s="442">
        <f>+'ต.ค.-ธ.ค.'!D245+'ม.ค.-มี.ค.'!D244+'เม.ย.-มิ.ย.'!D244+'ก.ค.-ก.ย.'!D244</f>
        <v>0</v>
      </c>
      <c r="E244" s="442">
        <f>+'ต.ค.-ธ.ค.'!E245+'ม.ค.-มี.ค.'!E244+'เม.ย.-มิ.ย.'!E244+'ก.ค.-ก.ย.'!E244</f>
        <v>0</v>
      </c>
      <c r="F244" s="442">
        <f>+'ต.ค.-ธ.ค.'!F245+'ม.ค.-มี.ค.'!F244+'เม.ย.-มิ.ย.'!F244+'ก.ค.-ก.ย.'!F244</f>
        <v>0</v>
      </c>
      <c r="G244" s="442">
        <f>+'ต.ค.-ธ.ค.'!G245+'ม.ค.-มี.ค.'!G244+'เม.ย.-มิ.ย.'!G244+'ก.ค.-ก.ย.'!G244</f>
        <v>0</v>
      </c>
      <c r="H244" s="442">
        <f>+'ต.ค.-ธ.ค.'!H245+'ม.ค.-มี.ค.'!H244+'เม.ย.-มิ.ย.'!H244+'ก.ค.-ก.ย.'!H244</f>
        <v>0</v>
      </c>
      <c r="I244" s="442">
        <f>+'ต.ค.-ธ.ค.'!I245+'ม.ค.-มี.ค.'!I244+'เม.ย.-มิ.ย.'!I244+'ก.ค.-ก.ย.'!I244</f>
        <v>0</v>
      </c>
      <c r="J244" s="442">
        <f>+'ต.ค.-ธ.ค.'!J245+'ม.ค.-มี.ค.'!J244+'เม.ย.-มิ.ย.'!J244+'ก.ค.-ก.ย.'!J244</f>
        <v>0</v>
      </c>
      <c r="K244" s="442">
        <f>+'ต.ค.-ธ.ค.'!K245+'ม.ค.-มี.ค.'!K244+'เม.ย.-มิ.ย.'!K244+'ก.ค.-ก.ย.'!K244</f>
        <v>0</v>
      </c>
      <c r="L244" s="442">
        <f>+'ต.ค.-ธ.ค.'!L245+'ม.ค.-มี.ค.'!L244+'เม.ย.-มิ.ย.'!L244+'ก.ค.-ก.ย.'!L244</f>
        <v>0</v>
      </c>
      <c r="M244" s="442">
        <f>+'ต.ค.-ธ.ค.'!M245+'ม.ค.-มี.ค.'!M244+'เม.ย.-มิ.ย.'!M244+'ก.ค.-ก.ย.'!M244</f>
        <v>0</v>
      </c>
      <c r="N244" s="442">
        <f>+'ต.ค.-ธ.ค.'!N245+'ม.ค.-มี.ค.'!N244+'เม.ย.-มิ.ย.'!N244+'ก.ค.-ก.ย.'!N244</f>
        <v>0</v>
      </c>
      <c r="O244" s="442">
        <f>+'ต.ค.-ธ.ค.'!O245+'ม.ค.-มี.ค.'!O244+'เม.ย.-มิ.ย.'!O244+'ก.ค.-ก.ย.'!O244</f>
        <v>0</v>
      </c>
      <c r="P244" s="442">
        <f>+'ต.ค.-ธ.ค.'!P245+'ม.ค.-มี.ค.'!P244+'เม.ย.-มิ.ย.'!P244+'ก.ค.-ก.ย.'!P244</f>
        <v>0</v>
      </c>
      <c r="Q244" s="442">
        <f>+'ต.ค.-ธ.ค.'!Q245+'ม.ค.-มี.ค.'!Q244+'เม.ย.-มิ.ย.'!Q244+'ก.ค.-ก.ย.'!Q244</f>
        <v>0</v>
      </c>
      <c r="R244" s="442">
        <f>+'ต.ค.-ธ.ค.'!R245+'ม.ค.-มี.ค.'!R244+'เม.ย.-มิ.ย.'!R244+'ก.ค.-ก.ย.'!R244</f>
        <v>0</v>
      </c>
      <c r="S244" s="442">
        <f>+'ต.ค.-ธ.ค.'!S245+'ม.ค.-มี.ค.'!S244+'เม.ย.-มิ.ย.'!S244+'ก.ค.-ก.ย.'!S244</f>
        <v>0</v>
      </c>
      <c r="T244" s="442">
        <f>+'ต.ค.-ธ.ค.'!T245+'ม.ค.-มี.ค.'!T244+'เม.ย.-มิ.ย.'!T244+'ก.ค.-ก.ย.'!T244</f>
        <v>0</v>
      </c>
      <c r="U244" s="442">
        <f>+'ต.ค.-ธ.ค.'!U245+'ม.ค.-มี.ค.'!U244+'เม.ย.-มิ.ย.'!U244+'ก.ค.-ก.ย.'!U244</f>
        <v>0</v>
      </c>
      <c r="V244" s="442">
        <f>+'ต.ค.-ธ.ค.'!V245+'ม.ค.-มี.ค.'!V244+'เม.ย.-มิ.ย.'!V244+'ก.ค.-ก.ย.'!V244</f>
        <v>0</v>
      </c>
      <c r="W244" s="579"/>
      <c r="X244" s="364"/>
    </row>
    <row r="245" spans="1:24" s="310" customFormat="1" ht="25.5" customHeight="1" thickBot="1">
      <c r="A245" s="46"/>
      <c r="B245" s="492"/>
      <c r="C245" s="544">
        <f>SUM(C244)</f>
        <v>9000</v>
      </c>
      <c r="D245" s="466">
        <f>SUM(D244)</f>
        <v>0</v>
      </c>
      <c r="E245" s="466">
        <f t="shared" ref="E245:V245" si="11">SUM(E244)</f>
        <v>0</v>
      </c>
      <c r="F245" s="466">
        <f>SUM(F244)</f>
        <v>0</v>
      </c>
      <c r="G245" s="466">
        <f t="shared" si="11"/>
        <v>0</v>
      </c>
      <c r="H245" s="466">
        <f t="shared" si="11"/>
        <v>0</v>
      </c>
      <c r="I245" s="466">
        <f t="shared" si="11"/>
        <v>0</v>
      </c>
      <c r="J245" s="466">
        <f t="shared" si="11"/>
        <v>0</v>
      </c>
      <c r="K245" s="466">
        <f t="shared" si="11"/>
        <v>0</v>
      </c>
      <c r="L245" s="466">
        <f t="shared" si="11"/>
        <v>0</v>
      </c>
      <c r="M245" s="466">
        <f t="shared" si="11"/>
        <v>0</v>
      </c>
      <c r="N245" s="466">
        <f t="shared" si="11"/>
        <v>0</v>
      </c>
      <c r="O245" s="466">
        <f t="shared" si="11"/>
        <v>0</v>
      </c>
      <c r="P245" s="466">
        <f t="shared" si="11"/>
        <v>0</v>
      </c>
      <c r="Q245" s="466">
        <f t="shared" si="11"/>
        <v>0</v>
      </c>
      <c r="R245" s="466">
        <f t="shared" si="11"/>
        <v>0</v>
      </c>
      <c r="S245" s="466">
        <f t="shared" si="11"/>
        <v>0</v>
      </c>
      <c r="T245" s="466">
        <f t="shared" si="11"/>
        <v>0</v>
      </c>
      <c r="U245" s="466">
        <f t="shared" si="11"/>
        <v>0</v>
      </c>
      <c r="V245" s="466">
        <f t="shared" si="11"/>
        <v>0</v>
      </c>
      <c r="W245" s="579"/>
      <c r="X245" s="364"/>
    </row>
    <row r="246" spans="1:24" ht="25.5" customHeight="1" thickTop="1">
      <c r="A246" s="20"/>
      <c r="B246" s="360" t="s">
        <v>338</v>
      </c>
      <c r="C246" s="545"/>
      <c r="D246" s="458"/>
      <c r="E246" s="459"/>
      <c r="F246" s="459"/>
      <c r="G246" s="459"/>
      <c r="H246" s="459"/>
      <c r="I246" s="459"/>
      <c r="J246" s="459"/>
      <c r="K246" s="459"/>
      <c r="L246" s="459"/>
      <c r="M246" s="459"/>
      <c r="N246" s="459"/>
      <c r="O246" s="459"/>
      <c r="P246" s="459"/>
      <c r="Q246" s="459"/>
      <c r="R246" s="459"/>
      <c r="S246" s="459"/>
      <c r="T246" s="459"/>
      <c r="U246" s="459"/>
      <c r="V246" s="443"/>
    </row>
    <row r="247" spans="1:24" ht="25.5" customHeight="1">
      <c r="A247" s="20"/>
      <c r="B247" s="186" t="s">
        <v>339</v>
      </c>
      <c r="C247" s="423">
        <v>8000</v>
      </c>
      <c r="D247" s="442">
        <f>+'ต.ค.-มิ.ย. 61'!D247+ก.ค.!D247</f>
        <v>0</v>
      </c>
      <c r="E247" s="442">
        <f>+'ต.ค.-มิ.ย. 61'!E247+ก.ค.!E247</f>
        <v>0</v>
      </c>
      <c r="F247" s="442">
        <f>+'ต.ค.-มิ.ย. 61'!F247+ก.ค.!F247</f>
        <v>0</v>
      </c>
      <c r="G247" s="442">
        <f>+'ต.ค.-มิ.ย. 61'!G247+ก.ค.!G247</f>
        <v>0</v>
      </c>
      <c r="H247" s="442">
        <f>+'ต.ค.-มิ.ย. 61'!H247+ก.ค.!H247</f>
        <v>0</v>
      </c>
      <c r="I247" s="442">
        <f>+'ต.ค.-มิ.ย. 61'!I247+ก.ค.!I247</f>
        <v>0</v>
      </c>
      <c r="J247" s="442">
        <f>+'ต.ค.-มิ.ย. 61'!J247+ก.ค.!J247</f>
        <v>0</v>
      </c>
      <c r="K247" s="442">
        <f>+'ต.ค.-มิ.ย. 61'!K247+ก.ค.!K247</f>
        <v>0</v>
      </c>
      <c r="L247" s="442">
        <f>+'ต.ค.-มิ.ย. 61'!L247+ก.ค.!L247</f>
        <v>0</v>
      </c>
      <c r="M247" s="442">
        <f>+'ต.ค.-มิ.ย. 61'!M247+ก.ค.!M247</f>
        <v>0</v>
      </c>
      <c r="N247" s="442">
        <f>+'ต.ค.-มิ.ย. 61'!N247+ก.ค.!N247</f>
        <v>0</v>
      </c>
      <c r="O247" s="442">
        <f>+'ต.ค.-มิ.ย. 61'!O247+ก.ค.!O247</f>
        <v>0</v>
      </c>
      <c r="P247" s="442">
        <f>+'ต.ค.-มิ.ย. 61'!P247+ก.ค.!P247</f>
        <v>0</v>
      </c>
      <c r="Q247" s="442">
        <f>+'ต.ค.-มิ.ย. 61'!Q247+ก.ค.!Q247</f>
        <v>0</v>
      </c>
      <c r="R247" s="442">
        <f>+'ต.ค.-มิ.ย. 61'!R247+ก.ค.!R247</f>
        <v>0</v>
      </c>
      <c r="S247" s="442">
        <f>+'ต.ค.-มิ.ย. 61'!S247+ก.ค.!S247</f>
        <v>0</v>
      </c>
      <c r="T247" s="442">
        <f>+'ต.ค.-มิ.ย. 61'!T247+ก.ค.!T247</f>
        <v>0</v>
      </c>
      <c r="U247" s="442">
        <f>+'ต.ค.-มิ.ย. 61'!U247+ก.ค.!U247</f>
        <v>0</v>
      </c>
      <c r="V247" s="442">
        <f>+'ต.ค.-มิ.ย. 61'!V247+ก.ค.!V247</f>
        <v>0</v>
      </c>
    </row>
    <row r="248" spans="1:24" ht="25.5" customHeight="1">
      <c r="A248" s="20"/>
      <c r="B248" s="186" t="s">
        <v>340</v>
      </c>
      <c r="C248" s="423">
        <v>6000</v>
      </c>
      <c r="D248" s="442">
        <f>+'ต.ค.-มิ.ย. 61'!D248+ก.ค.!D248</f>
        <v>0</v>
      </c>
      <c r="E248" s="442">
        <f>+'ต.ค.-มิ.ย. 61'!E248+ก.ค.!E248</f>
        <v>0</v>
      </c>
      <c r="F248" s="442">
        <f>+'ต.ค.-มิ.ย. 61'!F248+ก.ค.!F248</f>
        <v>0</v>
      </c>
      <c r="G248" s="442">
        <f>+'ต.ค.-มิ.ย. 61'!G248+ก.ค.!G248</f>
        <v>0</v>
      </c>
      <c r="H248" s="442">
        <f>+'ต.ค.-มิ.ย. 61'!H248+ก.ค.!H248</f>
        <v>0</v>
      </c>
      <c r="I248" s="442">
        <f>+'ต.ค.-มิ.ย. 61'!I248+ก.ค.!I248</f>
        <v>0</v>
      </c>
      <c r="J248" s="442">
        <f>+'ต.ค.-มิ.ย. 61'!J248+ก.ค.!J248</f>
        <v>0</v>
      </c>
      <c r="K248" s="442">
        <f>+'ต.ค.-มิ.ย. 61'!K248+ก.ค.!K248</f>
        <v>0</v>
      </c>
      <c r="L248" s="442">
        <f>+'ต.ค.-มิ.ย. 61'!L248+ก.ค.!L248</f>
        <v>0</v>
      </c>
      <c r="M248" s="442">
        <f>+'ต.ค.-มิ.ย. 61'!M248+ก.ค.!M248</f>
        <v>0</v>
      </c>
      <c r="N248" s="442">
        <f>+'ต.ค.-มิ.ย. 61'!N248+ก.ค.!N248</f>
        <v>0</v>
      </c>
      <c r="O248" s="442">
        <f>+'ต.ค.-มิ.ย. 61'!O248+ก.ค.!O248</f>
        <v>0</v>
      </c>
      <c r="P248" s="442">
        <f>+'ต.ค.-มิ.ย. 61'!P248+ก.ค.!P248</f>
        <v>0</v>
      </c>
      <c r="Q248" s="442">
        <f>+'ต.ค.-มิ.ย. 61'!Q248+ก.ค.!Q248</f>
        <v>0</v>
      </c>
      <c r="R248" s="442">
        <f>+'ต.ค.-มิ.ย. 61'!R248+ก.ค.!R248</f>
        <v>0</v>
      </c>
      <c r="S248" s="442">
        <f>+'ต.ค.-มิ.ย. 61'!S248+ก.ค.!S248</f>
        <v>0</v>
      </c>
      <c r="T248" s="442">
        <f>+'ต.ค.-มิ.ย. 61'!T248+ก.ค.!T248</f>
        <v>0</v>
      </c>
      <c r="U248" s="442">
        <f>+'ต.ค.-มิ.ย. 61'!U248+ก.ค.!U248</f>
        <v>0</v>
      </c>
      <c r="V248" s="442">
        <f>+'ต.ค.-มิ.ย. 61'!V248+ก.ค.!V248</f>
        <v>0</v>
      </c>
    </row>
    <row r="249" spans="1:24" ht="25.5" customHeight="1" thickBot="1">
      <c r="A249" s="46"/>
      <c r="B249" s="492"/>
      <c r="C249" s="544">
        <f>SUM(C247:C248)</f>
        <v>14000</v>
      </c>
      <c r="D249" s="466">
        <f>SUM(D247:D248)</f>
        <v>0</v>
      </c>
      <c r="E249" s="466">
        <f t="shared" ref="E249:V249" si="12">SUM(E247:E248)</f>
        <v>0</v>
      </c>
      <c r="F249" s="466">
        <f t="shared" si="12"/>
        <v>0</v>
      </c>
      <c r="G249" s="466">
        <f t="shared" si="12"/>
        <v>0</v>
      </c>
      <c r="H249" s="466">
        <f t="shared" si="12"/>
        <v>0</v>
      </c>
      <c r="I249" s="466">
        <f t="shared" si="12"/>
        <v>0</v>
      </c>
      <c r="J249" s="466">
        <f t="shared" si="12"/>
        <v>0</v>
      </c>
      <c r="K249" s="466">
        <f t="shared" si="12"/>
        <v>0</v>
      </c>
      <c r="L249" s="466">
        <f t="shared" si="12"/>
        <v>0</v>
      </c>
      <c r="M249" s="466">
        <f t="shared" si="12"/>
        <v>0</v>
      </c>
      <c r="N249" s="466">
        <f t="shared" si="12"/>
        <v>0</v>
      </c>
      <c r="O249" s="466">
        <f t="shared" si="12"/>
        <v>0</v>
      </c>
      <c r="P249" s="466">
        <f t="shared" si="12"/>
        <v>0</v>
      </c>
      <c r="Q249" s="466">
        <f t="shared" si="12"/>
        <v>0</v>
      </c>
      <c r="R249" s="466">
        <f t="shared" si="12"/>
        <v>0</v>
      </c>
      <c r="S249" s="466">
        <f t="shared" si="12"/>
        <v>0</v>
      </c>
      <c r="T249" s="466">
        <f t="shared" si="12"/>
        <v>0</v>
      </c>
      <c r="U249" s="466">
        <f t="shared" si="12"/>
        <v>0</v>
      </c>
      <c r="V249" s="466">
        <f t="shared" si="12"/>
        <v>0</v>
      </c>
      <c r="W249" s="588">
        <f>SUM(D249:V249)</f>
        <v>0</v>
      </c>
    </row>
    <row r="250" spans="1:24" ht="25.5" customHeight="1" thickTop="1">
      <c r="A250" s="20"/>
      <c r="B250" s="360" t="s">
        <v>341</v>
      </c>
      <c r="C250" s="545"/>
      <c r="D250" s="458"/>
      <c r="E250" s="459"/>
      <c r="F250" s="459"/>
      <c r="G250" s="459"/>
      <c r="H250" s="459"/>
      <c r="I250" s="459"/>
      <c r="J250" s="459"/>
      <c r="K250" s="459"/>
      <c r="L250" s="459"/>
      <c r="M250" s="459"/>
      <c r="N250" s="459"/>
      <c r="O250" s="459"/>
      <c r="P250" s="459"/>
      <c r="Q250" s="459"/>
      <c r="R250" s="459"/>
      <c r="S250" s="459"/>
      <c r="T250" s="459"/>
      <c r="U250" s="459"/>
      <c r="V250" s="459"/>
    </row>
    <row r="251" spans="1:24" ht="25.5" customHeight="1">
      <c r="A251" s="20"/>
      <c r="B251" s="394" t="s">
        <v>342</v>
      </c>
      <c r="C251" s="423">
        <v>45300</v>
      </c>
      <c r="D251" s="442">
        <f>+'ต.ค.-ธ.ค.'!D252+'ม.ค.-มี.ค.'!D251+'เม.ย.-มิ.ย.'!D251+'ก.ค.-ก.ย.'!D251</f>
        <v>0</v>
      </c>
      <c r="E251" s="442">
        <f>+'ต.ค.-ธ.ค.'!E252+'ม.ค.-มี.ค.'!E251+'เม.ย.-มิ.ย.'!E251+'ก.ค.-ก.ย.'!E251</f>
        <v>0</v>
      </c>
      <c r="F251" s="442">
        <f>+'ต.ค.-ธ.ค.'!F252+'ม.ค.-มี.ค.'!F251+'เม.ย.-มิ.ย.'!F251+'ก.ค.-ก.ย.'!F251</f>
        <v>0</v>
      </c>
      <c r="G251" s="442">
        <f>+'ต.ค.-ธ.ค.'!G252+'ม.ค.-มี.ค.'!G251+'เม.ย.-มิ.ย.'!G251+'ก.ค.-ก.ย.'!G251</f>
        <v>0</v>
      </c>
      <c r="H251" s="442">
        <f>+'ต.ค.-ธ.ค.'!H252+'ม.ค.-มี.ค.'!H251+'เม.ย.-มิ.ย.'!H251+'ก.ค.-ก.ย.'!H251</f>
        <v>0</v>
      </c>
      <c r="I251" s="442">
        <f>+'ต.ค.-ธ.ค.'!I252+'ม.ค.-มี.ค.'!I251+'เม.ย.-มิ.ย.'!I251+'ก.ค.-ก.ย.'!I251</f>
        <v>0</v>
      </c>
      <c r="J251" s="442">
        <f>+'ต.ค.-ธ.ค.'!J252+'ม.ค.-มี.ค.'!J251+'เม.ย.-มิ.ย.'!J251+'ก.ค.-ก.ย.'!J251</f>
        <v>0</v>
      </c>
      <c r="K251" s="442">
        <f>+'ต.ค.-ธ.ค.'!K252+'ม.ค.-มี.ค.'!K251+'เม.ย.-มิ.ย.'!K251+'ก.ค.-ก.ย.'!K251</f>
        <v>0</v>
      </c>
      <c r="L251" s="442">
        <f>+'ต.ค.-ธ.ค.'!L252+'ม.ค.-มี.ค.'!L251+'เม.ย.-มิ.ย.'!L251+'ก.ค.-ก.ย.'!L251</f>
        <v>0</v>
      </c>
      <c r="M251" s="442">
        <f>+'ต.ค.-ธ.ค.'!M252+'ม.ค.-มี.ค.'!M251+'เม.ย.-มิ.ย.'!M251+'ก.ค.-ก.ย.'!M251</f>
        <v>0</v>
      </c>
      <c r="N251" s="442">
        <f>+'ต.ค.-ธ.ค.'!N252+'ม.ค.-มี.ค.'!N251+'เม.ย.-มิ.ย.'!N251+'ก.ค.-ก.ย.'!N251</f>
        <v>45300</v>
      </c>
      <c r="O251" s="442">
        <f>+'ต.ค.-ธ.ค.'!O252+'ม.ค.-มี.ค.'!O251+'เม.ย.-มิ.ย.'!O251+'ก.ค.-ก.ย.'!O251</f>
        <v>0</v>
      </c>
      <c r="P251" s="442">
        <f>+'ต.ค.-ธ.ค.'!P252+'ม.ค.-มี.ค.'!P251+'เม.ย.-มิ.ย.'!P251+'ก.ค.-ก.ย.'!P251</f>
        <v>0</v>
      </c>
      <c r="Q251" s="442">
        <f>+'ต.ค.-ธ.ค.'!Q252+'ม.ค.-มี.ค.'!Q251+'เม.ย.-มิ.ย.'!Q251+'ก.ค.-ก.ย.'!Q251</f>
        <v>0</v>
      </c>
      <c r="R251" s="442">
        <f>+'ต.ค.-ธ.ค.'!R252+'ม.ค.-มี.ค.'!R251+'เม.ย.-มิ.ย.'!R251+'ก.ค.-ก.ย.'!R251</f>
        <v>0</v>
      </c>
      <c r="S251" s="442">
        <f>+'ต.ค.-ธ.ค.'!S252+'ม.ค.-มี.ค.'!S251+'เม.ย.-มิ.ย.'!S251+'ก.ค.-ก.ย.'!S251</f>
        <v>0</v>
      </c>
      <c r="T251" s="442">
        <f>+'ต.ค.-ธ.ค.'!T252+'ม.ค.-มี.ค.'!T251+'เม.ย.-มิ.ย.'!T251+'ก.ค.-ก.ย.'!T251</f>
        <v>0</v>
      </c>
      <c r="U251" s="442">
        <f>+'ต.ค.-ธ.ค.'!U252+'ม.ค.-มี.ค.'!U251+'เม.ย.-มิ.ย.'!U251+'ก.ค.-ก.ย.'!U251</f>
        <v>0</v>
      </c>
      <c r="V251" s="442">
        <f>+'ต.ค.-ธ.ค.'!V252+'ม.ค.-มี.ค.'!V251+'เม.ย.-มิ.ย.'!V251+'ก.ค.-ก.ย.'!V251</f>
        <v>0</v>
      </c>
    </row>
    <row r="252" spans="1:24" ht="25.5" customHeight="1">
      <c r="A252" s="20"/>
      <c r="B252" s="394" t="s">
        <v>343</v>
      </c>
      <c r="C252" s="423">
        <v>128000</v>
      </c>
      <c r="D252" s="442">
        <f>+'ต.ค.-ธ.ค.'!D253+'ม.ค.-มี.ค.'!D252+'เม.ย.-มิ.ย.'!D252+'ก.ค.-ก.ย.'!D252</f>
        <v>0</v>
      </c>
      <c r="E252" s="442">
        <f>+'ต.ค.-ธ.ค.'!E253+'ม.ค.-มี.ค.'!E252+'เม.ย.-มิ.ย.'!E252+'ก.ค.-ก.ย.'!E252</f>
        <v>0</v>
      </c>
      <c r="F252" s="442">
        <f>+'ต.ค.-ธ.ค.'!F253+'ม.ค.-มี.ค.'!F252+'เม.ย.-มิ.ย.'!F252+'ก.ค.-ก.ย.'!F252</f>
        <v>0</v>
      </c>
      <c r="G252" s="442">
        <f>+'ต.ค.-ธ.ค.'!G253+'ม.ค.-มี.ค.'!G252+'เม.ย.-มิ.ย.'!G252+'ก.ค.-ก.ย.'!G252</f>
        <v>0</v>
      </c>
      <c r="H252" s="442">
        <f>+'ต.ค.-ธ.ค.'!H253+'ม.ค.-มี.ค.'!H252+'เม.ย.-มิ.ย.'!H252+'ก.ค.-ก.ย.'!H252</f>
        <v>0</v>
      </c>
      <c r="I252" s="442">
        <f>+'ต.ค.-ธ.ค.'!I253+'ม.ค.-มี.ค.'!I252+'เม.ย.-มิ.ย.'!I252+'ก.ค.-ก.ย.'!I252</f>
        <v>0</v>
      </c>
      <c r="J252" s="442">
        <f>+'ต.ค.-ธ.ค.'!J253+'ม.ค.-มี.ค.'!J252+'เม.ย.-มิ.ย.'!J252+'ก.ค.-ก.ย.'!J252</f>
        <v>0</v>
      </c>
      <c r="K252" s="442">
        <f>+'ต.ค.-ธ.ค.'!K253+'ม.ค.-มี.ค.'!K252+'เม.ย.-มิ.ย.'!K252+'ก.ค.-ก.ย.'!K252</f>
        <v>0</v>
      </c>
      <c r="L252" s="442">
        <f>+'ต.ค.-ธ.ค.'!L253+'ม.ค.-มี.ค.'!L252+'เม.ย.-มิ.ย.'!L252+'ก.ค.-ก.ย.'!L252</f>
        <v>0</v>
      </c>
      <c r="M252" s="442">
        <f>+'ต.ค.-ธ.ค.'!M253+'ม.ค.-มี.ค.'!M252+'เม.ย.-มิ.ย.'!M252+'ก.ค.-ก.ย.'!M252</f>
        <v>0</v>
      </c>
      <c r="N252" s="442">
        <f>+'ต.ค.-ธ.ค.'!N253+'ม.ค.-มี.ค.'!N252+'เม.ย.-มิ.ย.'!N252+'ก.ค.-ก.ย.'!N252</f>
        <v>124500</v>
      </c>
      <c r="O252" s="442">
        <f>+'ต.ค.-ธ.ค.'!O253+'ม.ค.-มี.ค.'!O252+'เม.ย.-มิ.ย.'!O252+'ก.ค.-ก.ย.'!O252</f>
        <v>0</v>
      </c>
      <c r="P252" s="442">
        <f>+'ต.ค.-ธ.ค.'!P253+'ม.ค.-มี.ค.'!P252+'เม.ย.-มิ.ย.'!P252+'ก.ค.-ก.ย.'!P252</f>
        <v>0</v>
      </c>
      <c r="Q252" s="442">
        <f>+'ต.ค.-ธ.ค.'!Q253+'ม.ค.-มี.ค.'!Q252+'เม.ย.-มิ.ย.'!Q252+'ก.ค.-ก.ย.'!Q252</f>
        <v>0</v>
      </c>
      <c r="R252" s="442">
        <f>+'ต.ค.-ธ.ค.'!R253+'ม.ค.-มี.ค.'!R252+'เม.ย.-มิ.ย.'!R252+'ก.ค.-ก.ย.'!R252</f>
        <v>0</v>
      </c>
      <c r="S252" s="442">
        <f>+'ต.ค.-ธ.ค.'!S253+'ม.ค.-มี.ค.'!S252+'เม.ย.-มิ.ย.'!S252+'ก.ค.-ก.ย.'!S252</f>
        <v>0</v>
      </c>
      <c r="T252" s="442">
        <f>+'ต.ค.-ธ.ค.'!T253+'ม.ค.-มี.ค.'!T252+'เม.ย.-มิ.ย.'!T252+'ก.ค.-ก.ย.'!T252</f>
        <v>0</v>
      </c>
      <c r="U252" s="442">
        <f>+'ต.ค.-ธ.ค.'!U253+'ม.ค.-มี.ค.'!U252+'เม.ย.-มิ.ย.'!U252+'ก.ค.-ก.ย.'!U252</f>
        <v>0</v>
      </c>
      <c r="V252" s="442">
        <f>+'ต.ค.-ธ.ค.'!V253+'ม.ค.-มี.ค.'!V252+'เม.ย.-มิ.ย.'!V252+'ก.ค.-ก.ย.'!V252</f>
        <v>0</v>
      </c>
    </row>
    <row r="253" spans="1:24" ht="25.5" customHeight="1">
      <c r="A253" s="20"/>
      <c r="B253" s="394" t="s">
        <v>264</v>
      </c>
      <c r="C253" s="423">
        <v>204000</v>
      </c>
      <c r="D253" s="442">
        <f>+'ต.ค.-ธ.ค.'!D254+'ม.ค.-มี.ค.'!D253+'เม.ย.-มิ.ย.'!D253+'ก.ค.-ก.ย.'!D253</f>
        <v>0</v>
      </c>
      <c r="E253" s="442">
        <f>+'ต.ค.-ธ.ค.'!E254+'ม.ค.-มี.ค.'!E253+'เม.ย.-มิ.ย.'!E253+'ก.ค.-ก.ย.'!E253</f>
        <v>0</v>
      </c>
      <c r="F253" s="442">
        <f>+'ต.ค.-ธ.ค.'!F254+'ม.ค.-มี.ค.'!F253+'เม.ย.-มิ.ย.'!F253+'ก.ค.-ก.ย.'!F253</f>
        <v>0</v>
      </c>
      <c r="G253" s="442">
        <f>+'ต.ค.-ธ.ค.'!G254+'ม.ค.-มี.ค.'!G253+'เม.ย.-มิ.ย.'!G253+'ก.ค.-ก.ย.'!G253</f>
        <v>0</v>
      </c>
      <c r="H253" s="442">
        <f>+'ต.ค.-ธ.ค.'!H254+'ม.ค.-มี.ค.'!H253+'เม.ย.-มิ.ย.'!H253+'ก.ค.-ก.ย.'!H253</f>
        <v>0</v>
      </c>
      <c r="I253" s="442">
        <f>+'ต.ค.-ธ.ค.'!I254+'ม.ค.-มี.ค.'!I253+'เม.ย.-มิ.ย.'!I253+'ก.ค.-ก.ย.'!I253</f>
        <v>0</v>
      </c>
      <c r="J253" s="442">
        <f>+'ต.ค.-ธ.ค.'!J254+'ม.ค.-มี.ค.'!J253+'เม.ย.-มิ.ย.'!J253+'ก.ค.-ก.ย.'!J253</f>
        <v>0</v>
      </c>
      <c r="K253" s="442">
        <f>+'ต.ค.-ธ.ค.'!K254+'ม.ค.-มี.ค.'!K253+'เม.ย.-มิ.ย.'!K253+'ก.ค.-ก.ย.'!K253</f>
        <v>0</v>
      </c>
      <c r="L253" s="442">
        <f>+'ต.ค.-ธ.ค.'!L254+'ม.ค.-มี.ค.'!L253+'เม.ย.-มิ.ย.'!L253+'ก.ค.-ก.ย.'!L253</f>
        <v>0</v>
      </c>
      <c r="M253" s="442">
        <f>+'ต.ค.-ธ.ค.'!M254+'ม.ค.-มี.ค.'!M253+'เม.ย.-มิ.ย.'!M253+'ก.ค.-ก.ย.'!M253</f>
        <v>0</v>
      </c>
      <c r="N253" s="442">
        <f>+'ต.ค.-ธ.ค.'!N254+'ม.ค.-มี.ค.'!N253+'เม.ย.-มิ.ย.'!N253+'ก.ค.-ก.ย.'!N253</f>
        <v>200000</v>
      </c>
      <c r="O253" s="442">
        <f>+'ต.ค.-ธ.ค.'!O254+'ม.ค.-มี.ค.'!O253+'เม.ย.-มิ.ย.'!O253+'ก.ค.-ก.ย.'!O253</f>
        <v>0</v>
      </c>
      <c r="P253" s="442">
        <f>+'ต.ค.-ธ.ค.'!P254+'ม.ค.-มี.ค.'!P253+'เม.ย.-มิ.ย.'!P253+'ก.ค.-ก.ย.'!P253</f>
        <v>0</v>
      </c>
      <c r="Q253" s="442">
        <f>+'ต.ค.-ธ.ค.'!Q254+'ม.ค.-มี.ค.'!Q253+'เม.ย.-มิ.ย.'!Q253+'ก.ค.-ก.ย.'!Q253</f>
        <v>0</v>
      </c>
      <c r="R253" s="442">
        <f>+'ต.ค.-ธ.ค.'!R254+'ม.ค.-มี.ค.'!R253+'เม.ย.-มิ.ย.'!R253+'ก.ค.-ก.ย.'!R253</f>
        <v>0</v>
      </c>
      <c r="S253" s="442">
        <f>+'ต.ค.-ธ.ค.'!S254+'ม.ค.-มี.ค.'!S253+'เม.ย.-มิ.ย.'!S253+'ก.ค.-ก.ย.'!S253</f>
        <v>0</v>
      </c>
      <c r="T253" s="442">
        <f>+'ต.ค.-ธ.ค.'!T254+'ม.ค.-มี.ค.'!T253+'เม.ย.-มิ.ย.'!T253+'ก.ค.-ก.ย.'!T253</f>
        <v>0</v>
      </c>
      <c r="U253" s="442">
        <f>+'ต.ค.-ธ.ค.'!U254+'ม.ค.-มี.ค.'!U253+'เม.ย.-มิ.ย.'!U253+'ก.ค.-ก.ย.'!U253</f>
        <v>0</v>
      </c>
      <c r="V253" s="442">
        <f>+'ต.ค.-ธ.ค.'!V254+'ม.ค.-มี.ค.'!V253+'เม.ย.-มิ.ย.'!V253+'ก.ค.-ก.ย.'!V253</f>
        <v>0</v>
      </c>
    </row>
    <row r="254" spans="1:24" ht="25.5" customHeight="1">
      <c r="A254" s="20"/>
      <c r="B254" s="394" t="s">
        <v>381</v>
      </c>
      <c r="C254" s="423">
        <v>204000</v>
      </c>
      <c r="D254" s="442">
        <f>+'ต.ค.-ธ.ค.'!D255+'ม.ค.-มี.ค.'!D254+'เม.ย.-มิ.ย.'!D254+'ก.ค.-ก.ย.'!D254</f>
        <v>0</v>
      </c>
      <c r="E254" s="442">
        <f>+'ต.ค.-ธ.ค.'!E255+'ม.ค.-มี.ค.'!E254+'เม.ย.-มิ.ย.'!E254+'ก.ค.-ก.ย.'!E254</f>
        <v>0</v>
      </c>
      <c r="F254" s="442">
        <f>+'ต.ค.-ธ.ค.'!F255+'ม.ค.-มี.ค.'!F254+'เม.ย.-มิ.ย.'!F254+'ก.ค.-ก.ย.'!F254</f>
        <v>0</v>
      </c>
      <c r="G254" s="442">
        <f>+'ต.ค.-ธ.ค.'!G255+'ม.ค.-มี.ค.'!G254+'เม.ย.-มิ.ย.'!G254+'ก.ค.-ก.ย.'!G254</f>
        <v>0</v>
      </c>
      <c r="H254" s="442">
        <f>+'ต.ค.-ธ.ค.'!H255+'ม.ค.-มี.ค.'!H254+'เม.ย.-มิ.ย.'!H254+'ก.ค.-ก.ย.'!H254</f>
        <v>0</v>
      </c>
      <c r="I254" s="442">
        <f>+'ต.ค.-ธ.ค.'!I255+'ม.ค.-มี.ค.'!I254+'เม.ย.-มิ.ย.'!I254+'ก.ค.-ก.ย.'!I254</f>
        <v>0</v>
      </c>
      <c r="J254" s="442">
        <f>+'ต.ค.-ธ.ค.'!J255+'ม.ค.-มี.ค.'!J254+'เม.ย.-มิ.ย.'!J254+'ก.ค.-ก.ย.'!J254</f>
        <v>0</v>
      </c>
      <c r="K254" s="442">
        <f>+'ต.ค.-ธ.ค.'!K255+'ม.ค.-มี.ค.'!K254+'เม.ย.-มิ.ย.'!K254+'ก.ค.-ก.ย.'!K254</f>
        <v>0</v>
      </c>
      <c r="L254" s="442">
        <f>+'ต.ค.-ธ.ค.'!L255+'ม.ค.-มี.ค.'!L254+'เม.ย.-มิ.ย.'!L254+'ก.ค.-ก.ย.'!L254</f>
        <v>0</v>
      </c>
      <c r="M254" s="442">
        <f>+'ต.ค.-ธ.ค.'!M255+'ม.ค.-มี.ค.'!M254+'เม.ย.-มิ.ย.'!M254+'ก.ค.-ก.ย.'!M254</f>
        <v>0</v>
      </c>
      <c r="N254" s="442">
        <f>+'ต.ค.-ธ.ค.'!N255+'ม.ค.-มี.ค.'!N254+'เม.ย.-มิ.ย.'!N254+'ก.ค.-ก.ย.'!N254</f>
        <v>204000</v>
      </c>
      <c r="O254" s="442">
        <f>+'ต.ค.-ธ.ค.'!O255+'ม.ค.-มี.ค.'!O254+'เม.ย.-มิ.ย.'!O254+'ก.ค.-ก.ย.'!O254</f>
        <v>0</v>
      </c>
      <c r="P254" s="442">
        <f>+'ต.ค.-ธ.ค.'!P255+'ม.ค.-มี.ค.'!P254+'เม.ย.-มิ.ย.'!P254+'ก.ค.-ก.ย.'!P254</f>
        <v>0</v>
      </c>
      <c r="Q254" s="442">
        <f>+'ต.ค.-ธ.ค.'!Q255+'ม.ค.-มี.ค.'!Q254+'เม.ย.-มิ.ย.'!Q254+'ก.ค.-ก.ย.'!Q254</f>
        <v>0</v>
      </c>
      <c r="R254" s="442">
        <f>+'ต.ค.-ธ.ค.'!R255+'ม.ค.-มี.ค.'!R254+'เม.ย.-มิ.ย.'!R254+'ก.ค.-ก.ย.'!R254</f>
        <v>0</v>
      </c>
      <c r="S254" s="442">
        <f>+'ต.ค.-ธ.ค.'!S255+'ม.ค.-มี.ค.'!S254+'เม.ย.-มิ.ย.'!S254+'ก.ค.-ก.ย.'!S254</f>
        <v>0</v>
      </c>
      <c r="T254" s="442">
        <f>+'ต.ค.-ธ.ค.'!T255+'ม.ค.-มี.ค.'!T254+'เม.ย.-มิ.ย.'!T254+'ก.ค.-ก.ย.'!T254</f>
        <v>0</v>
      </c>
      <c r="U254" s="442">
        <f>+'ต.ค.-ธ.ค.'!U255+'ม.ค.-มี.ค.'!U254+'เม.ย.-มิ.ย.'!U254+'ก.ค.-ก.ย.'!U254</f>
        <v>0</v>
      </c>
      <c r="V254" s="442">
        <f>+'ต.ค.-ธ.ค.'!V255+'ม.ค.-มี.ค.'!V254+'เม.ย.-มิ.ย.'!V254+'ก.ค.-ก.ย.'!V254</f>
        <v>0</v>
      </c>
    </row>
    <row r="255" spans="1:24" ht="25.5" customHeight="1">
      <c r="A255" s="20"/>
      <c r="B255" s="394" t="s">
        <v>344</v>
      </c>
      <c r="C255" s="423">
        <v>204000</v>
      </c>
      <c r="D255" s="442">
        <f>+'ต.ค.-ธ.ค.'!D256+'ม.ค.-มี.ค.'!D255+'เม.ย.-มิ.ย.'!D255+'ก.ค.-ก.ย.'!D255</f>
        <v>0</v>
      </c>
      <c r="E255" s="442">
        <f>+'ต.ค.-ธ.ค.'!E256+'ม.ค.-มี.ค.'!E255+'เม.ย.-มิ.ย.'!E255+'ก.ค.-ก.ย.'!E255</f>
        <v>0</v>
      </c>
      <c r="F255" s="442">
        <f>+'ต.ค.-ธ.ค.'!F256+'ม.ค.-มี.ค.'!F255+'เม.ย.-มิ.ย.'!F255+'ก.ค.-ก.ย.'!F255</f>
        <v>0</v>
      </c>
      <c r="G255" s="442">
        <f>+'ต.ค.-ธ.ค.'!G256+'ม.ค.-มี.ค.'!G255+'เม.ย.-มิ.ย.'!G255+'ก.ค.-ก.ย.'!G255</f>
        <v>0</v>
      </c>
      <c r="H255" s="442">
        <f>+'ต.ค.-ธ.ค.'!H256+'ม.ค.-มี.ค.'!H255+'เม.ย.-มิ.ย.'!H255+'ก.ค.-ก.ย.'!H255</f>
        <v>0</v>
      </c>
      <c r="I255" s="442">
        <f>+'ต.ค.-ธ.ค.'!I256+'ม.ค.-มี.ค.'!I255+'เม.ย.-มิ.ย.'!I255+'ก.ค.-ก.ย.'!I255</f>
        <v>0</v>
      </c>
      <c r="J255" s="442">
        <f>+'ต.ค.-ธ.ค.'!J256+'ม.ค.-มี.ค.'!J255+'เม.ย.-มิ.ย.'!J255+'ก.ค.-ก.ย.'!J255</f>
        <v>0</v>
      </c>
      <c r="K255" s="442">
        <f>+'ต.ค.-ธ.ค.'!K256+'ม.ค.-มี.ค.'!K255+'เม.ย.-มิ.ย.'!K255+'ก.ค.-ก.ย.'!K255</f>
        <v>0</v>
      </c>
      <c r="L255" s="442">
        <f>+'ต.ค.-ธ.ค.'!L256+'ม.ค.-มี.ค.'!L255+'เม.ย.-มิ.ย.'!L255+'ก.ค.-ก.ย.'!L255</f>
        <v>0</v>
      </c>
      <c r="M255" s="442">
        <f>+'ต.ค.-ธ.ค.'!M256+'ม.ค.-มี.ค.'!M255+'เม.ย.-มิ.ย.'!M255+'ก.ค.-ก.ย.'!M255</f>
        <v>0</v>
      </c>
      <c r="N255" s="442">
        <f>+'ต.ค.-ธ.ค.'!N256+'ม.ค.-มี.ค.'!N255+'เม.ย.-มิ.ย.'!N255+'ก.ค.-ก.ย.'!N255</f>
        <v>202000</v>
      </c>
      <c r="O255" s="442">
        <f>+'ต.ค.-ธ.ค.'!O256+'ม.ค.-มี.ค.'!O255+'เม.ย.-มิ.ย.'!O255+'ก.ค.-ก.ย.'!O255</f>
        <v>0</v>
      </c>
      <c r="P255" s="442">
        <f>+'ต.ค.-ธ.ค.'!P256+'ม.ค.-มี.ค.'!P255+'เม.ย.-มิ.ย.'!P255+'ก.ค.-ก.ย.'!P255</f>
        <v>0</v>
      </c>
      <c r="Q255" s="442">
        <f>+'ต.ค.-ธ.ค.'!Q256+'ม.ค.-มี.ค.'!Q255+'เม.ย.-มิ.ย.'!Q255+'ก.ค.-ก.ย.'!Q255</f>
        <v>0</v>
      </c>
      <c r="R255" s="442">
        <f>+'ต.ค.-ธ.ค.'!R256+'ม.ค.-มี.ค.'!R255+'เม.ย.-มิ.ย.'!R255+'ก.ค.-ก.ย.'!R255</f>
        <v>0</v>
      </c>
      <c r="S255" s="442">
        <f>+'ต.ค.-ธ.ค.'!S256+'ม.ค.-มี.ค.'!S255+'เม.ย.-มิ.ย.'!S255+'ก.ค.-ก.ย.'!S255</f>
        <v>0</v>
      </c>
      <c r="T255" s="442">
        <f>+'ต.ค.-ธ.ค.'!T256+'ม.ค.-มี.ค.'!T255+'เม.ย.-มิ.ย.'!T255+'ก.ค.-ก.ย.'!T255</f>
        <v>0</v>
      </c>
      <c r="U255" s="442">
        <f>+'ต.ค.-ธ.ค.'!U256+'ม.ค.-มี.ค.'!U255+'เม.ย.-มิ.ย.'!U255+'ก.ค.-ก.ย.'!U255</f>
        <v>0</v>
      </c>
      <c r="V255" s="442">
        <f>+'ต.ค.-ธ.ค.'!V256+'ม.ค.-มี.ค.'!V255+'เม.ย.-มิ.ย.'!V255+'ก.ค.-ก.ย.'!V255</f>
        <v>0</v>
      </c>
    </row>
    <row r="256" spans="1:24" ht="25.5" customHeight="1">
      <c r="A256" s="20"/>
      <c r="B256" s="394" t="s">
        <v>345</v>
      </c>
      <c r="C256" s="423">
        <v>217000</v>
      </c>
      <c r="D256" s="442">
        <f>+'ต.ค.-ธ.ค.'!D257+'ม.ค.-มี.ค.'!D256+'เม.ย.-มิ.ย.'!D256+'ก.ค.-ก.ย.'!D256</f>
        <v>0</v>
      </c>
      <c r="E256" s="442">
        <f>+'ต.ค.-ธ.ค.'!E257+'ม.ค.-มี.ค.'!E256+'เม.ย.-มิ.ย.'!E256+'ก.ค.-ก.ย.'!E256</f>
        <v>0</v>
      </c>
      <c r="F256" s="442">
        <f>+'ต.ค.-ธ.ค.'!F257+'ม.ค.-มี.ค.'!F256+'เม.ย.-มิ.ย.'!F256+'ก.ค.-ก.ย.'!F256</f>
        <v>0</v>
      </c>
      <c r="G256" s="442">
        <f>+'ต.ค.-ธ.ค.'!G257+'ม.ค.-มี.ค.'!G256+'เม.ย.-มิ.ย.'!G256+'ก.ค.-ก.ย.'!G256</f>
        <v>0</v>
      </c>
      <c r="H256" s="442">
        <f>+'ต.ค.-ธ.ค.'!H257+'ม.ค.-มี.ค.'!H256+'เม.ย.-มิ.ย.'!H256+'ก.ค.-ก.ย.'!H256</f>
        <v>0</v>
      </c>
      <c r="I256" s="442">
        <f>+'ต.ค.-ธ.ค.'!I257+'ม.ค.-มี.ค.'!I256+'เม.ย.-มิ.ย.'!I256+'ก.ค.-ก.ย.'!I256</f>
        <v>0</v>
      </c>
      <c r="J256" s="442">
        <f>+'ต.ค.-ธ.ค.'!J257+'ม.ค.-มี.ค.'!J256+'เม.ย.-มิ.ย.'!J256+'ก.ค.-ก.ย.'!J256</f>
        <v>0</v>
      </c>
      <c r="K256" s="442">
        <f>+'ต.ค.-ธ.ค.'!K257+'ม.ค.-มี.ค.'!K256+'เม.ย.-มิ.ย.'!K256+'ก.ค.-ก.ย.'!K256</f>
        <v>0</v>
      </c>
      <c r="L256" s="442">
        <f>+'ต.ค.-ธ.ค.'!L257+'ม.ค.-มี.ค.'!L256+'เม.ย.-มิ.ย.'!L256+'ก.ค.-ก.ย.'!L256</f>
        <v>0</v>
      </c>
      <c r="M256" s="442">
        <f>+'ต.ค.-ธ.ค.'!M257+'ม.ค.-มี.ค.'!M256+'เม.ย.-มิ.ย.'!M256+'ก.ค.-ก.ย.'!M256</f>
        <v>0</v>
      </c>
      <c r="N256" s="442">
        <f>+'ต.ค.-ธ.ค.'!N257+'ม.ค.-มี.ค.'!N256+'เม.ย.-มิ.ย.'!N256+'ก.ค.-ก.ย.'!N256</f>
        <v>216000</v>
      </c>
      <c r="O256" s="442">
        <f>+'ต.ค.-ธ.ค.'!O257+'ม.ค.-มี.ค.'!O256+'เม.ย.-มิ.ย.'!O256+'ก.ค.-ก.ย.'!O256</f>
        <v>0</v>
      </c>
      <c r="P256" s="442">
        <f>+'ต.ค.-ธ.ค.'!P257+'ม.ค.-มี.ค.'!P256+'เม.ย.-มิ.ย.'!P256+'ก.ค.-ก.ย.'!P256</f>
        <v>0</v>
      </c>
      <c r="Q256" s="442">
        <f>+'ต.ค.-ธ.ค.'!Q257+'ม.ค.-มี.ค.'!Q256+'เม.ย.-มิ.ย.'!Q256+'ก.ค.-ก.ย.'!Q256</f>
        <v>0</v>
      </c>
      <c r="R256" s="442">
        <f>+'ต.ค.-ธ.ค.'!R257+'ม.ค.-มี.ค.'!R256+'เม.ย.-มิ.ย.'!R256+'ก.ค.-ก.ย.'!R256</f>
        <v>0</v>
      </c>
      <c r="S256" s="442">
        <f>+'ต.ค.-ธ.ค.'!S257+'ม.ค.-มี.ค.'!S256+'เม.ย.-มิ.ย.'!S256+'ก.ค.-ก.ย.'!S256</f>
        <v>0</v>
      </c>
      <c r="T256" s="442">
        <f>+'ต.ค.-ธ.ค.'!T257+'ม.ค.-มี.ค.'!T256+'เม.ย.-มิ.ย.'!T256+'ก.ค.-ก.ย.'!T256</f>
        <v>0</v>
      </c>
      <c r="U256" s="442">
        <f>+'ต.ค.-ธ.ค.'!U257+'ม.ค.-มี.ค.'!U256+'เม.ย.-มิ.ย.'!U256+'ก.ค.-ก.ย.'!U256</f>
        <v>0</v>
      </c>
      <c r="V256" s="442">
        <f>+'ต.ค.-ธ.ค.'!V257+'ม.ค.-มี.ค.'!V256+'เม.ย.-มิ.ย.'!V256+'ก.ค.-ก.ย.'!V256</f>
        <v>0</v>
      </c>
    </row>
    <row r="257" spans="1:23" ht="25.5" customHeight="1">
      <c r="A257" s="20"/>
      <c r="B257" s="394" t="s">
        <v>346</v>
      </c>
      <c r="C257" s="423">
        <v>27000</v>
      </c>
      <c r="D257" s="442">
        <f>+'ต.ค.-ธ.ค.'!D258+'ม.ค.-มี.ค.'!D257+'เม.ย.-มิ.ย.'!D257+'ก.ค.-ก.ย.'!D257</f>
        <v>0</v>
      </c>
      <c r="E257" s="442">
        <f>+'ต.ค.-ธ.ค.'!E258+'ม.ค.-มี.ค.'!E257+'เม.ย.-มิ.ย.'!E257+'ก.ค.-ก.ย.'!E257</f>
        <v>0</v>
      </c>
      <c r="F257" s="442">
        <f>+'ต.ค.-ธ.ค.'!F258+'ม.ค.-มี.ค.'!F257+'เม.ย.-มิ.ย.'!F257+'ก.ค.-ก.ย.'!F257</f>
        <v>0</v>
      </c>
      <c r="G257" s="442">
        <f>+'ต.ค.-ธ.ค.'!G258+'ม.ค.-มี.ค.'!G257+'เม.ย.-มิ.ย.'!G257+'ก.ค.-ก.ย.'!G257</f>
        <v>0</v>
      </c>
      <c r="H257" s="442">
        <f>+'ต.ค.-ธ.ค.'!H258+'ม.ค.-มี.ค.'!H257+'เม.ย.-มิ.ย.'!H257+'ก.ค.-ก.ย.'!H257</f>
        <v>0</v>
      </c>
      <c r="I257" s="442">
        <f>+'ต.ค.-ธ.ค.'!I258+'ม.ค.-มี.ค.'!I257+'เม.ย.-มิ.ย.'!I257+'ก.ค.-ก.ย.'!I257</f>
        <v>0</v>
      </c>
      <c r="J257" s="442">
        <f>+'ต.ค.-ธ.ค.'!J258+'ม.ค.-มี.ค.'!J257+'เม.ย.-มิ.ย.'!J257+'ก.ค.-ก.ย.'!J257</f>
        <v>0</v>
      </c>
      <c r="K257" s="442">
        <f>+'ต.ค.-ธ.ค.'!K258+'ม.ค.-มี.ค.'!K257+'เม.ย.-มิ.ย.'!K257+'ก.ค.-ก.ย.'!K257</f>
        <v>0</v>
      </c>
      <c r="L257" s="442">
        <f>+'ต.ค.-ธ.ค.'!L258+'ม.ค.-มี.ค.'!L257+'เม.ย.-มิ.ย.'!L257+'ก.ค.-ก.ย.'!L257</f>
        <v>0</v>
      </c>
      <c r="M257" s="442">
        <f>+'ต.ค.-ธ.ค.'!M258+'ม.ค.-มี.ค.'!M257+'เม.ย.-มิ.ย.'!M257+'ก.ค.-ก.ย.'!M257</f>
        <v>0</v>
      </c>
      <c r="N257" s="442">
        <f>+'ต.ค.-ธ.ค.'!N258+'ม.ค.-มี.ค.'!N257+'เม.ย.-มิ.ย.'!N257+'ก.ค.-ก.ย.'!N257</f>
        <v>25000</v>
      </c>
      <c r="O257" s="442">
        <f>+'ต.ค.-ธ.ค.'!O258+'ม.ค.-มี.ค.'!O257+'เม.ย.-มิ.ย.'!O257+'ก.ค.-ก.ย.'!O257</f>
        <v>0</v>
      </c>
      <c r="P257" s="442">
        <f>+'ต.ค.-ธ.ค.'!P258+'ม.ค.-มี.ค.'!P257+'เม.ย.-มิ.ย.'!P257+'ก.ค.-ก.ย.'!P257</f>
        <v>0</v>
      </c>
      <c r="Q257" s="442">
        <f>+'ต.ค.-ธ.ค.'!Q258+'ม.ค.-มี.ค.'!Q257+'เม.ย.-มิ.ย.'!Q257+'ก.ค.-ก.ย.'!Q257</f>
        <v>0</v>
      </c>
      <c r="R257" s="442">
        <f>+'ต.ค.-ธ.ค.'!R258+'ม.ค.-มี.ค.'!R257+'เม.ย.-มิ.ย.'!R257+'ก.ค.-ก.ย.'!R257</f>
        <v>0</v>
      </c>
      <c r="S257" s="442">
        <f>+'ต.ค.-ธ.ค.'!S258+'ม.ค.-มี.ค.'!S257+'เม.ย.-มิ.ย.'!S257+'ก.ค.-ก.ย.'!S257</f>
        <v>0</v>
      </c>
      <c r="T257" s="442">
        <f>+'ต.ค.-ธ.ค.'!T258+'ม.ค.-มี.ค.'!T257+'เม.ย.-มิ.ย.'!T257+'ก.ค.-ก.ย.'!T257</f>
        <v>0</v>
      </c>
      <c r="U257" s="442">
        <f>+'ต.ค.-ธ.ค.'!U258+'ม.ค.-มี.ค.'!U257+'เม.ย.-มิ.ย.'!U257+'ก.ค.-ก.ย.'!U257</f>
        <v>0</v>
      </c>
      <c r="V257" s="442">
        <f>+'ต.ค.-ธ.ค.'!V258+'ม.ค.-มี.ค.'!V257+'เม.ย.-มิ.ย.'!V257+'ก.ค.-ก.ย.'!V257</f>
        <v>0</v>
      </c>
    </row>
    <row r="258" spans="1:23" ht="25.5" customHeight="1">
      <c r="A258" s="20"/>
      <c r="B258" s="394" t="s">
        <v>347</v>
      </c>
      <c r="C258" s="423">
        <v>211000</v>
      </c>
      <c r="D258" s="442">
        <f>+'ต.ค.-ธ.ค.'!D259+'ม.ค.-มี.ค.'!D258+'เม.ย.-มิ.ย.'!D258+'ก.ค.-ก.ย.'!D258</f>
        <v>0</v>
      </c>
      <c r="E258" s="442">
        <f>+'ต.ค.-ธ.ค.'!E259+'ม.ค.-มี.ค.'!E258+'เม.ย.-มิ.ย.'!E258+'ก.ค.-ก.ย.'!E258</f>
        <v>0</v>
      </c>
      <c r="F258" s="442">
        <f>+'ต.ค.-ธ.ค.'!F259+'ม.ค.-มี.ค.'!F258+'เม.ย.-มิ.ย.'!F258+'ก.ค.-ก.ย.'!F258</f>
        <v>0</v>
      </c>
      <c r="G258" s="442">
        <f>+'ต.ค.-ธ.ค.'!G259+'ม.ค.-มี.ค.'!G258+'เม.ย.-มิ.ย.'!G258+'ก.ค.-ก.ย.'!G258</f>
        <v>0</v>
      </c>
      <c r="H258" s="442">
        <f>+'ต.ค.-ธ.ค.'!H259+'ม.ค.-มี.ค.'!H258+'เม.ย.-มิ.ย.'!H258+'ก.ค.-ก.ย.'!H258</f>
        <v>0</v>
      </c>
      <c r="I258" s="442">
        <f>+'ต.ค.-ธ.ค.'!I259+'ม.ค.-มี.ค.'!I258+'เม.ย.-มิ.ย.'!I258+'ก.ค.-ก.ย.'!I258</f>
        <v>0</v>
      </c>
      <c r="J258" s="442">
        <f>+'ต.ค.-ธ.ค.'!J259+'ม.ค.-มี.ค.'!J258+'เม.ย.-มิ.ย.'!J258+'ก.ค.-ก.ย.'!J258</f>
        <v>0</v>
      </c>
      <c r="K258" s="442">
        <f>+'ต.ค.-ธ.ค.'!K259+'ม.ค.-มี.ค.'!K258+'เม.ย.-มิ.ย.'!K258+'ก.ค.-ก.ย.'!K258</f>
        <v>0</v>
      </c>
      <c r="L258" s="442">
        <f>+'ต.ค.-ธ.ค.'!L259+'ม.ค.-มี.ค.'!L258+'เม.ย.-มิ.ย.'!L258+'ก.ค.-ก.ย.'!L258</f>
        <v>0</v>
      </c>
      <c r="M258" s="442">
        <f>+'ต.ค.-ธ.ค.'!M259+'ม.ค.-มี.ค.'!M258+'เม.ย.-มิ.ย.'!M258+'ก.ค.-ก.ย.'!M258</f>
        <v>0</v>
      </c>
      <c r="N258" s="442">
        <f>+'ต.ค.-ธ.ค.'!N259+'ม.ค.-มี.ค.'!N258+'เม.ย.-มิ.ย.'!N258+'ก.ค.-ก.ย.'!N258</f>
        <v>210000</v>
      </c>
      <c r="O258" s="442">
        <f>+'ต.ค.-ธ.ค.'!O259+'ม.ค.-มี.ค.'!O258+'เม.ย.-มิ.ย.'!O258+'ก.ค.-ก.ย.'!O258</f>
        <v>0</v>
      </c>
      <c r="P258" s="442">
        <f>+'ต.ค.-ธ.ค.'!P259+'ม.ค.-มี.ค.'!P258+'เม.ย.-มิ.ย.'!P258+'ก.ค.-ก.ย.'!P258</f>
        <v>0</v>
      </c>
      <c r="Q258" s="442">
        <f>+'ต.ค.-ธ.ค.'!Q259+'ม.ค.-มี.ค.'!Q258+'เม.ย.-มิ.ย.'!Q258+'ก.ค.-ก.ย.'!Q258</f>
        <v>0</v>
      </c>
      <c r="R258" s="442">
        <f>+'ต.ค.-ธ.ค.'!R259+'ม.ค.-มี.ค.'!R258+'เม.ย.-มิ.ย.'!R258+'ก.ค.-ก.ย.'!R258</f>
        <v>0</v>
      </c>
      <c r="S258" s="442">
        <f>+'ต.ค.-ธ.ค.'!S259+'ม.ค.-มี.ค.'!S258+'เม.ย.-มิ.ย.'!S258+'ก.ค.-ก.ย.'!S258</f>
        <v>0</v>
      </c>
      <c r="T258" s="442">
        <f>+'ต.ค.-ธ.ค.'!T259+'ม.ค.-มี.ค.'!T258+'เม.ย.-มิ.ย.'!T258+'ก.ค.-ก.ย.'!T258</f>
        <v>0</v>
      </c>
      <c r="U258" s="442">
        <f>+'ต.ค.-ธ.ค.'!U259+'ม.ค.-มี.ค.'!U258+'เม.ย.-มิ.ย.'!U258+'ก.ค.-ก.ย.'!U258</f>
        <v>0</v>
      </c>
      <c r="V258" s="442">
        <f>+'ต.ค.-ธ.ค.'!V259+'ม.ค.-มี.ค.'!V258+'เม.ย.-มิ.ย.'!V258+'ก.ค.-ก.ย.'!V258</f>
        <v>0</v>
      </c>
    </row>
    <row r="259" spans="1:23" ht="25.5" customHeight="1">
      <c r="A259" s="20"/>
      <c r="B259" s="394" t="s">
        <v>348</v>
      </c>
      <c r="C259" s="423">
        <v>211000</v>
      </c>
      <c r="D259" s="442">
        <f>+'ต.ค.-ธ.ค.'!D260+'ม.ค.-มี.ค.'!D259+'เม.ย.-มิ.ย.'!D259+'ก.ค.-ก.ย.'!D259</f>
        <v>0</v>
      </c>
      <c r="E259" s="442">
        <f>+'ต.ค.-ธ.ค.'!E260+'ม.ค.-มี.ค.'!E259+'เม.ย.-มิ.ย.'!E259+'ก.ค.-ก.ย.'!E259</f>
        <v>0</v>
      </c>
      <c r="F259" s="442">
        <f>+'ต.ค.-ธ.ค.'!F260+'ม.ค.-มี.ค.'!F259+'เม.ย.-มิ.ย.'!F259+'ก.ค.-ก.ย.'!F259</f>
        <v>0</v>
      </c>
      <c r="G259" s="442">
        <f>+'ต.ค.-ธ.ค.'!G260+'ม.ค.-มี.ค.'!G259+'เม.ย.-มิ.ย.'!G259+'ก.ค.-ก.ย.'!G259</f>
        <v>0</v>
      </c>
      <c r="H259" s="442">
        <f>+'ต.ค.-ธ.ค.'!H260+'ม.ค.-มี.ค.'!H259+'เม.ย.-มิ.ย.'!H259+'ก.ค.-ก.ย.'!H259</f>
        <v>0</v>
      </c>
      <c r="I259" s="442">
        <f>+'ต.ค.-ธ.ค.'!I260+'ม.ค.-มี.ค.'!I259+'เม.ย.-มิ.ย.'!I259+'ก.ค.-ก.ย.'!I259</f>
        <v>0</v>
      </c>
      <c r="J259" s="442">
        <f>+'ต.ค.-ธ.ค.'!J260+'ม.ค.-มี.ค.'!J259+'เม.ย.-มิ.ย.'!J259+'ก.ค.-ก.ย.'!J259</f>
        <v>0</v>
      </c>
      <c r="K259" s="442">
        <f>+'ต.ค.-ธ.ค.'!K260+'ม.ค.-มี.ค.'!K259+'เม.ย.-มิ.ย.'!K259+'ก.ค.-ก.ย.'!K259</f>
        <v>0</v>
      </c>
      <c r="L259" s="442">
        <f>+'ต.ค.-ธ.ค.'!L260+'ม.ค.-มี.ค.'!L259+'เม.ย.-มิ.ย.'!L259+'ก.ค.-ก.ย.'!L259</f>
        <v>0</v>
      </c>
      <c r="M259" s="442">
        <f>+'ต.ค.-ธ.ค.'!M260+'ม.ค.-มี.ค.'!M259+'เม.ย.-มิ.ย.'!M259+'ก.ค.-ก.ย.'!M259</f>
        <v>0</v>
      </c>
      <c r="N259" s="442">
        <f>+'ต.ค.-ธ.ค.'!N260+'ม.ค.-มี.ค.'!N259+'เม.ย.-มิ.ย.'!N259+'ก.ค.-ก.ย.'!N259</f>
        <v>210000</v>
      </c>
      <c r="O259" s="442">
        <f>+'ต.ค.-ธ.ค.'!O260+'ม.ค.-มี.ค.'!O259+'เม.ย.-มิ.ย.'!O259+'ก.ค.-ก.ย.'!O259</f>
        <v>0</v>
      </c>
      <c r="P259" s="442">
        <f>+'ต.ค.-ธ.ค.'!P260+'ม.ค.-มี.ค.'!P259+'เม.ย.-มิ.ย.'!P259+'ก.ค.-ก.ย.'!P259</f>
        <v>0</v>
      </c>
      <c r="Q259" s="442">
        <f>+'ต.ค.-ธ.ค.'!Q260+'ม.ค.-มี.ค.'!Q259+'เม.ย.-มิ.ย.'!Q259+'ก.ค.-ก.ย.'!Q259</f>
        <v>0</v>
      </c>
      <c r="R259" s="442">
        <f>+'ต.ค.-ธ.ค.'!R260+'ม.ค.-มี.ค.'!R259+'เม.ย.-มิ.ย.'!R259+'ก.ค.-ก.ย.'!R259</f>
        <v>0</v>
      </c>
      <c r="S259" s="442">
        <f>+'ต.ค.-ธ.ค.'!S260+'ม.ค.-มี.ค.'!S259+'เม.ย.-มิ.ย.'!S259+'ก.ค.-ก.ย.'!S259</f>
        <v>0</v>
      </c>
      <c r="T259" s="442">
        <f>+'ต.ค.-ธ.ค.'!T260+'ม.ค.-มี.ค.'!T259+'เม.ย.-มิ.ย.'!T259+'ก.ค.-ก.ย.'!T259</f>
        <v>0</v>
      </c>
      <c r="U259" s="442">
        <f>+'ต.ค.-ธ.ค.'!U260+'ม.ค.-มี.ค.'!U259+'เม.ย.-มิ.ย.'!U259+'ก.ค.-ก.ย.'!U259</f>
        <v>0</v>
      </c>
      <c r="V259" s="442">
        <f>+'ต.ค.-ธ.ค.'!V260+'ม.ค.-มี.ค.'!V259+'เม.ย.-มิ.ย.'!V259+'ก.ค.-ก.ย.'!V259</f>
        <v>0</v>
      </c>
    </row>
    <row r="260" spans="1:23" ht="25.5" customHeight="1">
      <c r="A260" s="20"/>
      <c r="B260" s="394" t="s">
        <v>349</v>
      </c>
      <c r="C260" s="425">
        <v>688700</v>
      </c>
      <c r="D260" s="442">
        <f>+'ต.ค.-ธ.ค.'!D261+'ม.ค.-มี.ค.'!D260+'เม.ย.-มิ.ย.'!D260+'ก.ค.-ก.ย.'!D260</f>
        <v>0</v>
      </c>
      <c r="E260" s="442">
        <f>+'ต.ค.-ธ.ค.'!E261+'ม.ค.-มี.ค.'!E260+'เม.ย.-มิ.ย.'!E260+'ก.ค.-ก.ย.'!E260</f>
        <v>0</v>
      </c>
      <c r="F260" s="442">
        <f>+'ต.ค.-ธ.ค.'!F261+'ม.ค.-มี.ค.'!F260+'เม.ย.-มิ.ย.'!F260+'ก.ค.-ก.ย.'!F260</f>
        <v>0</v>
      </c>
      <c r="G260" s="442">
        <f>+'ต.ค.-ธ.ค.'!G261+'ม.ค.-มี.ค.'!G260+'เม.ย.-มิ.ย.'!G260+'ก.ค.-ก.ย.'!G260</f>
        <v>0</v>
      </c>
      <c r="H260" s="442">
        <f>+'ต.ค.-ธ.ค.'!H261+'ม.ค.-มี.ค.'!H260+'เม.ย.-มิ.ย.'!H260+'ก.ค.-ก.ย.'!H260</f>
        <v>0</v>
      </c>
      <c r="I260" s="442">
        <f>+'ต.ค.-ธ.ค.'!I261+'ม.ค.-มี.ค.'!I260+'เม.ย.-มิ.ย.'!I260+'ก.ค.-ก.ย.'!I260</f>
        <v>0</v>
      </c>
      <c r="J260" s="442">
        <f>+'ต.ค.-ธ.ค.'!J261+'ม.ค.-มี.ค.'!J260+'เม.ย.-มิ.ย.'!J260+'ก.ค.-ก.ย.'!J260</f>
        <v>0</v>
      </c>
      <c r="K260" s="442">
        <f>+'ต.ค.-ธ.ค.'!K261+'ม.ค.-มี.ค.'!K260+'เม.ย.-มิ.ย.'!K260+'ก.ค.-ก.ย.'!K260</f>
        <v>0</v>
      </c>
      <c r="L260" s="442">
        <f>+'ต.ค.-ธ.ค.'!L261+'ม.ค.-มี.ค.'!L260+'เม.ย.-มิ.ย.'!L260+'ก.ค.-ก.ย.'!L260</f>
        <v>0</v>
      </c>
      <c r="M260" s="442">
        <f>+'ต.ค.-ธ.ค.'!M261+'ม.ค.-มี.ค.'!M260+'เม.ย.-มิ.ย.'!M260+'ก.ค.-ก.ย.'!M260</f>
        <v>0</v>
      </c>
      <c r="N260" s="442">
        <f>+'ต.ค.-ธ.ค.'!N261+'ม.ค.-มี.ค.'!N260+'เม.ย.-มิ.ย.'!N260+'ก.ค.-ก.ย.'!N260</f>
        <v>688700</v>
      </c>
      <c r="O260" s="442">
        <f>+'ต.ค.-ธ.ค.'!O261+'ม.ค.-มี.ค.'!O260+'เม.ย.-มิ.ย.'!O260+'ก.ค.-ก.ย.'!O260</f>
        <v>0</v>
      </c>
      <c r="P260" s="442">
        <f>+'ต.ค.-ธ.ค.'!P261+'ม.ค.-มี.ค.'!P260+'เม.ย.-มิ.ย.'!P260+'ก.ค.-ก.ย.'!P260</f>
        <v>0</v>
      </c>
      <c r="Q260" s="442">
        <f>+'ต.ค.-ธ.ค.'!Q261+'ม.ค.-มี.ค.'!Q260+'เม.ย.-มิ.ย.'!Q260+'ก.ค.-ก.ย.'!Q260</f>
        <v>0</v>
      </c>
      <c r="R260" s="442">
        <f>+'ต.ค.-ธ.ค.'!R261+'ม.ค.-มี.ค.'!R260+'เม.ย.-มิ.ย.'!R260+'ก.ค.-ก.ย.'!R260</f>
        <v>0</v>
      </c>
      <c r="S260" s="442">
        <f>+'ต.ค.-ธ.ค.'!S261+'ม.ค.-มี.ค.'!S260+'เม.ย.-มิ.ย.'!S260+'ก.ค.-ก.ย.'!S260</f>
        <v>0</v>
      </c>
      <c r="T260" s="442">
        <f>+'ต.ค.-ธ.ค.'!T261+'ม.ค.-มี.ค.'!T260+'เม.ย.-มิ.ย.'!T260+'ก.ค.-ก.ย.'!T260</f>
        <v>0</v>
      </c>
      <c r="U260" s="442">
        <f>+'ต.ค.-ธ.ค.'!U261+'ม.ค.-มี.ค.'!U260+'เม.ย.-มิ.ย.'!U260+'ก.ค.-ก.ย.'!U260</f>
        <v>0</v>
      </c>
      <c r="V260" s="442">
        <f>+'ต.ค.-ธ.ค.'!V261+'ม.ค.-มี.ค.'!V260+'เม.ย.-มิ.ย.'!V260+'ก.ค.-ก.ย.'!V260</f>
        <v>0</v>
      </c>
    </row>
    <row r="261" spans="1:23" ht="25.5" customHeight="1">
      <c r="A261" s="20"/>
      <c r="B261" s="394" t="s">
        <v>350</v>
      </c>
      <c r="C261" s="426">
        <v>62000</v>
      </c>
      <c r="D261" s="442">
        <f>+'ต.ค.-ธ.ค.'!D262+'ม.ค.-มี.ค.'!D261+'เม.ย.-มิ.ย.'!D261+'ก.ค.-ก.ย.'!D261</f>
        <v>0</v>
      </c>
      <c r="E261" s="442">
        <f>+'ต.ค.-ธ.ค.'!E262+'ม.ค.-มี.ค.'!E261+'เม.ย.-มิ.ย.'!E261+'ก.ค.-ก.ย.'!E261</f>
        <v>0</v>
      </c>
      <c r="F261" s="442">
        <f>+'ต.ค.-ธ.ค.'!F262+'ม.ค.-มี.ค.'!F261+'เม.ย.-มิ.ย.'!F261+'ก.ค.-ก.ย.'!F261</f>
        <v>0</v>
      </c>
      <c r="G261" s="442">
        <f>+'ต.ค.-ธ.ค.'!G262+'ม.ค.-มี.ค.'!G261+'เม.ย.-มิ.ย.'!G261+'ก.ค.-ก.ย.'!G261</f>
        <v>0</v>
      </c>
      <c r="H261" s="442">
        <f>+'ต.ค.-ธ.ค.'!H262+'ม.ค.-มี.ค.'!H261+'เม.ย.-มิ.ย.'!H261+'ก.ค.-ก.ย.'!H261</f>
        <v>0</v>
      </c>
      <c r="I261" s="442">
        <f>+'ต.ค.-ธ.ค.'!I262+'ม.ค.-มี.ค.'!I261+'เม.ย.-มิ.ย.'!I261+'ก.ค.-ก.ย.'!I261</f>
        <v>0</v>
      </c>
      <c r="J261" s="442">
        <f>+'ต.ค.-ธ.ค.'!J262+'ม.ค.-มี.ค.'!J261+'เม.ย.-มิ.ย.'!J261+'ก.ค.-ก.ย.'!J261</f>
        <v>0</v>
      </c>
      <c r="K261" s="442">
        <f>+'ต.ค.-ธ.ค.'!K262+'ม.ค.-มี.ค.'!K261+'เม.ย.-มิ.ย.'!K261+'ก.ค.-ก.ย.'!K261</f>
        <v>0</v>
      </c>
      <c r="L261" s="442">
        <f>+'ต.ค.-ธ.ค.'!L262+'ม.ค.-มี.ค.'!L261+'เม.ย.-มิ.ย.'!L261+'ก.ค.-ก.ย.'!L261</f>
        <v>0</v>
      </c>
      <c r="M261" s="442">
        <f>+'ต.ค.-ธ.ค.'!M262+'ม.ค.-มี.ค.'!M261+'เม.ย.-มิ.ย.'!M261+'ก.ค.-ก.ย.'!M261</f>
        <v>0</v>
      </c>
      <c r="N261" s="442">
        <f>+'ต.ค.-ธ.ค.'!N262+'ม.ค.-มี.ค.'!N261+'เม.ย.-มิ.ย.'!N261+'ก.ค.-ก.ย.'!N261</f>
        <v>62000</v>
      </c>
      <c r="O261" s="442">
        <f>+'ต.ค.-ธ.ค.'!O262+'ม.ค.-มี.ค.'!O261+'เม.ย.-มิ.ย.'!O261+'ก.ค.-ก.ย.'!O261</f>
        <v>0</v>
      </c>
      <c r="P261" s="442">
        <f>+'ต.ค.-ธ.ค.'!P262+'ม.ค.-มี.ค.'!P261+'เม.ย.-มิ.ย.'!P261+'ก.ค.-ก.ย.'!P261</f>
        <v>0</v>
      </c>
      <c r="Q261" s="442">
        <f>+'ต.ค.-ธ.ค.'!Q262+'ม.ค.-มี.ค.'!Q261+'เม.ย.-มิ.ย.'!Q261+'ก.ค.-ก.ย.'!Q261</f>
        <v>0</v>
      </c>
      <c r="R261" s="442">
        <f>+'ต.ค.-ธ.ค.'!R262+'ม.ค.-มี.ค.'!R261+'เม.ย.-มิ.ย.'!R261+'ก.ค.-ก.ย.'!R261</f>
        <v>0</v>
      </c>
      <c r="S261" s="442">
        <f>+'ต.ค.-ธ.ค.'!S262+'ม.ค.-มี.ค.'!S261+'เม.ย.-มิ.ย.'!S261+'ก.ค.-ก.ย.'!S261</f>
        <v>0</v>
      </c>
      <c r="T261" s="442">
        <f>+'ต.ค.-ธ.ค.'!T262+'ม.ค.-มี.ค.'!T261+'เม.ย.-มิ.ย.'!T261+'ก.ค.-ก.ย.'!T261</f>
        <v>0</v>
      </c>
      <c r="U261" s="442">
        <f>+'ต.ค.-ธ.ค.'!U262+'ม.ค.-มี.ค.'!U261+'เม.ย.-มิ.ย.'!U261+'ก.ค.-ก.ย.'!U261</f>
        <v>0</v>
      </c>
      <c r="V261" s="442">
        <f>+'ต.ค.-ธ.ค.'!V262+'ม.ค.-มี.ค.'!V261+'เม.ย.-มิ.ย.'!V261+'ก.ค.-ก.ย.'!V261</f>
        <v>0</v>
      </c>
    </row>
    <row r="262" spans="1:23" s="172" customFormat="1" ht="25.5" customHeight="1" thickBot="1">
      <c r="A262" s="24"/>
      <c r="B262" s="45" t="s">
        <v>5</v>
      </c>
      <c r="C262" s="411">
        <f>SUM(C251:C261)</f>
        <v>2202000</v>
      </c>
      <c r="D262" s="411">
        <f t="shared" ref="D262:V262" si="13">SUM(D251:D261)</f>
        <v>0</v>
      </c>
      <c r="E262" s="411">
        <f t="shared" si="13"/>
        <v>0</v>
      </c>
      <c r="F262" s="411">
        <f t="shared" si="13"/>
        <v>0</v>
      </c>
      <c r="G262" s="411">
        <f t="shared" si="13"/>
        <v>0</v>
      </c>
      <c r="H262" s="411">
        <f t="shared" si="13"/>
        <v>0</v>
      </c>
      <c r="I262" s="411">
        <f t="shared" si="13"/>
        <v>0</v>
      </c>
      <c r="J262" s="411">
        <f t="shared" si="13"/>
        <v>0</v>
      </c>
      <c r="K262" s="411">
        <f t="shared" si="13"/>
        <v>0</v>
      </c>
      <c r="L262" s="411">
        <f t="shared" si="13"/>
        <v>0</v>
      </c>
      <c r="M262" s="411">
        <f t="shared" si="13"/>
        <v>0</v>
      </c>
      <c r="N262" s="411">
        <f>SUM(N251:N261)</f>
        <v>2187500</v>
      </c>
      <c r="O262" s="411">
        <f t="shared" si="13"/>
        <v>0</v>
      </c>
      <c r="P262" s="411">
        <f t="shared" si="13"/>
        <v>0</v>
      </c>
      <c r="Q262" s="411">
        <f t="shared" si="13"/>
        <v>0</v>
      </c>
      <c r="R262" s="411">
        <f t="shared" si="13"/>
        <v>0</v>
      </c>
      <c r="S262" s="411">
        <f t="shared" si="13"/>
        <v>0</v>
      </c>
      <c r="T262" s="411">
        <f t="shared" si="13"/>
        <v>0</v>
      </c>
      <c r="U262" s="411">
        <f t="shared" si="13"/>
        <v>0</v>
      </c>
      <c r="V262" s="411">
        <f t="shared" si="13"/>
        <v>0</v>
      </c>
      <c r="W262" s="587">
        <f>SUM(D262:V262)</f>
        <v>2187500</v>
      </c>
    </row>
    <row r="263" spans="1:23" ht="25.5" customHeight="1" thickTop="1">
      <c r="A263" s="50" t="s">
        <v>149</v>
      </c>
      <c r="B263" s="4"/>
      <c r="C263" s="427"/>
      <c r="D263" s="458">
        <v>0</v>
      </c>
      <c r="E263" s="459"/>
      <c r="F263" s="460"/>
      <c r="G263" s="460"/>
      <c r="H263" s="460"/>
      <c r="I263" s="458"/>
      <c r="J263" s="458"/>
      <c r="K263" s="458"/>
      <c r="L263" s="458"/>
      <c r="M263" s="460"/>
      <c r="N263" s="458"/>
      <c r="O263" s="458"/>
      <c r="P263" s="458"/>
      <c r="Q263" s="458"/>
      <c r="R263" s="543"/>
      <c r="S263" s="542"/>
      <c r="T263" s="542"/>
      <c r="U263" s="543"/>
      <c r="V263" s="543"/>
    </row>
    <row r="264" spans="1:23" ht="25.5" customHeight="1">
      <c r="A264" s="9"/>
      <c r="B264" s="186"/>
      <c r="C264" s="425"/>
      <c r="D264" s="458">
        <f>+'ต.ค.-มิ.ย. 61'!D264+ก.ค.!D264</f>
        <v>0</v>
      </c>
      <c r="E264" s="458">
        <f>+'ต.ค.-มิ.ย. 61'!E264+ก.ค.!E264</f>
        <v>0</v>
      </c>
      <c r="F264" s="458">
        <f>+'ต.ค.-มิ.ย. 61'!F264+ก.ค.!F264</f>
        <v>0</v>
      </c>
      <c r="G264" s="458">
        <f>+'ต.ค.-มิ.ย. 61'!G264+ก.ค.!G264</f>
        <v>0</v>
      </c>
      <c r="H264" s="458">
        <f>+'ต.ค.-มิ.ย. 61'!H264+ก.ค.!H264</f>
        <v>0</v>
      </c>
      <c r="I264" s="458">
        <f>+'ต.ค.-มิ.ย. 61'!I264+ก.ค.!I264</f>
        <v>0</v>
      </c>
      <c r="J264" s="458">
        <f>+'ต.ค.-มิ.ย. 61'!J264+ก.ค.!J264</f>
        <v>0</v>
      </c>
      <c r="K264" s="458">
        <f>+'ต.ค.-มิ.ย. 61'!K264+ก.ค.!K264</f>
        <v>0</v>
      </c>
      <c r="L264" s="458">
        <f>+'ต.ค.-มิ.ย. 61'!L264+ก.ค.!L264</f>
        <v>0</v>
      </c>
      <c r="M264" s="458">
        <f>+'ต.ค.-มิ.ย. 61'!M264+ก.ค.!M264</f>
        <v>0</v>
      </c>
      <c r="N264" s="458">
        <f>+'ต.ค.-มิ.ย. 61'!N264+ก.ค.!N264</f>
        <v>0</v>
      </c>
      <c r="O264" s="458">
        <f>+'ต.ค.-มิ.ย. 61'!O264+ก.ค.!O264</f>
        <v>0</v>
      </c>
      <c r="P264" s="458">
        <f>+'ต.ค.-มิ.ย. 61'!P264+ก.ค.!P264</f>
        <v>0</v>
      </c>
      <c r="Q264" s="458">
        <f>+'ต.ค.-มิ.ย. 61'!Q264+ก.ค.!Q264</f>
        <v>0</v>
      </c>
      <c r="R264" s="458">
        <f>+'ต.ค.-มิ.ย. 61'!R264+ก.ค.!R264</f>
        <v>0</v>
      </c>
      <c r="S264" s="458">
        <f>+'ต.ค.-มิ.ย. 61'!S264+ก.ค.!S264</f>
        <v>0</v>
      </c>
      <c r="T264" s="458">
        <f>+'ต.ค.-มิ.ย. 61'!T264+ก.ค.!T264</f>
        <v>0</v>
      </c>
      <c r="U264" s="458">
        <f>+'ต.ค.-มิ.ย. 61'!U264+ก.ค.!U264</f>
        <v>0</v>
      </c>
      <c r="V264" s="458">
        <f>+'ต.ค.-มิ.ย. 61'!V264+ก.ค.!V264</f>
        <v>0</v>
      </c>
    </row>
    <row r="265" spans="1:23" ht="25.5" customHeight="1">
      <c r="A265" s="9"/>
      <c r="B265" s="186"/>
      <c r="C265" s="425"/>
      <c r="D265" s="458">
        <f>+'ต.ค.-มิ.ย. 61'!D265+ก.ค.!D265</f>
        <v>0</v>
      </c>
      <c r="E265" s="458">
        <f>+'ต.ค.-มิ.ย. 61'!E265+ก.ค.!E265</f>
        <v>0</v>
      </c>
      <c r="F265" s="458">
        <f>+'ต.ค.-มิ.ย. 61'!F265+ก.ค.!F265</f>
        <v>0</v>
      </c>
      <c r="G265" s="458">
        <f>+'ต.ค.-มิ.ย. 61'!G265+ก.ค.!G265</f>
        <v>0</v>
      </c>
      <c r="H265" s="458">
        <f>+'ต.ค.-มิ.ย. 61'!H265+ก.ค.!H265</f>
        <v>0</v>
      </c>
      <c r="I265" s="458">
        <f>+'ต.ค.-มิ.ย. 61'!I265+ก.ค.!I265</f>
        <v>0</v>
      </c>
      <c r="J265" s="458">
        <f>+'ต.ค.-มิ.ย. 61'!J265+ก.ค.!J265</f>
        <v>0</v>
      </c>
      <c r="K265" s="458">
        <f>+'ต.ค.-มิ.ย. 61'!K265+ก.ค.!K265</f>
        <v>0</v>
      </c>
      <c r="L265" s="458">
        <f>+'ต.ค.-มิ.ย. 61'!L265+ก.ค.!L265</f>
        <v>0</v>
      </c>
      <c r="M265" s="458">
        <f>+'ต.ค.-มิ.ย. 61'!M265+ก.ค.!M265</f>
        <v>0</v>
      </c>
      <c r="N265" s="458">
        <f>+'ต.ค.-มิ.ย. 61'!N265+ก.ค.!N265</f>
        <v>0</v>
      </c>
      <c r="O265" s="458">
        <f>+'ต.ค.-มิ.ย. 61'!O265+ก.ค.!O265</f>
        <v>0</v>
      </c>
      <c r="P265" s="458">
        <f>+'ต.ค.-มิ.ย. 61'!P265+ก.ค.!P265</f>
        <v>0</v>
      </c>
      <c r="Q265" s="458">
        <f>+'ต.ค.-มิ.ย. 61'!Q265+ก.ค.!Q265</f>
        <v>0</v>
      </c>
      <c r="R265" s="458">
        <f>+'ต.ค.-มิ.ย. 61'!R265+ก.ค.!R265</f>
        <v>0</v>
      </c>
      <c r="S265" s="458">
        <f>+'ต.ค.-มิ.ย. 61'!S265+ก.ค.!S265</f>
        <v>0</v>
      </c>
      <c r="T265" s="458">
        <f>+'ต.ค.-มิ.ย. 61'!T265+ก.ค.!T265</f>
        <v>0</v>
      </c>
      <c r="U265" s="458">
        <f>+'ต.ค.-มิ.ย. 61'!U265+ก.ค.!U265</f>
        <v>0</v>
      </c>
      <c r="V265" s="458">
        <f>+'ต.ค.-มิ.ย. 61'!V265+ก.ค.!V265</f>
        <v>0</v>
      </c>
    </row>
    <row r="266" spans="1:23" ht="25.5" customHeight="1">
      <c r="A266" s="9"/>
      <c r="B266" s="186"/>
      <c r="C266" s="425"/>
      <c r="D266" s="458">
        <f>+'ต.ค.-มิ.ย. 61'!D266+ก.ค.!D266</f>
        <v>0</v>
      </c>
      <c r="E266" s="458">
        <f>+'ต.ค.-มิ.ย. 61'!E266+ก.ค.!E266</f>
        <v>0</v>
      </c>
      <c r="F266" s="458">
        <f>+'ต.ค.-มิ.ย. 61'!F266+ก.ค.!F266</f>
        <v>0</v>
      </c>
      <c r="G266" s="458">
        <f>+'ต.ค.-มิ.ย. 61'!G266+ก.ค.!G266</f>
        <v>0</v>
      </c>
      <c r="H266" s="458">
        <f>+'ต.ค.-มิ.ย. 61'!H266+ก.ค.!H266</f>
        <v>0</v>
      </c>
      <c r="I266" s="458">
        <f>+'ต.ค.-มิ.ย. 61'!I266+ก.ค.!I266</f>
        <v>0</v>
      </c>
      <c r="J266" s="458">
        <f>+'ต.ค.-มิ.ย. 61'!J266+ก.ค.!J266</f>
        <v>0</v>
      </c>
      <c r="K266" s="458">
        <f>+'ต.ค.-มิ.ย. 61'!K266+ก.ค.!K266</f>
        <v>0</v>
      </c>
      <c r="L266" s="458">
        <f>+'ต.ค.-มิ.ย. 61'!L266+ก.ค.!L266</f>
        <v>0</v>
      </c>
      <c r="M266" s="458">
        <f>+'ต.ค.-มิ.ย. 61'!M266+ก.ค.!M266</f>
        <v>0</v>
      </c>
      <c r="N266" s="458">
        <f>+'ต.ค.-มิ.ย. 61'!N266+ก.ค.!N266</f>
        <v>0</v>
      </c>
      <c r="O266" s="458">
        <f>+'ต.ค.-มิ.ย. 61'!O266+ก.ค.!O266</f>
        <v>0</v>
      </c>
      <c r="P266" s="458">
        <f>+'ต.ค.-มิ.ย. 61'!P266+ก.ค.!P266</f>
        <v>0</v>
      </c>
      <c r="Q266" s="458">
        <f>+'ต.ค.-มิ.ย. 61'!Q266+ก.ค.!Q266</f>
        <v>0</v>
      </c>
      <c r="R266" s="458">
        <f>+'ต.ค.-มิ.ย. 61'!R266+ก.ค.!R266</f>
        <v>0</v>
      </c>
      <c r="S266" s="458">
        <f>+'ต.ค.-มิ.ย. 61'!S266+ก.ค.!S266</f>
        <v>0</v>
      </c>
      <c r="T266" s="458">
        <f>+'ต.ค.-มิ.ย. 61'!T266+ก.ค.!T266</f>
        <v>0</v>
      </c>
      <c r="U266" s="458">
        <f>+'ต.ค.-มิ.ย. 61'!U266+ก.ค.!U266</f>
        <v>0</v>
      </c>
      <c r="V266" s="458">
        <f>+'ต.ค.-มิ.ย. 61'!V266+ก.ค.!V266</f>
        <v>0</v>
      </c>
    </row>
    <row r="267" spans="1:23" ht="25.5" customHeight="1">
      <c r="A267" s="9"/>
      <c r="B267" s="186"/>
      <c r="C267" s="425"/>
      <c r="D267" s="458">
        <f>+'ต.ค.-มิ.ย. 61'!D267+ก.ค.!D267</f>
        <v>0</v>
      </c>
      <c r="E267" s="458">
        <f>+'ต.ค.-มิ.ย. 61'!E267+ก.ค.!E267</f>
        <v>0</v>
      </c>
      <c r="F267" s="458">
        <f>+'ต.ค.-มิ.ย. 61'!F267+ก.ค.!F267</f>
        <v>0</v>
      </c>
      <c r="G267" s="458">
        <f>+'ต.ค.-มิ.ย. 61'!G267+ก.ค.!G267</f>
        <v>0</v>
      </c>
      <c r="H267" s="458">
        <f>+'ต.ค.-มิ.ย. 61'!H267+ก.ค.!H267</f>
        <v>0</v>
      </c>
      <c r="I267" s="458">
        <f>+'ต.ค.-มิ.ย. 61'!I267+ก.ค.!I267</f>
        <v>0</v>
      </c>
      <c r="J267" s="458">
        <f>+'ต.ค.-มิ.ย. 61'!J267+ก.ค.!J267</f>
        <v>0</v>
      </c>
      <c r="K267" s="458">
        <f>+'ต.ค.-มิ.ย. 61'!K267+ก.ค.!K267</f>
        <v>0</v>
      </c>
      <c r="L267" s="458">
        <f>+'ต.ค.-มิ.ย. 61'!L267+ก.ค.!L267</f>
        <v>0</v>
      </c>
      <c r="M267" s="458">
        <f>+'ต.ค.-มิ.ย. 61'!M267+ก.ค.!M267</f>
        <v>0</v>
      </c>
      <c r="N267" s="458">
        <f>+'ต.ค.-มิ.ย. 61'!N267+ก.ค.!N267</f>
        <v>0</v>
      </c>
      <c r="O267" s="458">
        <f>+'ต.ค.-มิ.ย. 61'!O267+ก.ค.!O267</f>
        <v>0</v>
      </c>
      <c r="P267" s="458">
        <f>+'ต.ค.-มิ.ย. 61'!P267+ก.ค.!P267</f>
        <v>0</v>
      </c>
      <c r="Q267" s="458">
        <f>+'ต.ค.-มิ.ย. 61'!Q267+ก.ค.!Q267</f>
        <v>0</v>
      </c>
      <c r="R267" s="458">
        <f>+'ต.ค.-มิ.ย. 61'!R267+ก.ค.!R267</f>
        <v>0</v>
      </c>
      <c r="S267" s="458">
        <f>+'ต.ค.-มิ.ย. 61'!S267+ก.ค.!S267</f>
        <v>0</v>
      </c>
      <c r="T267" s="458">
        <f>+'ต.ค.-มิ.ย. 61'!T267+ก.ค.!T267</f>
        <v>0</v>
      </c>
      <c r="U267" s="458">
        <f>+'ต.ค.-มิ.ย. 61'!U267+ก.ค.!U267</f>
        <v>0</v>
      </c>
      <c r="V267" s="458">
        <f>+'ต.ค.-มิ.ย. 61'!V267+ก.ค.!V267</f>
        <v>0</v>
      </c>
    </row>
    <row r="268" spans="1:23" ht="25.5" customHeight="1">
      <c r="A268" s="9"/>
      <c r="B268" s="186"/>
      <c r="C268" s="425"/>
      <c r="D268" s="458">
        <f>+'ต.ค.-มิ.ย. 61'!D268+ก.ค.!D268</f>
        <v>0</v>
      </c>
      <c r="E268" s="458">
        <f>+'ต.ค.-มิ.ย. 61'!E268+ก.ค.!E268</f>
        <v>0</v>
      </c>
      <c r="F268" s="458">
        <f>+'ต.ค.-มิ.ย. 61'!F268+ก.ค.!F268</f>
        <v>0</v>
      </c>
      <c r="G268" s="458">
        <f>+'ต.ค.-มิ.ย. 61'!G268+ก.ค.!G268</f>
        <v>0</v>
      </c>
      <c r="H268" s="458">
        <f>+'ต.ค.-มิ.ย. 61'!H268+ก.ค.!H268</f>
        <v>0</v>
      </c>
      <c r="I268" s="458">
        <f>+'ต.ค.-มิ.ย. 61'!I268+ก.ค.!I268</f>
        <v>0</v>
      </c>
      <c r="J268" s="458">
        <f>+'ต.ค.-มิ.ย. 61'!J268+ก.ค.!J268</f>
        <v>0</v>
      </c>
      <c r="K268" s="458">
        <f>+'ต.ค.-มิ.ย. 61'!K268+ก.ค.!K268</f>
        <v>0</v>
      </c>
      <c r="L268" s="458">
        <f>+'ต.ค.-มิ.ย. 61'!L268+ก.ค.!L268</f>
        <v>0</v>
      </c>
      <c r="M268" s="458">
        <f>+'ต.ค.-มิ.ย. 61'!M268+ก.ค.!M268</f>
        <v>0</v>
      </c>
      <c r="N268" s="458">
        <f>+'ต.ค.-มิ.ย. 61'!N268+ก.ค.!N268</f>
        <v>0</v>
      </c>
      <c r="O268" s="458">
        <f>+'ต.ค.-มิ.ย. 61'!O268+ก.ค.!O268</f>
        <v>0</v>
      </c>
      <c r="P268" s="458">
        <f>+'ต.ค.-มิ.ย. 61'!P268+ก.ค.!P268</f>
        <v>0</v>
      </c>
      <c r="Q268" s="458">
        <f>+'ต.ค.-มิ.ย. 61'!Q268+ก.ค.!Q268</f>
        <v>0</v>
      </c>
      <c r="R268" s="458">
        <f>+'ต.ค.-มิ.ย. 61'!R268+ก.ค.!R268</f>
        <v>0</v>
      </c>
      <c r="S268" s="458">
        <f>+'ต.ค.-มิ.ย. 61'!S268+ก.ค.!S268</f>
        <v>0</v>
      </c>
      <c r="T268" s="458">
        <f>+'ต.ค.-มิ.ย. 61'!T268+ก.ค.!T268</f>
        <v>0</v>
      </c>
      <c r="U268" s="458">
        <f>+'ต.ค.-มิ.ย. 61'!U268+ก.ค.!U268</f>
        <v>0</v>
      </c>
      <c r="V268" s="458">
        <f>+'ต.ค.-มิ.ย. 61'!V268+ก.ค.!V268</f>
        <v>0</v>
      </c>
    </row>
    <row r="269" spans="1:23" ht="25.5" customHeight="1">
      <c r="A269" s="9"/>
      <c r="B269" s="186"/>
      <c r="C269" s="425"/>
      <c r="D269" s="458">
        <f>+'ต.ค.-มิ.ย. 61'!D269+ก.ค.!D269</f>
        <v>0</v>
      </c>
      <c r="E269" s="458">
        <f>+'ต.ค.-มิ.ย. 61'!E269+ก.ค.!E269</f>
        <v>0</v>
      </c>
      <c r="F269" s="458">
        <f>+'ต.ค.-มิ.ย. 61'!F269+ก.ค.!F269</f>
        <v>0</v>
      </c>
      <c r="G269" s="458">
        <f>+'ต.ค.-มิ.ย. 61'!G269+ก.ค.!G269</f>
        <v>0</v>
      </c>
      <c r="H269" s="458">
        <f>+'ต.ค.-มิ.ย. 61'!H269+ก.ค.!H269</f>
        <v>0</v>
      </c>
      <c r="I269" s="458">
        <f>+'ต.ค.-มิ.ย. 61'!I269+ก.ค.!I269</f>
        <v>0</v>
      </c>
      <c r="J269" s="458">
        <f>+'ต.ค.-มิ.ย. 61'!J269+ก.ค.!J269</f>
        <v>0</v>
      </c>
      <c r="K269" s="458">
        <f>+'ต.ค.-มิ.ย. 61'!K269+ก.ค.!K269</f>
        <v>0</v>
      </c>
      <c r="L269" s="458">
        <f>+'ต.ค.-มิ.ย. 61'!L269+ก.ค.!L269</f>
        <v>0</v>
      </c>
      <c r="M269" s="458">
        <f>+'ต.ค.-มิ.ย. 61'!M269+ก.ค.!M269</f>
        <v>0</v>
      </c>
      <c r="N269" s="458">
        <f>+'ต.ค.-มิ.ย. 61'!N269+ก.ค.!N269</f>
        <v>0</v>
      </c>
      <c r="O269" s="458">
        <f>+'ต.ค.-มิ.ย. 61'!O269+ก.ค.!O269</f>
        <v>0</v>
      </c>
      <c r="P269" s="458">
        <f>+'ต.ค.-มิ.ย. 61'!P269+ก.ค.!P269</f>
        <v>0</v>
      </c>
      <c r="Q269" s="458">
        <f>+'ต.ค.-มิ.ย. 61'!Q269+ก.ค.!Q269</f>
        <v>0</v>
      </c>
      <c r="R269" s="458">
        <f>+'ต.ค.-มิ.ย. 61'!R269+ก.ค.!R269</f>
        <v>0</v>
      </c>
      <c r="S269" s="458">
        <f>+'ต.ค.-มิ.ย. 61'!S269+ก.ค.!S269</f>
        <v>0</v>
      </c>
      <c r="T269" s="458">
        <f>+'ต.ค.-มิ.ย. 61'!T269+ก.ค.!T269</f>
        <v>0</v>
      </c>
      <c r="U269" s="458">
        <f>+'ต.ค.-มิ.ย. 61'!U269+ก.ค.!U269</f>
        <v>0</v>
      </c>
      <c r="V269" s="458">
        <f>+'ต.ค.-มิ.ย. 61'!V269+ก.ค.!V269</f>
        <v>0</v>
      </c>
    </row>
    <row r="270" spans="1:23" ht="25.5" customHeight="1">
      <c r="A270" s="9"/>
      <c r="B270" s="186"/>
      <c r="C270" s="425"/>
      <c r="D270" s="458">
        <f>+'ต.ค.-มิ.ย. 61'!D270+ก.ค.!D270</f>
        <v>0</v>
      </c>
      <c r="E270" s="458">
        <f>+'ต.ค.-มิ.ย. 61'!E270+ก.ค.!E270</f>
        <v>0</v>
      </c>
      <c r="F270" s="458">
        <f>+'ต.ค.-มิ.ย. 61'!F270+ก.ค.!F270</f>
        <v>0</v>
      </c>
      <c r="G270" s="458">
        <f>+'ต.ค.-มิ.ย. 61'!G270+ก.ค.!G270</f>
        <v>0</v>
      </c>
      <c r="H270" s="458">
        <f>+'ต.ค.-มิ.ย. 61'!H270+ก.ค.!H270</f>
        <v>0</v>
      </c>
      <c r="I270" s="458">
        <f>+'ต.ค.-มิ.ย. 61'!I270+ก.ค.!I270</f>
        <v>0</v>
      </c>
      <c r="J270" s="458">
        <f>+'ต.ค.-มิ.ย. 61'!J270+ก.ค.!J270</f>
        <v>0</v>
      </c>
      <c r="K270" s="458">
        <f>+'ต.ค.-มิ.ย. 61'!K270+ก.ค.!K270</f>
        <v>0</v>
      </c>
      <c r="L270" s="458">
        <f>+'ต.ค.-มิ.ย. 61'!L270+ก.ค.!L270</f>
        <v>0</v>
      </c>
      <c r="M270" s="458">
        <f>+'ต.ค.-มิ.ย. 61'!M270+ก.ค.!M270</f>
        <v>0</v>
      </c>
      <c r="N270" s="458">
        <f>+'ต.ค.-มิ.ย. 61'!N270+ก.ค.!N270</f>
        <v>0</v>
      </c>
      <c r="O270" s="458">
        <f>+'ต.ค.-มิ.ย. 61'!O270+ก.ค.!O270</f>
        <v>0</v>
      </c>
      <c r="P270" s="458">
        <f>+'ต.ค.-มิ.ย. 61'!P270+ก.ค.!P270</f>
        <v>0</v>
      </c>
      <c r="Q270" s="458">
        <f>+'ต.ค.-มิ.ย. 61'!Q270+ก.ค.!Q270</f>
        <v>0</v>
      </c>
      <c r="R270" s="458">
        <f>+'ต.ค.-มิ.ย. 61'!R270+ก.ค.!R270</f>
        <v>0</v>
      </c>
      <c r="S270" s="458">
        <f>+'ต.ค.-มิ.ย. 61'!S270+ก.ค.!S270</f>
        <v>0</v>
      </c>
      <c r="T270" s="458">
        <f>+'ต.ค.-มิ.ย. 61'!T270+ก.ค.!T270</f>
        <v>0</v>
      </c>
      <c r="U270" s="458">
        <f>+'ต.ค.-มิ.ย. 61'!U270+ก.ค.!U270</f>
        <v>0</v>
      </c>
      <c r="V270" s="458">
        <f>+'ต.ค.-มิ.ย. 61'!V270+ก.ค.!V270</f>
        <v>0</v>
      </c>
    </row>
    <row r="271" spans="1:23" ht="25.5" customHeight="1">
      <c r="A271" s="9"/>
      <c r="B271" s="186"/>
      <c r="C271" s="425"/>
      <c r="D271" s="458">
        <f>+'ต.ค.-มิ.ย. 61'!D271+ก.ค.!D271</f>
        <v>0</v>
      </c>
      <c r="E271" s="458">
        <f>+'ต.ค.-มิ.ย. 61'!E271+ก.ค.!E271</f>
        <v>0</v>
      </c>
      <c r="F271" s="458">
        <f>+'ต.ค.-มิ.ย. 61'!F271+ก.ค.!F271</f>
        <v>0</v>
      </c>
      <c r="G271" s="458">
        <f>+'ต.ค.-มิ.ย. 61'!G271+ก.ค.!G271</f>
        <v>0</v>
      </c>
      <c r="H271" s="458">
        <f>+'ต.ค.-มิ.ย. 61'!H271+ก.ค.!H271</f>
        <v>0</v>
      </c>
      <c r="I271" s="458">
        <f>+'ต.ค.-มิ.ย. 61'!I271+ก.ค.!I271</f>
        <v>0</v>
      </c>
      <c r="J271" s="458">
        <f>+'ต.ค.-มิ.ย. 61'!J271+ก.ค.!J271</f>
        <v>0</v>
      </c>
      <c r="K271" s="458">
        <f>+'ต.ค.-มิ.ย. 61'!K271+ก.ค.!K271</f>
        <v>0</v>
      </c>
      <c r="L271" s="458">
        <f>+'ต.ค.-มิ.ย. 61'!L271+ก.ค.!L271</f>
        <v>0</v>
      </c>
      <c r="M271" s="458">
        <f>+'ต.ค.-มิ.ย. 61'!M271+ก.ค.!M271</f>
        <v>0</v>
      </c>
      <c r="N271" s="458">
        <f>+'ต.ค.-มิ.ย. 61'!N271+ก.ค.!N271</f>
        <v>0</v>
      </c>
      <c r="O271" s="458">
        <f>+'ต.ค.-มิ.ย. 61'!O271+ก.ค.!O271</f>
        <v>0</v>
      </c>
      <c r="P271" s="458">
        <f>+'ต.ค.-มิ.ย. 61'!P271+ก.ค.!P271</f>
        <v>0</v>
      </c>
      <c r="Q271" s="458">
        <f>+'ต.ค.-มิ.ย. 61'!Q271+ก.ค.!Q271</f>
        <v>0</v>
      </c>
      <c r="R271" s="458">
        <f>+'ต.ค.-มิ.ย. 61'!R271+ก.ค.!R271</f>
        <v>0</v>
      </c>
      <c r="S271" s="458">
        <f>+'ต.ค.-มิ.ย. 61'!S271+ก.ค.!S271</f>
        <v>0</v>
      </c>
      <c r="T271" s="458">
        <f>+'ต.ค.-มิ.ย. 61'!T271+ก.ค.!T271</f>
        <v>0</v>
      </c>
      <c r="U271" s="458">
        <f>+'ต.ค.-มิ.ย. 61'!U271+ก.ค.!U271</f>
        <v>0</v>
      </c>
      <c r="V271" s="458">
        <f>+'ต.ค.-มิ.ย. 61'!V271+ก.ค.!V271</f>
        <v>0</v>
      </c>
    </row>
    <row r="272" spans="1:23" ht="25.5" customHeight="1" thickBot="1">
      <c r="A272" s="15"/>
      <c r="B272" s="14" t="s">
        <v>5</v>
      </c>
      <c r="C272" s="411">
        <f>SUM(C264:C271)</f>
        <v>0</v>
      </c>
      <c r="D272" s="466">
        <f>SUM(D264:D271)</f>
        <v>0</v>
      </c>
      <c r="E272" s="466">
        <f t="shared" ref="E272:V272" si="14">SUM(E264:E271)</f>
        <v>0</v>
      </c>
      <c r="F272" s="466">
        <f t="shared" si="14"/>
        <v>0</v>
      </c>
      <c r="G272" s="466">
        <f t="shared" si="14"/>
        <v>0</v>
      </c>
      <c r="H272" s="466">
        <f t="shared" si="14"/>
        <v>0</v>
      </c>
      <c r="I272" s="466">
        <f t="shared" si="14"/>
        <v>0</v>
      </c>
      <c r="J272" s="466">
        <f t="shared" si="14"/>
        <v>0</v>
      </c>
      <c r="K272" s="466">
        <f t="shared" si="14"/>
        <v>0</v>
      </c>
      <c r="L272" s="466">
        <f t="shared" si="14"/>
        <v>0</v>
      </c>
      <c r="M272" s="466">
        <f t="shared" si="14"/>
        <v>0</v>
      </c>
      <c r="N272" s="466">
        <f t="shared" si="14"/>
        <v>0</v>
      </c>
      <c r="O272" s="466">
        <f t="shared" si="14"/>
        <v>0</v>
      </c>
      <c r="P272" s="466">
        <f t="shared" si="14"/>
        <v>0</v>
      </c>
      <c r="Q272" s="466">
        <f t="shared" si="14"/>
        <v>0</v>
      </c>
      <c r="R272" s="466">
        <f t="shared" si="14"/>
        <v>0</v>
      </c>
      <c r="S272" s="466">
        <f t="shared" si="14"/>
        <v>0</v>
      </c>
      <c r="T272" s="466">
        <f t="shared" si="14"/>
        <v>0</v>
      </c>
      <c r="U272" s="466">
        <f t="shared" si="14"/>
        <v>0</v>
      </c>
      <c r="V272" s="466">
        <f t="shared" si="14"/>
        <v>0</v>
      </c>
      <c r="W272" s="589">
        <f>SUM(D272:V272)</f>
        <v>0</v>
      </c>
    </row>
    <row r="273" spans="1:23" ht="25.5" customHeight="1" thickTop="1">
      <c r="A273" s="20" t="s">
        <v>24</v>
      </c>
      <c r="B273" s="23"/>
      <c r="C273" s="412"/>
      <c r="D273" s="458"/>
      <c r="E273" s="459"/>
      <c r="F273" s="460"/>
      <c r="G273" s="460"/>
      <c r="H273" s="460"/>
      <c r="I273" s="458"/>
      <c r="J273" s="458"/>
      <c r="K273" s="458"/>
      <c r="L273" s="458"/>
      <c r="M273" s="460"/>
      <c r="N273" s="458"/>
      <c r="O273" s="458"/>
      <c r="P273" s="458"/>
      <c r="Q273" s="458"/>
      <c r="R273" s="543"/>
      <c r="S273" s="542"/>
      <c r="T273" s="542"/>
      <c r="U273" s="543"/>
      <c r="V273" s="543"/>
    </row>
    <row r="274" spans="1:23" ht="25.5" customHeight="1">
      <c r="A274" s="20"/>
      <c r="B274" s="130" t="s">
        <v>406</v>
      </c>
      <c r="C274" s="413">
        <v>121500</v>
      </c>
      <c r="D274" s="442">
        <f>+'ต.ค.-ธ.ค.'!D275+'ม.ค.-มี.ค.'!D274+'เม.ย.-มิ.ย.'!D274+'ก.ค.-ก.ย.'!D274</f>
        <v>121500</v>
      </c>
      <c r="E274" s="442">
        <f>+'ต.ค.-ธ.ค.'!E275+'ม.ค.-มี.ค.'!E274+'เม.ย.-มิ.ย.'!E274+'ก.ค.-ก.ย.'!E274</f>
        <v>0</v>
      </c>
      <c r="F274" s="442">
        <f>+'ต.ค.-ธ.ค.'!F275+'ม.ค.-มี.ค.'!F274+'เม.ย.-มิ.ย.'!F274+'ก.ค.-ก.ย.'!F274</f>
        <v>0</v>
      </c>
      <c r="G274" s="442">
        <f>+'ต.ค.-ธ.ค.'!G275+'ม.ค.-มี.ค.'!G274+'เม.ย.-มิ.ย.'!G274+'ก.ค.-ก.ย.'!G274</f>
        <v>0</v>
      </c>
      <c r="H274" s="442">
        <f>+'ต.ค.-ธ.ค.'!H275+'ม.ค.-มี.ค.'!H274+'เม.ย.-มิ.ย.'!H274+'ก.ค.-ก.ย.'!H274</f>
        <v>0</v>
      </c>
      <c r="I274" s="442">
        <f>+'ต.ค.-ธ.ค.'!I275+'ม.ค.-มี.ค.'!I274+'เม.ย.-มิ.ย.'!I274+'ก.ค.-ก.ย.'!I274</f>
        <v>0</v>
      </c>
      <c r="J274" s="442">
        <f>+'ต.ค.-ธ.ค.'!J275+'ม.ค.-มี.ค.'!J274+'เม.ย.-มิ.ย.'!J274+'ก.ค.-ก.ย.'!J274</f>
        <v>0</v>
      </c>
      <c r="K274" s="442">
        <f>+'ต.ค.-ธ.ค.'!K275+'ม.ค.-มี.ค.'!K274+'เม.ย.-มิ.ย.'!K274+'ก.ค.-ก.ย.'!K274</f>
        <v>0</v>
      </c>
      <c r="L274" s="442">
        <f>+'ต.ค.-ธ.ค.'!L275+'ม.ค.-มี.ค.'!L274+'เม.ย.-มิ.ย.'!L274+'ก.ค.-ก.ย.'!L274</f>
        <v>0</v>
      </c>
      <c r="M274" s="442">
        <f>+'ต.ค.-ธ.ค.'!M275+'ม.ค.-มี.ค.'!M274+'เม.ย.-มิ.ย.'!M274+'ก.ค.-ก.ย.'!M274</f>
        <v>0</v>
      </c>
      <c r="N274" s="442">
        <f>+'ต.ค.-ธ.ค.'!N275+'ม.ค.-มี.ค.'!N274+'เม.ย.-มิ.ย.'!N274+'ก.ค.-ก.ย.'!N274</f>
        <v>0</v>
      </c>
      <c r="O274" s="442">
        <f>+'ต.ค.-ธ.ค.'!O275+'ม.ค.-มี.ค.'!O274+'เม.ย.-มิ.ย.'!O274+'ก.ค.-ก.ย.'!O274</f>
        <v>0</v>
      </c>
      <c r="P274" s="442">
        <f>+'ต.ค.-ธ.ค.'!P275+'ม.ค.-มี.ค.'!P274+'เม.ย.-มิ.ย.'!P274+'ก.ค.-ก.ย.'!P274</f>
        <v>0</v>
      </c>
      <c r="Q274" s="442">
        <f>+'ต.ค.-ธ.ค.'!Q275+'ม.ค.-มี.ค.'!Q274+'เม.ย.-มิ.ย.'!Q274+'ก.ค.-ก.ย.'!Q274</f>
        <v>0</v>
      </c>
      <c r="R274" s="442">
        <f>+'ต.ค.-ธ.ค.'!R275+'ม.ค.-มี.ค.'!R274+'เม.ย.-มิ.ย.'!R274+'ก.ค.-ก.ย.'!R274</f>
        <v>0</v>
      </c>
      <c r="S274" s="442">
        <f>+'ต.ค.-ธ.ค.'!S275+'ม.ค.-มี.ค.'!S274+'เม.ย.-มิ.ย.'!S274+'ก.ค.-ก.ย.'!S274</f>
        <v>0</v>
      </c>
      <c r="T274" s="442">
        <f>+'ต.ค.-ธ.ค.'!T275+'ม.ค.-มี.ค.'!T274+'เม.ย.-มิ.ย.'!T274+'ก.ค.-ก.ย.'!T274</f>
        <v>0</v>
      </c>
      <c r="U274" s="442">
        <f>+'ต.ค.-ธ.ค.'!U275+'ม.ค.-มี.ค.'!U274+'เม.ย.-มิ.ย.'!U274+'ก.ค.-ก.ย.'!U274</f>
        <v>0</v>
      </c>
      <c r="V274" s="442">
        <f>+'ต.ค.-ธ.ค.'!V275+'ม.ค.-มี.ค.'!V274+'เม.ย.-มิ.ย.'!V274+'ก.ค.-ก.ย.'!V274</f>
        <v>0</v>
      </c>
    </row>
    <row r="275" spans="1:23" ht="25.5" customHeight="1">
      <c r="A275" s="20"/>
      <c r="B275" s="130" t="s">
        <v>405</v>
      </c>
      <c r="C275" s="413">
        <v>105000</v>
      </c>
      <c r="D275" s="442">
        <f>+'ต.ค.-ธ.ค.'!D276+'ม.ค.-มี.ค.'!D275+'เม.ย.-มิ.ย.'!D275+'ก.ค.-ก.ย.'!D275</f>
        <v>105000</v>
      </c>
      <c r="E275" s="442">
        <f>+'ต.ค.-ธ.ค.'!E276+'ม.ค.-มี.ค.'!E275+'เม.ย.-มิ.ย.'!E275+'ก.ค.-ก.ย.'!E275</f>
        <v>0</v>
      </c>
      <c r="F275" s="442">
        <f>+'ต.ค.-ธ.ค.'!F276+'ม.ค.-มี.ค.'!F275+'เม.ย.-มิ.ย.'!F275+'ก.ค.-ก.ย.'!F275</f>
        <v>0</v>
      </c>
      <c r="G275" s="442">
        <f>+'ต.ค.-ธ.ค.'!G276+'ม.ค.-มี.ค.'!G275+'เม.ย.-มิ.ย.'!G275+'ก.ค.-ก.ย.'!G275</f>
        <v>0</v>
      </c>
      <c r="H275" s="442">
        <f>+'ต.ค.-ธ.ค.'!H276+'ม.ค.-มี.ค.'!H275+'เม.ย.-มิ.ย.'!H275+'ก.ค.-ก.ย.'!H275</f>
        <v>0</v>
      </c>
      <c r="I275" s="442">
        <f>+'ต.ค.-ธ.ค.'!I276+'ม.ค.-มี.ค.'!I275+'เม.ย.-มิ.ย.'!I275+'ก.ค.-ก.ย.'!I275</f>
        <v>0</v>
      </c>
      <c r="J275" s="442">
        <f>+'ต.ค.-ธ.ค.'!J276+'ม.ค.-มี.ค.'!J275+'เม.ย.-มิ.ย.'!J275+'ก.ค.-ก.ย.'!J275</f>
        <v>0</v>
      </c>
      <c r="K275" s="442">
        <f>+'ต.ค.-ธ.ค.'!K276+'ม.ค.-มี.ค.'!K275+'เม.ย.-มิ.ย.'!K275+'ก.ค.-ก.ย.'!K275</f>
        <v>0</v>
      </c>
      <c r="L275" s="442">
        <f>+'ต.ค.-ธ.ค.'!L276+'ม.ค.-มี.ค.'!L275+'เม.ย.-มิ.ย.'!L275+'ก.ค.-ก.ย.'!L275</f>
        <v>0</v>
      </c>
      <c r="M275" s="442">
        <f>+'ต.ค.-ธ.ค.'!M276+'ม.ค.-มี.ค.'!M275+'เม.ย.-มิ.ย.'!M275+'ก.ค.-ก.ย.'!M275</f>
        <v>0</v>
      </c>
      <c r="N275" s="442">
        <f>+'ต.ค.-ธ.ค.'!N276+'ม.ค.-มี.ค.'!N275+'เม.ย.-มิ.ย.'!N275+'ก.ค.-ก.ย.'!N275</f>
        <v>0</v>
      </c>
      <c r="O275" s="442">
        <f>+'ต.ค.-ธ.ค.'!O276+'ม.ค.-มี.ค.'!O275+'เม.ย.-มิ.ย.'!O275+'ก.ค.-ก.ย.'!O275</f>
        <v>0</v>
      </c>
      <c r="P275" s="442">
        <f>+'ต.ค.-ธ.ค.'!P276+'ม.ค.-มี.ค.'!P275+'เม.ย.-มิ.ย.'!P275+'ก.ค.-ก.ย.'!P275</f>
        <v>0</v>
      </c>
      <c r="Q275" s="442">
        <f>+'ต.ค.-ธ.ค.'!Q276+'ม.ค.-มี.ค.'!Q275+'เม.ย.-มิ.ย.'!Q275+'ก.ค.-ก.ย.'!Q275</f>
        <v>0</v>
      </c>
      <c r="R275" s="442">
        <f>+'ต.ค.-ธ.ค.'!R276+'ม.ค.-มี.ค.'!R275+'เม.ย.-มิ.ย.'!R275+'ก.ค.-ก.ย.'!R275</f>
        <v>0</v>
      </c>
      <c r="S275" s="442">
        <f>+'ต.ค.-ธ.ค.'!S276+'ม.ค.-มี.ค.'!S275+'เม.ย.-มิ.ย.'!S275+'ก.ค.-ก.ย.'!S275</f>
        <v>0</v>
      </c>
      <c r="T275" s="442">
        <f>+'ต.ค.-ธ.ค.'!T276+'ม.ค.-มี.ค.'!T275+'เม.ย.-มิ.ย.'!T275+'ก.ค.-ก.ย.'!T275</f>
        <v>0</v>
      </c>
      <c r="U275" s="442">
        <f>+'ต.ค.-ธ.ค.'!U276+'ม.ค.-มี.ค.'!U275+'เม.ย.-มิ.ย.'!U275+'ก.ค.-ก.ย.'!U275</f>
        <v>0</v>
      </c>
      <c r="V275" s="442">
        <f>+'ต.ค.-ธ.ค.'!V276+'ม.ค.-มี.ค.'!V275+'เม.ย.-มิ.ย.'!V275+'ก.ค.-ก.ย.'!V275</f>
        <v>0</v>
      </c>
    </row>
    <row r="276" spans="1:23" ht="25.5" customHeight="1" thickBot="1">
      <c r="A276" s="15"/>
      <c r="B276" s="14" t="s">
        <v>5</v>
      </c>
      <c r="C276" s="411">
        <f>SUM(C274:C275)</f>
        <v>226500</v>
      </c>
      <c r="D276" s="466">
        <f>SUM(D274:D275)</f>
        <v>226500</v>
      </c>
      <c r="E276" s="466">
        <f t="shared" ref="E276:V276" si="15">SUM(E274:E275)</f>
        <v>0</v>
      </c>
      <c r="F276" s="466">
        <f t="shared" si="15"/>
        <v>0</v>
      </c>
      <c r="G276" s="466">
        <f t="shared" si="15"/>
        <v>0</v>
      </c>
      <c r="H276" s="466">
        <f t="shared" si="15"/>
        <v>0</v>
      </c>
      <c r="I276" s="466">
        <f t="shared" si="15"/>
        <v>0</v>
      </c>
      <c r="J276" s="466">
        <f t="shared" si="15"/>
        <v>0</v>
      </c>
      <c r="K276" s="466">
        <f t="shared" si="15"/>
        <v>0</v>
      </c>
      <c r="L276" s="466">
        <f t="shared" si="15"/>
        <v>0</v>
      </c>
      <c r="M276" s="466">
        <f t="shared" si="15"/>
        <v>0</v>
      </c>
      <c r="N276" s="466">
        <f t="shared" si="15"/>
        <v>0</v>
      </c>
      <c r="O276" s="466">
        <f t="shared" si="15"/>
        <v>0</v>
      </c>
      <c r="P276" s="466">
        <f t="shared" si="15"/>
        <v>0</v>
      </c>
      <c r="Q276" s="466">
        <f t="shared" si="15"/>
        <v>0</v>
      </c>
      <c r="R276" s="466">
        <f t="shared" si="15"/>
        <v>0</v>
      </c>
      <c r="S276" s="466">
        <f t="shared" si="15"/>
        <v>0</v>
      </c>
      <c r="T276" s="466">
        <f t="shared" si="15"/>
        <v>0</v>
      </c>
      <c r="U276" s="466">
        <f t="shared" si="15"/>
        <v>0</v>
      </c>
      <c r="V276" s="466">
        <f t="shared" si="15"/>
        <v>0</v>
      </c>
      <c r="W276" s="589">
        <f>SUM(D276:V276)</f>
        <v>226500</v>
      </c>
    </row>
    <row r="277" spans="1:23" ht="25.5" customHeight="1" thickTop="1">
      <c r="A277" s="20" t="s">
        <v>44</v>
      </c>
      <c r="B277" s="23"/>
      <c r="C277" s="427"/>
      <c r="D277" s="458"/>
      <c r="E277" s="459"/>
      <c r="F277" s="460"/>
      <c r="G277" s="460"/>
      <c r="H277" s="460"/>
      <c r="I277" s="458"/>
      <c r="J277" s="458"/>
      <c r="K277" s="458"/>
      <c r="L277" s="458"/>
      <c r="M277" s="460"/>
      <c r="N277" s="458"/>
      <c r="O277" s="458"/>
      <c r="P277" s="458"/>
      <c r="Q277" s="458"/>
      <c r="R277" s="543"/>
      <c r="S277" s="542"/>
      <c r="T277" s="542"/>
      <c r="U277" s="543"/>
      <c r="V277" s="543"/>
    </row>
    <row r="278" spans="1:23" ht="25.5" customHeight="1">
      <c r="A278" s="20"/>
      <c r="B278" s="185" t="s">
        <v>420</v>
      </c>
      <c r="C278" s="413">
        <v>20000</v>
      </c>
      <c r="D278" s="458">
        <f>+'ต.ค.-มิ.ย. 61'!D278+ก.ค.!D278</f>
        <v>20000</v>
      </c>
      <c r="E278" s="458">
        <f>+'ต.ค.-มิ.ย. 61'!E278+ก.ค.!E278</f>
        <v>0</v>
      </c>
      <c r="F278" s="458">
        <f>+'ต.ค.-มิ.ย. 61'!F278+ก.ค.!F278</f>
        <v>0</v>
      </c>
      <c r="G278" s="458">
        <f>+'ต.ค.-มิ.ย. 61'!G278+ก.ค.!G278</f>
        <v>0</v>
      </c>
      <c r="H278" s="458">
        <f>+'ต.ค.-มิ.ย. 61'!H278+ก.ค.!H278</f>
        <v>0</v>
      </c>
      <c r="I278" s="458">
        <f>+'ต.ค.-มิ.ย. 61'!I278+ก.ค.!I278</f>
        <v>0</v>
      </c>
      <c r="J278" s="458">
        <f>+'ต.ค.-มิ.ย. 61'!J278+ก.ค.!J278</f>
        <v>0</v>
      </c>
      <c r="K278" s="458">
        <f>+'ต.ค.-มิ.ย. 61'!K278+ก.ค.!K278</f>
        <v>0</v>
      </c>
      <c r="L278" s="458">
        <f>+'ต.ค.-มิ.ย. 61'!L278+ก.ค.!L278</f>
        <v>0</v>
      </c>
      <c r="M278" s="458">
        <f>+'ต.ค.-มิ.ย. 61'!M278+ก.ค.!M278</f>
        <v>0</v>
      </c>
      <c r="N278" s="458">
        <f>+'ต.ค.-มิ.ย. 61'!N278+ก.ค.!N278</f>
        <v>0</v>
      </c>
      <c r="O278" s="458">
        <f>+'ต.ค.-มิ.ย. 61'!O278+ก.ค.!O278</f>
        <v>0</v>
      </c>
      <c r="P278" s="458">
        <f>+'ต.ค.-มิ.ย. 61'!P278+ก.ค.!P278</f>
        <v>0</v>
      </c>
      <c r="Q278" s="458">
        <f>+'ต.ค.-มิ.ย. 61'!Q278+ก.ค.!Q278</f>
        <v>0</v>
      </c>
      <c r="R278" s="458">
        <f>+'ต.ค.-มิ.ย. 61'!R278+ก.ค.!R278</f>
        <v>0</v>
      </c>
      <c r="S278" s="458">
        <f>+'ต.ค.-มิ.ย. 61'!S278+ก.ค.!S278</f>
        <v>0</v>
      </c>
      <c r="T278" s="458">
        <f>+'ต.ค.-มิ.ย. 61'!T278+ก.ค.!T278</f>
        <v>0</v>
      </c>
      <c r="U278" s="458">
        <f>+'ต.ค.-มิ.ย. 61'!U278+ก.ค.!U278</f>
        <v>0</v>
      </c>
      <c r="V278" s="458">
        <f>+'ต.ค.-มิ.ย. 61'!V278+ก.ค.!V278</f>
        <v>0</v>
      </c>
    </row>
    <row r="279" spans="1:23" ht="25.5" customHeight="1">
      <c r="A279" s="20"/>
      <c r="B279" s="185"/>
      <c r="C279" s="412"/>
      <c r="D279" s="458"/>
      <c r="E279" s="459"/>
      <c r="F279" s="460"/>
      <c r="G279" s="460"/>
      <c r="H279" s="460"/>
      <c r="I279" s="458"/>
      <c r="J279" s="458"/>
      <c r="K279" s="458"/>
      <c r="L279" s="458"/>
      <c r="M279" s="460"/>
      <c r="N279" s="458"/>
      <c r="O279" s="458"/>
      <c r="P279" s="458"/>
      <c r="Q279" s="458"/>
      <c r="R279" s="543"/>
      <c r="S279" s="542"/>
      <c r="T279" s="542"/>
      <c r="U279" s="543"/>
      <c r="V279" s="543"/>
    </row>
    <row r="280" spans="1:23" ht="25.5" customHeight="1" thickBot="1">
      <c r="A280" s="15"/>
      <c r="B280" s="53" t="s">
        <v>5</v>
      </c>
      <c r="C280" s="428">
        <f>SUM(C278:C279)</f>
        <v>20000</v>
      </c>
      <c r="D280" s="466">
        <f>SUM(D278:D279)</f>
        <v>20000</v>
      </c>
      <c r="E280" s="467">
        <f t="shared" ref="E280:V280" si="16">SUM(E278:E279)</f>
        <v>0</v>
      </c>
      <c r="F280" s="467">
        <f t="shared" si="16"/>
        <v>0</v>
      </c>
      <c r="G280" s="467">
        <f t="shared" si="16"/>
        <v>0</v>
      </c>
      <c r="H280" s="467">
        <f t="shared" si="16"/>
        <v>0</v>
      </c>
      <c r="I280" s="466">
        <f t="shared" si="16"/>
        <v>0</v>
      </c>
      <c r="J280" s="466">
        <f t="shared" si="16"/>
        <v>0</v>
      </c>
      <c r="K280" s="466">
        <f t="shared" si="16"/>
        <v>0</v>
      </c>
      <c r="L280" s="466">
        <f t="shared" si="16"/>
        <v>0</v>
      </c>
      <c r="M280" s="467">
        <f t="shared" si="16"/>
        <v>0</v>
      </c>
      <c r="N280" s="466">
        <f t="shared" si="16"/>
        <v>0</v>
      </c>
      <c r="O280" s="466">
        <f t="shared" si="16"/>
        <v>0</v>
      </c>
      <c r="P280" s="466">
        <f t="shared" si="16"/>
        <v>0</v>
      </c>
      <c r="Q280" s="466">
        <f t="shared" si="16"/>
        <v>0</v>
      </c>
      <c r="R280" s="466">
        <f t="shared" si="16"/>
        <v>0</v>
      </c>
      <c r="S280" s="466">
        <f t="shared" si="16"/>
        <v>0</v>
      </c>
      <c r="T280" s="466"/>
      <c r="U280" s="466">
        <f t="shared" si="16"/>
        <v>0</v>
      </c>
      <c r="V280" s="466">
        <f t="shared" si="16"/>
        <v>0</v>
      </c>
      <c r="W280" s="589">
        <f>SUM(D280:V280)</f>
        <v>20000</v>
      </c>
    </row>
    <row r="281" spans="1:23" ht="25.5" customHeight="1" thickTop="1">
      <c r="A281" s="20" t="s">
        <v>276</v>
      </c>
      <c r="B281" s="23"/>
      <c r="C281" s="427"/>
      <c r="D281" s="458"/>
      <c r="E281" s="459"/>
      <c r="F281" s="460"/>
      <c r="G281" s="460"/>
      <c r="H281" s="460"/>
      <c r="I281" s="458"/>
      <c r="J281" s="458"/>
      <c r="K281" s="458"/>
      <c r="L281" s="458"/>
      <c r="M281" s="460"/>
      <c r="N281" s="458"/>
      <c r="O281" s="458"/>
      <c r="P281" s="458"/>
      <c r="Q281" s="458"/>
      <c r="R281" s="543"/>
      <c r="S281" s="542"/>
      <c r="T281" s="542"/>
      <c r="U281" s="543"/>
      <c r="V281" s="543"/>
    </row>
    <row r="282" spans="1:23" ht="25.5" customHeight="1">
      <c r="A282" s="20"/>
      <c r="B282" s="185" t="s">
        <v>226</v>
      </c>
      <c r="C282" s="413">
        <f>+'ต.ค. '!E284+'ต.ค. '!F284+'ต.ค. '!H284+'ต.ค. '!M284</f>
        <v>37500</v>
      </c>
      <c r="D282" s="458">
        <f>+'ต.ค.-ธ.ค.'!D283+'ม.ค.-มี.ค.'!D282+'เม.ย.-มิ.ย.'!D282+'ก.ค.-ก.ย.'!D287</f>
        <v>0</v>
      </c>
      <c r="E282" s="458">
        <f>+'ต.ค.-ธ.ค.'!E283+'ม.ค.-มี.ค.'!E282+'เม.ย.-มิ.ย.'!E282+'ก.ค.-ก.ย.'!E287</f>
        <v>128250</v>
      </c>
      <c r="F282" s="458">
        <f>+'ต.ค.-ธ.ค.'!F283+'ม.ค.-มี.ค.'!F282+'เม.ย.-มิ.ย.'!F282+'ก.ค.-ก.ย.'!F287</f>
        <v>15500</v>
      </c>
      <c r="G282" s="458">
        <f>+'ต.ค.-ธ.ค.'!G283+'ม.ค.-มี.ค.'!G282+'เม.ย.-มิ.ย.'!G282+'ก.ค.-ก.ย.'!G287</f>
        <v>0</v>
      </c>
      <c r="H282" s="458">
        <f>+'ต.ค.-ธ.ค.'!H283+'ม.ค.-มี.ค.'!H282+'เม.ย.-มิ.ย.'!H282+'ก.ค.-ก.ย.'!H287</f>
        <v>56000</v>
      </c>
      <c r="I282" s="458">
        <f>+'ต.ค.-ธ.ค.'!I283+'ม.ค.-มี.ค.'!I282+'เม.ย.-มิ.ย.'!I282+'ก.ค.-ก.ย.'!I287</f>
        <v>0</v>
      </c>
      <c r="J282" s="458">
        <f>+'ต.ค.-ธ.ค.'!J283+'ม.ค.-มี.ค.'!J282+'เม.ย.-มิ.ย.'!J282+'ก.ค.-ก.ย.'!J287</f>
        <v>0</v>
      </c>
      <c r="K282" s="458">
        <f>+'ต.ค.-ธ.ค.'!K283+'ม.ค.-มี.ค.'!K282+'เม.ย.-มิ.ย.'!K282+'ก.ค.-ก.ย.'!K287</f>
        <v>0</v>
      </c>
      <c r="L282" s="458">
        <f>+'ต.ค.-ธ.ค.'!L283+'ม.ค.-มี.ค.'!L282+'เม.ย.-มิ.ย.'!L282+'ก.ค.-ก.ย.'!L287</f>
        <v>0</v>
      </c>
      <c r="M282" s="458">
        <f>+'ต.ค.-ธ.ค.'!M283+'ม.ค.-มี.ค.'!M282+'เม.ย.-มิ.ย.'!M282+'ก.ค.-ก.ย.'!M287</f>
        <v>36500</v>
      </c>
      <c r="N282" s="458">
        <f>+'ต.ค.-ธ.ค.'!N283+'ม.ค.-มี.ค.'!N282+'เม.ย.-มิ.ย.'!N282+'ก.ค.-ก.ย.'!N287</f>
        <v>0</v>
      </c>
      <c r="O282" s="458">
        <f>+'ต.ค.-ธ.ค.'!O283+'ม.ค.-มี.ค.'!O282+'เม.ย.-มิ.ย.'!O282+'ก.ค.-ก.ย.'!O287</f>
        <v>0</v>
      </c>
      <c r="P282" s="458">
        <f>+'ต.ค.-ธ.ค.'!P283+'ม.ค.-มี.ค.'!P282+'เม.ย.-มิ.ย.'!P282+'ก.ค.-ก.ย.'!P287</f>
        <v>0</v>
      </c>
      <c r="Q282" s="458">
        <f>+'ต.ค.-ธ.ค.'!Q283+'ม.ค.-มี.ค.'!Q282+'เม.ย.-มิ.ย.'!Q282+'ก.ค.-ก.ย.'!Q287</f>
        <v>0</v>
      </c>
      <c r="R282" s="458">
        <f>+'ต.ค.-ธ.ค.'!R283+'ม.ค.-มี.ค.'!R282+'เม.ย.-มิ.ย.'!R282+'ก.ค.-ก.ย.'!R287</f>
        <v>0</v>
      </c>
      <c r="S282" s="458">
        <f>+'ต.ค.-ธ.ค.'!S283+'ม.ค.-มี.ค.'!S282+'เม.ย.-มิ.ย.'!S282+'ก.ค.-ก.ย.'!S287</f>
        <v>0</v>
      </c>
      <c r="T282" s="458">
        <f>+'ต.ค.-ธ.ค.'!T283+'ม.ค.-มี.ค.'!T282+'เม.ย.-มิ.ย.'!T282+'ก.ค.-ก.ย.'!T287</f>
        <v>0</v>
      </c>
      <c r="U282" s="458">
        <f>+'ต.ค.-ธ.ค.'!U283+'ม.ค.-มี.ค.'!U282+'เม.ย.-มิ.ย.'!U282+'ก.ค.-ก.ย.'!U287</f>
        <v>0</v>
      </c>
      <c r="V282" s="458">
        <f>+'ต.ค.-ธ.ค.'!V283+'ม.ค.-มี.ค.'!V282+'เม.ย.-มิ.ย.'!V282+'ก.ค.-ก.ย.'!V287</f>
        <v>0</v>
      </c>
    </row>
    <row r="283" spans="1:23" ht="25.5" customHeight="1">
      <c r="A283" s="20"/>
      <c r="B283" s="185" t="s">
        <v>233</v>
      </c>
      <c r="C283" s="429">
        <v>7500</v>
      </c>
      <c r="D283" s="458">
        <f>+'ต.ค.-ธ.ค.'!D284+'ม.ค.-มี.ค.'!D283+'เม.ย.-มิ.ย.'!D283+'ก.ค.-ก.ย.'!D288</f>
        <v>0</v>
      </c>
      <c r="E283" s="458">
        <f>+'ต.ค.-ธ.ค.'!E284+'ม.ค.-มี.ค.'!E283+'เม.ย.-มิ.ย.'!E283+'ก.ค.-ก.ย.'!E288</f>
        <v>7500</v>
      </c>
      <c r="F283" s="458">
        <f>+'ต.ค.-ธ.ค.'!F284+'ม.ค.-มี.ค.'!F283+'เม.ย.-มิ.ย.'!F283+'ก.ค.-ก.ย.'!F288</f>
        <v>0</v>
      </c>
      <c r="G283" s="458">
        <f>+'ต.ค.-ธ.ค.'!G284+'ม.ค.-มี.ค.'!G283+'เม.ย.-มิ.ย.'!G283+'ก.ค.-ก.ย.'!G288</f>
        <v>0</v>
      </c>
      <c r="H283" s="458">
        <f>+'ต.ค.-ธ.ค.'!H284+'ม.ค.-มี.ค.'!H283+'เม.ย.-มิ.ย.'!H283+'ก.ค.-ก.ย.'!H288</f>
        <v>0</v>
      </c>
      <c r="I283" s="458">
        <f>+'ต.ค.-ธ.ค.'!I284+'ม.ค.-มี.ค.'!I283+'เม.ย.-มิ.ย.'!I283+'ก.ค.-ก.ย.'!I288</f>
        <v>0</v>
      </c>
      <c r="J283" s="458">
        <f>+'ต.ค.-ธ.ค.'!J284+'ม.ค.-มี.ค.'!J283+'เม.ย.-มิ.ย.'!J283+'ก.ค.-ก.ย.'!J288</f>
        <v>0</v>
      </c>
      <c r="K283" s="458">
        <f>+'ต.ค.-ธ.ค.'!K284+'ม.ค.-มี.ค.'!K283+'เม.ย.-มิ.ย.'!K283+'ก.ค.-ก.ย.'!K288</f>
        <v>0</v>
      </c>
      <c r="L283" s="458">
        <f>+'ต.ค.-ธ.ค.'!L284+'ม.ค.-มี.ค.'!L283+'เม.ย.-มิ.ย.'!L283+'ก.ค.-ก.ย.'!L288</f>
        <v>0</v>
      </c>
      <c r="M283" s="458">
        <f>+'ต.ค.-ธ.ค.'!M284+'ม.ค.-มี.ค.'!M283+'เม.ย.-มิ.ย.'!M283+'ก.ค.-ก.ย.'!M288</f>
        <v>0</v>
      </c>
      <c r="N283" s="458">
        <f>+'ต.ค.-ธ.ค.'!N284+'ม.ค.-มี.ค.'!N283+'เม.ย.-มิ.ย.'!N283+'ก.ค.-ก.ย.'!N288</f>
        <v>0</v>
      </c>
      <c r="O283" s="458">
        <f>+'ต.ค.-ธ.ค.'!O284+'ม.ค.-มี.ค.'!O283+'เม.ย.-มิ.ย.'!O283+'ก.ค.-ก.ย.'!O288</f>
        <v>0</v>
      </c>
      <c r="P283" s="458">
        <f>+'ต.ค.-ธ.ค.'!P284+'ม.ค.-มี.ค.'!P283+'เม.ย.-มิ.ย.'!P283+'ก.ค.-ก.ย.'!P288</f>
        <v>0</v>
      </c>
      <c r="Q283" s="458">
        <f>+'ต.ค.-ธ.ค.'!Q284+'ม.ค.-มี.ค.'!Q283+'เม.ย.-มิ.ย.'!Q283+'ก.ค.-ก.ย.'!Q288</f>
        <v>0</v>
      </c>
      <c r="R283" s="458">
        <f>+'ต.ค.-ธ.ค.'!R284+'ม.ค.-มี.ค.'!R283+'เม.ย.-มิ.ย.'!R283+'ก.ค.-ก.ย.'!R288</f>
        <v>0</v>
      </c>
      <c r="S283" s="458">
        <f>+'ต.ค.-ธ.ค.'!S284+'ม.ค.-มี.ค.'!S283+'เม.ย.-มิ.ย.'!S283+'ก.ค.-ก.ย.'!S288</f>
        <v>0</v>
      </c>
      <c r="T283" s="458">
        <f>+'ต.ค.-ธ.ค.'!T284+'ม.ค.-มี.ค.'!T283+'เม.ย.-มิ.ย.'!T283+'ก.ค.-ก.ย.'!T288</f>
        <v>0</v>
      </c>
      <c r="U283" s="458">
        <f>+'ต.ค.-ธ.ค.'!U284+'ม.ค.-มี.ค.'!U283+'เม.ย.-มิ.ย.'!U283+'ก.ค.-ก.ย.'!U288</f>
        <v>0</v>
      </c>
      <c r="V283" s="458">
        <f>+'ต.ค.-ธ.ค.'!V284+'ม.ค.-มี.ค.'!V283+'เม.ย.-มิ.ย.'!V283+'ก.ค.-ก.ย.'!V288</f>
        <v>0</v>
      </c>
    </row>
    <row r="284" spans="1:23" ht="25.5" customHeight="1">
      <c r="A284" s="20"/>
      <c r="B284" s="274" t="s">
        <v>378</v>
      </c>
      <c r="C284" s="429">
        <v>37500</v>
      </c>
      <c r="D284" s="458">
        <f>+'ต.ค.-ธ.ค.'!D285+'ม.ค.-มี.ค.'!D284+'เม.ย.-มิ.ย.'!D284+'ก.ค.-ก.ย.'!D289</f>
        <v>0</v>
      </c>
      <c r="E284" s="458">
        <f>+'ต.ค.-ธ.ค.'!E285+'ม.ค.-มี.ค.'!E284+'เม.ย.-มิ.ย.'!E284+'ก.ค.-ก.ย.'!E289</f>
        <v>37500</v>
      </c>
      <c r="F284" s="458">
        <f>+'ต.ค.-ธ.ค.'!F285+'ม.ค.-มี.ค.'!F284+'เม.ย.-มิ.ย.'!F284+'ก.ค.-ก.ย.'!F289</f>
        <v>0</v>
      </c>
      <c r="G284" s="458">
        <f>+'ต.ค.-ธ.ค.'!G285+'ม.ค.-มี.ค.'!G284+'เม.ย.-มิ.ย.'!G284+'ก.ค.-ก.ย.'!G289</f>
        <v>0</v>
      </c>
      <c r="H284" s="458">
        <f>+'ต.ค.-ธ.ค.'!H285+'ม.ค.-มี.ค.'!H284+'เม.ย.-มิ.ย.'!H284+'ก.ค.-ก.ย.'!H289</f>
        <v>0</v>
      </c>
      <c r="I284" s="458">
        <f>+'ต.ค.-ธ.ค.'!I285+'ม.ค.-มี.ค.'!I284+'เม.ย.-มิ.ย.'!I284+'ก.ค.-ก.ย.'!I289</f>
        <v>0</v>
      </c>
      <c r="J284" s="458">
        <f>+'ต.ค.-ธ.ค.'!J285+'ม.ค.-มี.ค.'!J284+'เม.ย.-มิ.ย.'!J284+'ก.ค.-ก.ย.'!J289</f>
        <v>0</v>
      </c>
      <c r="K284" s="458">
        <f>+'ต.ค.-ธ.ค.'!K285+'ม.ค.-มี.ค.'!K284+'เม.ย.-มิ.ย.'!K284+'ก.ค.-ก.ย.'!K289</f>
        <v>0</v>
      </c>
      <c r="L284" s="458">
        <f>+'ต.ค.-ธ.ค.'!L285+'ม.ค.-มี.ค.'!L284+'เม.ย.-มิ.ย.'!L284+'ก.ค.-ก.ย.'!L289</f>
        <v>0</v>
      </c>
      <c r="M284" s="458">
        <f>+'ต.ค.-ธ.ค.'!M285+'ม.ค.-มี.ค.'!M284+'เม.ย.-มิ.ย.'!M284+'ก.ค.-ก.ย.'!M289</f>
        <v>0</v>
      </c>
      <c r="N284" s="458">
        <f>+'ต.ค.-ธ.ค.'!N285+'ม.ค.-มี.ค.'!N284+'เม.ย.-มิ.ย.'!N284+'ก.ค.-ก.ย.'!N289</f>
        <v>0</v>
      </c>
      <c r="O284" s="458">
        <f>+'ต.ค.-ธ.ค.'!O285+'ม.ค.-มี.ค.'!O284+'เม.ย.-มิ.ย.'!O284+'ก.ค.-ก.ย.'!O289</f>
        <v>0</v>
      </c>
      <c r="P284" s="458">
        <f>+'ต.ค.-ธ.ค.'!P285+'ม.ค.-มี.ค.'!P284+'เม.ย.-มิ.ย.'!P284+'ก.ค.-ก.ย.'!P289</f>
        <v>0</v>
      </c>
      <c r="Q284" s="458">
        <f>+'ต.ค.-ธ.ค.'!Q285+'ม.ค.-มี.ค.'!Q284+'เม.ย.-มิ.ย.'!Q284+'ก.ค.-ก.ย.'!Q289</f>
        <v>0</v>
      </c>
      <c r="R284" s="458">
        <f>+'ต.ค.-ธ.ค.'!R285+'ม.ค.-มี.ค.'!R284+'เม.ย.-มิ.ย.'!R284+'ก.ค.-ก.ย.'!R289</f>
        <v>0</v>
      </c>
      <c r="S284" s="458">
        <f>+'ต.ค.-ธ.ค.'!S285+'ม.ค.-มี.ค.'!S284+'เม.ย.-มิ.ย.'!S284+'ก.ค.-ก.ย.'!S289</f>
        <v>0</v>
      </c>
      <c r="T284" s="458">
        <f>+'ต.ค.-ธ.ค.'!T285+'ม.ค.-มี.ค.'!T284+'เม.ย.-มิ.ย.'!T284+'ก.ค.-ก.ย.'!T289</f>
        <v>0</v>
      </c>
      <c r="U284" s="458">
        <f>+'ต.ค.-ธ.ค.'!U285+'ม.ค.-มี.ค.'!U284+'เม.ย.-มิ.ย.'!U284+'ก.ค.-ก.ย.'!U289</f>
        <v>0</v>
      </c>
      <c r="V284" s="458">
        <f>+'ต.ค.-ธ.ค.'!V285+'ม.ค.-มี.ค.'!V284+'เม.ย.-มิ.ย.'!V284+'ก.ค.-ก.ย.'!V289</f>
        <v>0</v>
      </c>
    </row>
    <row r="285" spans="1:23" ht="25.5" customHeight="1">
      <c r="A285" s="20"/>
      <c r="B285" s="185" t="s">
        <v>379</v>
      </c>
      <c r="C285" s="429">
        <v>10000</v>
      </c>
      <c r="D285" s="458">
        <f>+'ต.ค.-ธ.ค.'!D286+'ม.ค.-มี.ค.'!D285+'เม.ย.-มิ.ย.'!D285+'ก.ค.-ก.ย.'!D290</f>
        <v>0</v>
      </c>
      <c r="E285" s="458">
        <f>+'ต.ค.-ธ.ค.'!E286+'ม.ค.-มี.ค.'!E285+'เม.ย.-มิ.ย.'!E285+'ก.ค.-ก.ย.'!E290</f>
        <v>10000</v>
      </c>
      <c r="F285" s="458">
        <f>+'ต.ค.-ธ.ค.'!F286+'ม.ค.-มี.ค.'!F285+'เม.ย.-มิ.ย.'!F285+'ก.ค.-ก.ย.'!F290</f>
        <v>0</v>
      </c>
      <c r="G285" s="458">
        <f>+'ต.ค.-ธ.ค.'!G286+'ม.ค.-มี.ค.'!G285+'เม.ย.-มิ.ย.'!G285+'ก.ค.-ก.ย.'!G290</f>
        <v>0</v>
      </c>
      <c r="H285" s="458">
        <f>+'ต.ค.-ธ.ค.'!H286+'ม.ค.-มี.ค.'!H285+'เม.ย.-มิ.ย.'!H285+'ก.ค.-ก.ย.'!H290</f>
        <v>0</v>
      </c>
      <c r="I285" s="458">
        <f>+'ต.ค.-ธ.ค.'!I286+'ม.ค.-มี.ค.'!I285+'เม.ย.-มิ.ย.'!I285+'ก.ค.-ก.ย.'!I290</f>
        <v>0</v>
      </c>
      <c r="J285" s="458">
        <f>+'ต.ค.-ธ.ค.'!J286+'ม.ค.-มี.ค.'!J285+'เม.ย.-มิ.ย.'!J285+'ก.ค.-ก.ย.'!J290</f>
        <v>0</v>
      </c>
      <c r="K285" s="458">
        <f>+'ต.ค.-ธ.ค.'!K286+'ม.ค.-มี.ค.'!K285+'เม.ย.-มิ.ย.'!K285+'ก.ค.-ก.ย.'!K290</f>
        <v>0</v>
      </c>
      <c r="L285" s="458">
        <f>+'ต.ค.-ธ.ค.'!L286+'ม.ค.-มี.ค.'!L285+'เม.ย.-มิ.ย.'!L285+'ก.ค.-ก.ย.'!L290</f>
        <v>0</v>
      </c>
      <c r="M285" s="458">
        <f>+'ต.ค.-ธ.ค.'!M286+'ม.ค.-มี.ค.'!M285+'เม.ย.-มิ.ย.'!M285+'ก.ค.-ก.ย.'!M290</f>
        <v>0</v>
      </c>
      <c r="N285" s="458">
        <f>+'ต.ค.-ธ.ค.'!N286+'ม.ค.-มี.ค.'!N285+'เม.ย.-มิ.ย.'!N285+'ก.ค.-ก.ย.'!N290</f>
        <v>0</v>
      </c>
      <c r="O285" s="458">
        <f>+'ต.ค.-ธ.ค.'!O286+'ม.ค.-มี.ค.'!O285+'เม.ย.-มิ.ย.'!O285+'ก.ค.-ก.ย.'!O290</f>
        <v>0</v>
      </c>
      <c r="P285" s="458">
        <f>+'ต.ค.-ธ.ค.'!P286+'ม.ค.-มี.ค.'!P285+'เม.ย.-มิ.ย.'!P285+'ก.ค.-ก.ย.'!P290</f>
        <v>0</v>
      </c>
      <c r="Q285" s="458">
        <f>+'ต.ค.-ธ.ค.'!Q286+'ม.ค.-มี.ค.'!Q285+'เม.ย.-มิ.ย.'!Q285+'ก.ค.-ก.ย.'!Q290</f>
        <v>0</v>
      </c>
      <c r="R285" s="458">
        <f>+'ต.ค.-ธ.ค.'!R286+'ม.ค.-มี.ค.'!R285+'เม.ย.-มิ.ย.'!R285+'ก.ค.-ก.ย.'!R290</f>
        <v>0</v>
      </c>
      <c r="S285" s="458">
        <f>+'ต.ค.-ธ.ค.'!S286+'ม.ค.-มี.ค.'!S285+'เม.ย.-มิ.ย.'!S285+'ก.ค.-ก.ย.'!S290</f>
        <v>0</v>
      </c>
      <c r="T285" s="458">
        <f>+'ต.ค.-ธ.ค.'!T286+'ม.ค.-มี.ค.'!T285+'เม.ย.-มิ.ย.'!T285+'ก.ค.-ก.ย.'!T290</f>
        <v>0</v>
      </c>
      <c r="U285" s="458">
        <f>+'ต.ค.-ธ.ค.'!U286+'ม.ค.-มี.ค.'!U285+'เม.ย.-มิ.ย.'!U285+'ก.ค.-ก.ย.'!U290</f>
        <v>0</v>
      </c>
      <c r="V285" s="458">
        <f>+'ต.ค.-ธ.ค.'!V286+'ม.ค.-มี.ค.'!V285+'เม.ย.-มิ.ย.'!V285+'ก.ค.-ก.ย.'!V290</f>
        <v>0</v>
      </c>
    </row>
    <row r="286" spans="1:23" ht="25.5" customHeight="1">
      <c r="A286" s="20"/>
      <c r="B286" s="185" t="s">
        <v>382</v>
      </c>
      <c r="C286" s="429">
        <v>1950</v>
      </c>
      <c r="D286" s="458">
        <f>+'ต.ค.-ธ.ค.'!D287+'ม.ค.-มี.ค.'!D286+'เม.ย.-มิ.ย.'!D286+'ก.ค.-ก.ย.'!D291</f>
        <v>0</v>
      </c>
      <c r="E286" s="458">
        <f>+'ต.ค.-ธ.ค.'!E287+'ม.ค.-มี.ค.'!E286+'เม.ย.-มิ.ย.'!E286+'ก.ค.-ก.ย.'!E291</f>
        <v>1950</v>
      </c>
      <c r="F286" s="458">
        <f>+'ต.ค.-ธ.ค.'!F287+'ม.ค.-มี.ค.'!F286+'เม.ย.-มิ.ย.'!F286+'ก.ค.-ก.ย.'!F291</f>
        <v>0</v>
      </c>
      <c r="G286" s="458">
        <f>+'ต.ค.-ธ.ค.'!G287+'ม.ค.-มี.ค.'!G286+'เม.ย.-มิ.ย.'!G286+'ก.ค.-ก.ย.'!G291</f>
        <v>0</v>
      </c>
      <c r="H286" s="458">
        <f>+'ต.ค.-ธ.ค.'!H287+'ม.ค.-มี.ค.'!H286+'เม.ย.-มิ.ย.'!H286+'ก.ค.-ก.ย.'!H291</f>
        <v>0</v>
      </c>
      <c r="I286" s="458">
        <f>+'ต.ค.-ธ.ค.'!I287+'ม.ค.-มี.ค.'!I286+'เม.ย.-มิ.ย.'!I286+'ก.ค.-ก.ย.'!I291</f>
        <v>0</v>
      </c>
      <c r="J286" s="458">
        <f>+'ต.ค.-ธ.ค.'!J287+'ม.ค.-มี.ค.'!J286+'เม.ย.-มิ.ย.'!J286+'ก.ค.-ก.ย.'!J291</f>
        <v>0</v>
      </c>
      <c r="K286" s="458">
        <f>+'ต.ค.-ธ.ค.'!K287+'ม.ค.-มี.ค.'!K286+'เม.ย.-มิ.ย.'!K286+'ก.ค.-ก.ย.'!K291</f>
        <v>0</v>
      </c>
      <c r="L286" s="458">
        <f>+'ต.ค.-ธ.ค.'!L287+'ม.ค.-มี.ค.'!L286+'เม.ย.-มิ.ย.'!L286+'ก.ค.-ก.ย.'!L291</f>
        <v>0</v>
      </c>
      <c r="M286" s="458">
        <f>+'ต.ค.-ธ.ค.'!M287+'ม.ค.-มี.ค.'!M286+'เม.ย.-มิ.ย.'!M286+'ก.ค.-ก.ย.'!M291</f>
        <v>0</v>
      </c>
      <c r="N286" s="458">
        <f>+'ต.ค.-ธ.ค.'!N287+'ม.ค.-มี.ค.'!N286+'เม.ย.-มิ.ย.'!N286+'ก.ค.-ก.ย.'!N291</f>
        <v>0</v>
      </c>
      <c r="O286" s="458">
        <f>+'ต.ค.-ธ.ค.'!O287+'ม.ค.-มี.ค.'!O286+'เม.ย.-มิ.ย.'!O286+'ก.ค.-ก.ย.'!O291</f>
        <v>0</v>
      </c>
      <c r="P286" s="458">
        <f>+'ต.ค.-ธ.ค.'!P287+'ม.ค.-มี.ค.'!P286+'เม.ย.-มิ.ย.'!P286+'ก.ค.-ก.ย.'!P291</f>
        <v>0</v>
      </c>
      <c r="Q286" s="458">
        <f>+'ต.ค.-ธ.ค.'!Q287+'ม.ค.-มี.ค.'!Q286+'เม.ย.-มิ.ย.'!Q286+'ก.ค.-ก.ย.'!Q291</f>
        <v>0</v>
      </c>
      <c r="R286" s="458">
        <f>+'ต.ค.-ธ.ค.'!R287+'ม.ค.-มี.ค.'!R286+'เม.ย.-มิ.ย.'!R286+'ก.ค.-ก.ย.'!R291</f>
        <v>0</v>
      </c>
      <c r="S286" s="458">
        <f>+'ต.ค.-ธ.ค.'!S287+'ม.ค.-มี.ค.'!S286+'เม.ย.-มิ.ย.'!S286+'ก.ค.-ก.ย.'!S291</f>
        <v>0</v>
      </c>
      <c r="T286" s="458">
        <f>+'ต.ค.-ธ.ค.'!T287+'ม.ค.-มี.ค.'!T286+'เม.ย.-มิ.ย.'!T286+'ก.ค.-ก.ย.'!T291</f>
        <v>0</v>
      </c>
      <c r="U286" s="458">
        <f>+'ต.ค.-ธ.ค.'!U287+'ม.ค.-มี.ค.'!U286+'เม.ย.-มิ.ย.'!U286+'ก.ค.-ก.ย.'!U291</f>
        <v>0</v>
      </c>
      <c r="V286" s="458">
        <f>+'ต.ค.-ธ.ค.'!V287+'ม.ค.-มี.ค.'!V286+'เม.ย.-มิ.ย.'!V286+'ก.ค.-ก.ย.'!V291</f>
        <v>0</v>
      </c>
    </row>
    <row r="287" spans="1:23" ht="25.5" customHeight="1">
      <c r="A287" s="20"/>
      <c r="B287" s="185" t="s">
        <v>380</v>
      </c>
      <c r="C287" s="429">
        <v>4550</v>
      </c>
      <c r="D287" s="458">
        <f>+'ต.ค.-ธ.ค.'!D288+'ม.ค.-มี.ค.'!D287+'เม.ย.-มิ.ย.'!D287+'ก.ค.-ก.ย.'!D292</f>
        <v>0</v>
      </c>
      <c r="E287" s="458">
        <f>+'ต.ค.-ธ.ค.'!E288+'ม.ค.-มี.ค.'!E287+'เม.ย.-มิ.ย.'!E287+'ก.ค.-ก.ย.'!E292</f>
        <v>13125</v>
      </c>
      <c r="F287" s="458">
        <f>+'ต.ค.-ธ.ค.'!F288+'ม.ค.-มี.ค.'!F287+'เม.ย.-มิ.ย.'!F287+'ก.ค.-ก.ย.'!F292</f>
        <v>0</v>
      </c>
      <c r="G287" s="458">
        <f>+'ต.ค.-ธ.ค.'!G288+'ม.ค.-มี.ค.'!G287+'เม.ย.-มิ.ย.'!G287+'ก.ค.-ก.ย.'!G292</f>
        <v>0</v>
      </c>
      <c r="H287" s="458">
        <f>+'ต.ค.-ธ.ค.'!H288+'ม.ค.-มี.ค.'!H287+'เม.ย.-มิ.ย.'!H287+'ก.ค.-ก.ย.'!H292</f>
        <v>0</v>
      </c>
      <c r="I287" s="458">
        <f>+'ต.ค.-ธ.ค.'!I288+'ม.ค.-มี.ค.'!I287+'เม.ย.-มิ.ย.'!I287+'ก.ค.-ก.ย.'!I292</f>
        <v>0</v>
      </c>
      <c r="J287" s="458">
        <f>+'ต.ค.-ธ.ค.'!J288+'ม.ค.-มี.ค.'!J287+'เม.ย.-มิ.ย.'!J287+'ก.ค.-ก.ย.'!J292</f>
        <v>0</v>
      </c>
      <c r="K287" s="458">
        <f>+'ต.ค.-ธ.ค.'!K288+'ม.ค.-มี.ค.'!K287+'เม.ย.-มิ.ย.'!K287+'ก.ค.-ก.ย.'!K292</f>
        <v>0</v>
      </c>
      <c r="L287" s="458">
        <f>+'ต.ค.-ธ.ค.'!L288+'ม.ค.-มี.ค.'!L287+'เม.ย.-มิ.ย.'!L287+'ก.ค.-ก.ย.'!L292</f>
        <v>0</v>
      </c>
      <c r="M287" s="458">
        <f>+'ต.ค.-ธ.ค.'!M288+'ม.ค.-มี.ค.'!M287+'เม.ย.-มิ.ย.'!M287+'ก.ค.-ก.ย.'!M292</f>
        <v>0</v>
      </c>
      <c r="N287" s="458">
        <f>+'ต.ค.-ธ.ค.'!N288+'ม.ค.-มี.ค.'!N287+'เม.ย.-มิ.ย.'!N287+'ก.ค.-ก.ย.'!N292</f>
        <v>0</v>
      </c>
      <c r="O287" s="458">
        <f>+'ต.ค.-ธ.ค.'!O288+'ม.ค.-มี.ค.'!O287+'เม.ย.-มิ.ย.'!O287+'ก.ค.-ก.ย.'!O292</f>
        <v>0</v>
      </c>
      <c r="P287" s="458">
        <f>+'ต.ค.-ธ.ค.'!P288+'ม.ค.-มี.ค.'!P287+'เม.ย.-มิ.ย.'!P287+'ก.ค.-ก.ย.'!P292</f>
        <v>0</v>
      </c>
      <c r="Q287" s="458">
        <f>+'ต.ค.-ธ.ค.'!Q288+'ม.ค.-มี.ค.'!Q287+'เม.ย.-มิ.ย.'!Q287+'ก.ค.-ก.ย.'!Q292</f>
        <v>0</v>
      </c>
      <c r="R287" s="458">
        <f>+'ต.ค.-ธ.ค.'!R288+'ม.ค.-มี.ค.'!R287+'เม.ย.-มิ.ย.'!R287+'ก.ค.-ก.ย.'!R292</f>
        <v>0</v>
      </c>
      <c r="S287" s="458">
        <f>+'ต.ค.-ธ.ค.'!S288+'ม.ค.-มี.ค.'!S287+'เม.ย.-มิ.ย.'!S287+'ก.ค.-ก.ย.'!S292</f>
        <v>0</v>
      </c>
      <c r="T287" s="458">
        <f>+'ต.ค.-ธ.ค.'!T288+'ม.ค.-มี.ค.'!T287+'เม.ย.-มิ.ย.'!T287+'ก.ค.-ก.ย.'!T292</f>
        <v>0</v>
      </c>
      <c r="U287" s="458">
        <f>+'ต.ค.-ธ.ค.'!U288+'ม.ค.-มี.ค.'!U287+'เม.ย.-มิ.ย.'!U287+'ก.ค.-ก.ย.'!U292</f>
        <v>0</v>
      </c>
      <c r="V287" s="458">
        <f>+'ต.ค.-ธ.ค.'!V288+'ม.ค.-มี.ค.'!V287+'เม.ย.-มิ.ย.'!V287+'ก.ค.-ก.ย.'!V292</f>
        <v>0</v>
      </c>
    </row>
    <row r="288" spans="1:23" ht="25.5" customHeight="1">
      <c r="A288" s="20"/>
      <c r="B288" s="185" t="s">
        <v>386</v>
      </c>
      <c r="C288" s="413">
        <v>409940.96</v>
      </c>
      <c r="D288" s="458">
        <f>+'ต.ค.-ธ.ค.'!D289+'ม.ค.-มี.ค.'!D288+'เม.ย.-มิ.ย.'!D288+'ก.ค.-ก.ย.'!D293</f>
        <v>0</v>
      </c>
      <c r="E288" s="458">
        <f>+'ต.ค.-ธ.ค.'!E289+'ม.ค.-มี.ค.'!E288+'เม.ย.-มิ.ย.'!E288+'ก.ค.-ก.ย.'!E293</f>
        <v>0</v>
      </c>
      <c r="F288" s="458">
        <f>+'ต.ค.-ธ.ค.'!F289+'ม.ค.-มี.ค.'!F288+'เม.ย.-มิ.ย.'!F288+'ก.ค.-ก.ย.'!F293</f>
        <v>0</v>
      </c>
      <c r="G288" s="458">
        <f>+'ต.ค.-ธ.ค.'!G289+'ม.ค.-มี.ค.'!G288+'เม.ย.-มิ.ย.'!G288+'ก.ค.-ก.ย.'!G293</f>
        <v>0</v>
      </c>
      <c r="H288" s="458">
        <f>+'ต.ค.-ธ.ค.'!H289+'ม.ค.-มี.ค.'!H288+'เม.ย.-มิ.ย.'!H288+'ก.ค.-ก.ย.'!H293</f>
        <v>0</v>
      </c>
      <c r="I288" s="458">
        <f>+'ต.ค.-ธ.ค.'!I289+'ม.ค.-มี.ค.'!I288+'เม.ย.-มิ.ย.'!I288+'ก.ค.-ก.ย.'!I293</f>
        <v>409940.96</v>
      </c>
      <c r="J288" s="458">
        <f>+'ต.ค.-ธ.ค.'!J289+'ม.ค.-มี.ค.'!J288+'เม.ย.-มิ.ย.'!J288+'ก.ค.-ก.ย.'!J293</f>
        <v>0</v>
      </c>
      <c r="K288" s="458">
        <f>+'ต.ค.-ธ.ค.'!K289+'ม.ค.-มี.ค.'!K288+'เม.ย.-มิ.ย.'!K288+'ก.ค.-ก.ย.'!K293</f>
        <v>0</v>
      </c>
      <c r="L288" s="458">
        <f>+'ต.ค.-ธ.ค.'!L289+'ม.ค.-มี.ค.'!L288+'เม.ย.-มิ.ย.'!L288+'ก.ค.-ก.ย.'!L293</f>
        <v>0</v>
      </c>
      <c r="M288" s="458">
        <f>+'ต.ค.-ธ.ค.'!M289+'ม.ค.-มี.ค.'!M288+'เม.ย.-มิ.ย.'!M288+'ก.ค.-ก.ย.'!M293</f>
        <v>0</v>
      </c>
      <c r="N288" s="458">
        <f>+'ต.ค.-ธ.ค.'!N289+'ม.ค.-มี.ค.'!N288+'เม.ย.-มิ.ย.'!N288+'ก.ค.-ก.ย.'!N293</f>
        <v>0</v>
      </c>
      <c r="O288" s="458">
        <f>+'ต.ค.-ธ.ค.'!O289+'ม.ค.-มี.ค.'!O288+'เม.ย.-มิ.ย.'!O288+'ก.ค.-ก.ย.'!O293</f>
        <v>0</v>
      </c>
      <c r="P288" s="458">
        <f>+'ต.ค.-ธ.ค.'!P289+'ม.ค.-มี.ค.'!P288+'เม.ย.-มิ.ย.'!P288+'ก.ค.-ก.ย.'!P293</f>
        <v>0</v>
      </c>
      <c r="Q288" s="458">
        <f>+'ต.ค.-ธ.ค.'!Q289+'ม.ค.-มี.ค.'!Q288+'เม.ย.-มิ.ย.'!Q288+'ก.ค.-ก.ย.'!Q293</f>
        <v>0</v>
      </c>
      <c r="R288" s="458">
        <f>+'ต.ค.-ธ.ค.'!R289+'ม.ค.-มี.ค.'!R288+'เม.ย.-มิ.ย.'!R288+'ก.ค.-ก.ย.'!R293</f>
        <v>0</v>
      </c>
      <c r="S288" s="458">
        <f>+'ต.ค.-ธ.ค.'!S289+'ม.ค.-มี.ค.'!S288+'เม.ย.-มิ.ย.'!S288+'ก.ค.-ก.ย.'!S293</f>
        <v>0</v>
      </c>
      <c r="T288" s="458">
        <f>+'ต.ค.-ธ.ค.'!T289+'ม.ค.-มี.ค.'!T288+'เม.ย.-มิ.ย.'!T288+'ก.ค.-ก.ย.'!T293</f>
        <v>0</v>
      </c>
      <c r="U288" s="458">
        <f>+'ต.ค.-ธ.ค.'!U289+'ม.ค.-มี.ค.'!U288+'เม.ย.-มิ.ย.'!U288+'ก.ค.-ก.ย.'!U293</f>
        <v>0</v>
      </c>
      <c r="V288" s="442">
        <f>+'ต.ค.-ธ.ค.'!V289+'ม.ค.-มี.ค.'!V288+'เม.ย.-มิ.ย.'!V288+'ก.ค.-ก.ย.'!V293</f>
        <v>0</v>
      </c>
    </row>
    <row r="289" spans="1:24" ht="25.5" customHeight="1">
      <c r="A289" s="20"/>
      <c r="B289" s="185" t="s">
        <v>387</v>
      </c>
      <c r="C289" s="413">
        <v>40000</v>
      </c>
      <c r="D289" s="458">
        <f>+'ต.ค.-ธ.ค.'!D290+'ม.ค.-มี.ค.'!D289+'เม.ย.-มิ.ย.'!D289+'ก.ค.-ก.ย.'!D294</f>
        <v>0</v>
      </c>
      <c r="E289" s="458">
        <f>+'ต.ค.-ธ.ค.'!E290+'ม.ค.-มี.ค.'!E289+'เม.ย.-มิ.ย.'!E289+'ก.ค.-ก.ย.'!E294</f>
        <v>0</v>
      </c>
      <c r="F289" s="458">
        <f>+'ต.ค.-ธ.ค.'!F290+'ม.ค.-มี.ค.'!F289+'เม.ย.-มิ.ย.'!F289+'ก.ค.-ก.ย.'!F294</f>
        <v>0</v>
      </c>
      <c r="G289" s="458">
        <f>+'ต.ค.-ธ.ค.'!G290+'ม.ค.-มี.ค.'!G289+'เม.ย.-มิ.ย.'!G289+'ก.ค.-ก.ย.'!G294</f>
        <v>0</v>
      </c>
      <c r="H289" s="458">
        <f>+'ต.ค.-ธ.ค.'!H290+'ม.ค.-มี.ค.'!H289+'เม.ย.-มิ.ย.'!H289+'ก.ค.-ก.ย.'!H294</f>
        <v>40000</v>
      </c>
      <c r="I289" s="458">
        <f>+'ต.ค.-ธ.ค.'!I290+'ม.ค.-มี.ค.'!I289+'เม.ย.-มิ.ย.'!I289+'ก.ค.-ก.ย.'!I294</f>
        <v>0</v>
      </c>
      <c r="J289" s="458">
        <f>+'ต.ค.-ธ.ค.'!J290+'ม.ค.-มี.ค.'!J289+'เม.ย.-มิ.ย.'!J289+'ก.ค.-ก.ย.'!J294</f>
        <v>0</v>
      </c>
      <c r="K289" s="458">
        <f>+'ต.ค.-ธ.ค.'!K290+'ม.ค.-มี.ค.'!K289+'เม.ย.-มิ.ย.'!K289+'ก.ค.-ก.ย.'!K294</f>
        <v>0</v>
      </c>
      <c r="L289" s="458">
        <f>+'ต.ค.-ธ.ค.'!L290+'ม.ค.-มี.ค.'!L289+'เม.ย.-มิ.ย.'!L289+'ก.ค.-ก.ย.'!L294</f>
        <v>0</v>
      </c>
      <c r="M289" s="458">
        <f>+'ต.ค.-ธ.ค.'!M290+'ม.ค.-มี.ค.'!M289+'เม.ย.-มิ.ย.'!M289+'ก.ค.-ก.ย.'!M294</f>
        <v>0</v>
      </c>
      <c r="N289" s="458">
        <f>+'ต.ค.-ธ.ค.'!N290+'ม.ค.-มี.ค.'!N289+'เม.ย.-มิ.ย.'!N289+'ก.ค.-ก.ย.'!N294</f>
        <v>0</v>
      </c>
      <c r="O289" s="458">
        <f>+'ต.ค.-ธ.ค.'!O290+'ม.ค.-มี.ค.'!O289+'เม.ย.-มิ.ย.'!O289+'ก.ค.-ก.ย.'!O294</f>
        <v>0</v>
      </c>
      <c r="P289" s="458">
        <f>+'ต.ค.-ธ.ค.'!P290+'ม.ค.-มี.ค.'!P289+'เม.ย.-มิ.ย.'!P289+'ก.ค.-ก.ย.'!P294</f>
        <v>0</v>
      </c>
      <c r="Q289" s="458">
        <f>+'ต.ค.-ธ.ค.'!Q290+'ม.ค.-มี.ค.'!Q289+'เม.ย.-มิ.ย.'!Q289+'ก.ค.-ก.ย.'!Q294</f>
        <v>0</v>
      </c>
      <c r="R289" s="458">
        <f>+'ต.ค.-ธ.ค.'!R290+'ม.ค.-มี.ค.'!R289+'เม.ย.-มิ.ย.'!R289+'ก.ค.-ก.ย.'!R294</f>
        <v>0</v>
      </c>
      <c r="S289" s="458">
        <f>+'ต.ค.-ธ.ค.'!S290+'ม.ค.-มี.ค.'!S289+'เม.ย.-มิ.ย.'!S289+'ก.ค.-ก.ย.'!S294</f>
        <v>0</v>
      </c>
      <c r="T289" s="458">
        <f>+'ต.ค.-ธ.ค.'!T290+'ม.ค.-มี.ค.'!T289+'เม.ย.-มิ.ย.'!T289+'ก.ค.-ก.ย.'!T294</f>
        <v>0</v>
      </c>
      <c r="U289" s="458">
        <f>+'ต.ค.-ธ.ค.'!U290+'ม.ค.-มี.ค.'!U289+'เม.ย.-มิ.ย.'!U289+'ก.ค.-ก.ย.'!U294</f>
        <v>0</v>
      </c>
      <c r="V289" s="458">
        <f>+'ต.ค.-ธ.ค.'!V290+'ม.ค.-มี.ค.'!V289+'เม.ย.-มิ.ย.'!V289+'ก.ค.-ก.ย.'!V294</f>
        <v>0</v>
      </c>
    </row>
    <row r="290" spans="1:24" ht="25.5" customHeight="1">
      <c r="A290" s="20"/>
      <c r="B290" s="352" t="s">
        <v>409</v>
      </c>
      <c r="C290" s="413">
        <v>175000</v>
      </c>
      <c r="D290" s="458">
        <f>+'ต.ค.-ธ.ค.'!D291+'ม.ค.-มี.ค.'!D290+'เม.ย.-มิ.ย.'!D290+'ก.ค.-ก.ย.'!D295</f>
        <v>0</v>
      </c>
      <c r="E290" s="458">
        <f>+'ต.ค.-ธ.ค.'!E291+'ม.ค.-มี.ค.'!E290+'เม.ย.-มิ.ย.'!E290+'ก.ค.-ก.ย.'!E295</f>
        <v>0</v>
      </c>
      <c r="F290" s="458">
        <f>+'ต.ค.-ธ.ค.'!F291+'ม.ค.-มี.ค.'!F290+'เม.ย.-มิ.ย.'!F290+'ก.ค.-ก.ย.'!F295</f>
        <v>0</v>
      </c>
      <c r="G290" s="458">
        <f>+'ต.ค.-ธ.ค.'!G291+'ม.ค.-มี.ค.'!G290+'เม.ย.-มิ.ย.'!G290+'ก.ค.-ก.ย.'!G295</f>
        <v>0</v>
      </c>
      <c r="H290" s="458">
        <f>+'ต.ค.-ธ.ค.'!H291+'ม.ค.-มี.ค.'!H290+'เม.ย.-มิ.ย.'!H290+'ก.ค.-ก.ย.'!H295</f>
        <v>0</v>
      </c>
      <c r="I290" s="458">
        <f>+'ต.ค.-ธ.ค.'!I291+'ม.ค.-มี.ค.'!I290+'เม.ย.-มิ.ย.'!I290+'ก.ค.-ก.ย.'!I295</f>
        <v>0</v>
      </c>
      <c r="J290" s="458">
        <f>+'ต.ค.-ธ.ค.'!J291+'ม.ค.-มี.ค.'!J290+'เม.ย.-มิ.ย.'!J290+'ก.ค.-ก.ย.'!J295</f>
        <v>0</v>
      </c>
      <c r="K290" s="458">
        <f>+'ต.ค.-ธ.ค.'!K291+'ม.ค.-มี.ค.'!K290+'เม.ย.-มิ.ย.'!K290+'ก.ค.-ก.ย.'!K295</f>
        <v>0</v>
      </c>
      <c r="L290" s="458">
        <f>+'ต.ค.-ธ.ค.'!L291+'ม.ค.-มี.ค.'!L290+'เม.ย.-มิ.ย.'!L290+'ก.ค.-ก.ย.'!L295</f>
        <v>0</v>
      </c>
      <c r="M290" s="458">
        <f>+'ต.ค.-ธ.ค.'!M291+'ม.ค.-มี.ค.'!M290+'เม.ย.-มิ.ย.'!M290+'ก.ค.-ก.ย.'!M295</f>
        <v>0</v>
      </c>
      <c r="N290" s="458">
        <f>+'ต.ค.-ธ.ค.'!N291+'ม.ค.-มี.ค.'!N290+'เม.ย.-มิ.ย.'!N290+'ก.ค.-ก.ย.'!N295</f>
        <v>174000</v>
      </c>
      <c r="O290" s="458">
        <f>+'ต.ค.-ธ.ค.'!O291+'ม.ค.-มี.ค.'!O290+'เม.ย.-มิ.ย.'!O290+'ก.ค.-ก.ย.'!O295</f>
        <v>0</v>
      </c>
      <c r="P290" s="458">
        <f>+'ต.ค.-ธ.ค.'!P291+'ม.ค.-มี.ค.'!P290+'เม.ย.-มิ.ย.'!P290+'ก.ค.-ก.ย.'!P295</f>
        <v>0</v>
      </c>
      <c r="Q290" s="458">
        <f>+'ต.ค.-ธ.ค.'!Q291+'ม.ค.-มี.ค.'!Q290+'เม.ย.-มิ.ย.'!Q290+'ก.ค.-ก.ย.'!Q295</f>
        <v>0</v>
      </c>
      <c r="R290" s="458">
        <f>+'ต.ค.-ธ.ค.'!R291+'ม.ค.-มี.ค.'!R290+'เม.ย.-มิ.ย.'!R290+'ก.ค.-ก.ย.'!R295</f>
        <v>0</v>
      </c>
      <c r="S290" s="458">
        <f>+'ต.ค.-ธ.ค.'!S291+'ม.ค.-มี.ค.'!S290+'เม.ย.-มิ.ย.'!S290+'ก.ค.-ก.ย.'!S295</f>
        <v>0</v>
      </c>
      <c r="T290" s="458">
        <f>+'ต.ค.-ธ.ค.'!T291+'ม.ค.-มี.ค.'!T290+'เม.ย.-มิ.ย.'!T290+'ก.ค.-ก.ย.'!T295</f>
        <v>0</v>
      </c>
      <c r="U290" s="458">
        <f>+'ต.ค.-ธ.ค.'!U291+'ม.ค.-มี.ค.'!U290+'เม.ย.-มิ.ย.'!U290+'ก.ค.-ก.ย.'!U295</f>
        <v>0</v>
      </c>
      <c r="V290" s="458">
        <f>+'ต.ค.-ธ.ค.'!V291+'ม.ค.-มี.ค.'!V290+'เม.ย.-มิ.ย.'!V290+'ก.ค.-ก.ย.'!V295</f>
        <v>0</v>
      </c>
    </row>
    <row r="291" spans="1:24" ht="25.5" customHeight="1">
      <c r="A291" s="20"/>
      <c r="B291" s="348"/>
      <c r="C291" s="430"/>
      <c r="D291" s="458">
        <f>+'ต.ค.-ธ.ค.'!D292+'ม.ค.-มี.ค.'!D291+'เม.ย.-มิ.ย.'!D291+'ก.ค.-ก.ย.'!D296</f>
        <v>0</v>
      </c>
      <c r="E291" s="458">
        <f>+'ต.ค.-ธ.ค.'!E292+'ม.ค.-มี.ค.'!E291+'เม.ย.-มิ.ย.'!E291+'ก.ค.-ก.ย.'!E296</f>
        <v>0</v>
      </c>
      <c r="F291" s="458">
        <f>+'ต.ค.-ธ.ค.'!F292+'ม.ค.-มี.ค.'!F291+'เม.ย.-มิ.ย.'!F291+'ก.ค.-ก.ย.'!F296</f>
        <v>0</v>
      </c>
      <c r="G291" s="458">
        <f>+'ต.ค.-ธ.ค.'!G292+'ม.ค.-มี.ค.'!G291+'เม.ย.-มิ.ย.'!G291+'ก.ค.-ก.ย.'!G296</f>
        <v>0</v>
      </c>
      <c r="H291" s="458">
        <f>+'ต.ค.-ธ.ค.'!H292+'ม.ค.-มี.ค.'!H291+'เม.ย.-มิ.ย.'!H291+'ก.ค.-ก.ย.'!H296</f>
        <v>0</v>
      </c>
      <c r="I291" s="458">
        <f>+'ต.ค.-ธ.ค.'!I292+'ม.ค.-มี.ค.'!I291+'เม.ย.-มิ.ย.'!I291+'ก.ค.-ก.ย.'!I296</f>
        <v>0</v>
      </c>
      <c r="J291" s="458">
        <f>+'ต.ค.-ธ.ค.'!J292+'ม.ค.-มี.ค.'!J291+'เม.ย.-มิ.ย.'!J291+'ก.ค.-ก.ย.'!J296</f>
        <v>0</v>
      </c>
      <c r="K291" s="458">
        <f>+'ต.ค.-ธ.ค.'!K292+'ม.ค.-มี.ค.'!K291+'เม.ย.-มิ.ย.'!K291+'ก.ค.-ก.ย.'!K296</f>
        <v>0</v>
      </c>
      <c r="L291" s="458">
        <f>+'ต.ค.-ธ.ค.'!L292+'ม.ค.-มี.ค.'!L291+'เม.ย.-มิ.ย.'!L291+'ก.ค.-ก.ย.'!L296</f>
        <v>0</v>
      </c>
      <c r="M291" s="458">
        <f>+'ต.ค.-ธ.ค.'!M292+'ม.ค.-มี.ค.'!M291+'เม.ย.-มิ.ย.'!M291+'ก.ค.-ก.ย.'!M296</f>
        <v>0</v>
      </c>
      <c r="N291" s="458">
        <f>+'ต.ค.-ธ.ค.'!N292+'ม.ค.-มี.ค.'!N291+'เม.ย.-มิ.ย.'!N291+'ก.ค.-ก.ย.'!N296</f>
        <v>175000</v>
      </c>
      <c r="O291" s="458">
        <f>+'ต.ค.-ธ.ค.'!O292+'ม.ค.-มี.ค.'!O291+'เม.ย.-มิ.ย.'!O291+'ก.ค.-ก.ย.'!O296</f>
        <v>0</v>
      </c>
      <c r="P291" s="458">
        <f>+'ต.ค.-ธ.ค.'!P292+'ม.ค.-มี.ค.'!P291+'เม.ย.-มิ.ย.'!P291+'ก.ค.-ก.ย.'!P296</f>
        <v>0</v>
      </c>
      <c r="Q291" s="458">
        <f>+'ต.ค.-ธ.ค.'!Q292+'ม.ค.-มี.ค.'!Q291+'เม.ย.-มิ.ย.'!Q291+'ก.ค.-ก.ย.'!Q296</f>
        <v>0</v>
      </c>
      <c r="R291" s="458">
        <f>+'ต.ค.-ธ.ค.'!R292+'ม.ค.-มี.ค.'!R291+'เม.ย.-มิ.ย.'!R291+'ก.ค.-ก.ย.'!R296</f>
        <v>0</v>
      </c>
      <c r="S291" s="458">
        <f>+'ต.ค.-ธ.ค.'!S292+'ม.ค.-มี.ค.'!S291+'เม.ย.-มิ.ย.'!S291+'ก.ค.-ก.ย.'!S296</f>
        <v>0</v>
      </c>
      <c r="T291" s="458">
        <f>+'ต.ค.-ธ.ค.'!T292+'ม.ค.-มี.ค.'!T291+'เม.ย.-มิ.ย.'!T291+'ก.ค.-ก.ย.'!T296</f>
        <v>0</v>
      </c>
      <c r="U291" s="458">
        <f>+'ต.ค.-ธ.ค.'!U292+'ม.ค.-มี.ค.'!U291+'เม.ย.-มิ.ย.'!U291+'ก.ค.-ก.ย.'!U296</f>
        <v>0</v>
      </c>
      <c r="V291" s="442">
        <f>+'ต.ค.-ธ.ค.'!V292+'ม.ค.-มี.ค.'!V291+'เม.ย.-มิ.ย.'!V291+'ก.ค.-ก.ย.'!V296</f>
        <v>0</v>
      </c>
    </row>
    <row r="292" spans="1:24" ht="25.5" customHeight="1" thickBot="1">
      <c r="A292" s="15"/>
      <c r="B292" s="53" t="s">
        <v>5</v>
      </c>
      <c r="C292" s="428">
        <f t="shared" ref="C292:I292" si="17">SUM(C282:C291)</f>
        <v>723940.96</v>
      </c>
      <c r="D292" s="428">
        <f t="shared" si="17"/>
        <v>0</v>
      </c>
      <c r="E292" s="428">
        <f t="shared" si="17"/>
        <v>198325</v>
      </c>
      <c r="F292" s="428">
        <f t="shared" si="17"/>
        <v>15500</v>
      </c>
      <c r="G292" s="428">
        <f t="shared" si="17"/>
        <v>0</v>
      </c>
      <c r="H292" s="428">
        <f t="shared" si="17"/>
        <v>96000</v>
      </c>
      <c r="I292" s="428">
        <f t="shared" si="17"/>
        <v>409940.96</v>
      </c>
      <c r="J292" s="428">
        <f t="shared" ref="J292:V292" si="18">SUM(J282:J291)</f>
        <v>0</v>
      </c>
      <c r="K292" s="428">
        <f t="shared" si="18"/>
        <v>0</v>
      </c>
      <c r="L292" s="428">
        <f t="shared" si="18"/>
        <v>0</v>
      </c>
      <c r="M292" s="428">
        <f>SUM(M282:M291)</f>
        <v>36500</v>
      </c>
      <c r="N292" s="428">
        <f>SUM(N282:N291)</f>
        <v>349000</v>
      </c>
      <c r="O292" s="428">
        <f t="shared" si="18"/>
        <v>0</v>
      </c>
      <c r="P292" s="428">
        <f t="shared" si="18"/>
        <v>0</v>
      </c>
      <c r="Q292" s="428">
        <f t="shared" si="18"/>
        <v>0</v>
      </c>
      <c r="R292" s="428">
        <f t="shared" si="18"/>
        <v>0</v>
      </c>
      <c r="S292" s="428">
        <f t="shared" si="18"/>
        <v>0</v>
      </c>
      <c r="T292" s="428">
        <f t="shared" si="18"/>
        <v>0</v>
      </c>
      <c r="U292" s="428">
        <f t="shared" si="18"/>
        <v>0</v>
      </c>
      <c r="V292" s="627">
        <f t="shared" si="18"/>
        <v>0</v>
      </c>
      <c r="W292" s="590">
        <f>SUM(D292:V292)</f>
        <v>1105265.96</v>
      </c>
    </row>
    <row r="293" spans="1:24" ht="25.5" customHeight="1" thickTop="1" thickBot="1">
      <c r="A293" s="16"/>
      <c r="B293" s="52" t="s">
        <v>49</v>
      </c>
      <c r="C293" s="431">
        <f>+C21+C28+C39+C49+C176+C204+C210+C221+C235+C242+C245+C249+C262</f>
        <v>39248280</v>
      </c>
      <c r="D293" s="431">
        <f t="shared" ref="D293:V293" si="19">+D21+D28+D39+D49+D176+D204+D210+D221+D235+D242+D245+D249+D262</f>
        <v>9738660.2799999993</v>
      </c>
      <c r="E293" s="431">
        <f t="shared" si="19"/>
        <v>9736870.7299999986</v>
      </c>
      <c r="F293" s="431">
        <f t="shared" si="19"/>
        <v>2114472.6</v>
      </c>
      <c r="G293" s="431">
        <f t="shared" si="19"/>
        <v>442144</v>
      </c>
      <c r="H293" s="431">
        <f t="shared" si="19"/>
        <v>5527889.2599999998</v>
      </c>
      <c r="I293" s="431">
        <f t="shared" si="19"/>
        <v>5149633.8599999994</v>
      </c>
      <c r="J293" s="431">
        <f t="shared" si="19"/>
        <v>89993</v>
      </c>
      <c r="K293" s="431">
        <f t="shared" si="19"/>
        <v>197901.32</v>
      </c>
      <c r="L293" s="431">
        <f t="shared" si="19"/>
        <v>0</v>
      </c>
      <c r="M293" s="431">
        <f t="shared" si="19"/>
        <v>2313609.4500000002</v>
      </c>
      <c r="N293" s="431">
        <f t="shared" si="19"/>
        <v>2356500</v>
      </c>
      <c r="O293" s="431">
        <f t="shared" si="19"/>
        <v>0</v>
      </c>
      <c r="P293" s="431">
        <f t="shared" si="19"/>
        <v>37995</v>
      </c>
      <c r="Q293" s="431">
        <f t="shared" si="19"/>
        <v>4880</v>
      </c>
      <c r="R293" s="431">
        <f t="shared" si="19"/>
        <v>90108</v>
      </c>
      <c r="S293" s="431">
        <f t="shared" si="19"/>
        <v>189964</v>
      </c>
      <c r="T293" s="431">
        <f t="shared" si="19"/>
        <v>18000</v>
      </c>
      <c r="U293" s="431">
        <f t="shared" si="19"/>
        <v>0</v>
      </c>
      <c r="V293" s="480">
        <f t="shared" si="19"/>
        <v>29995</v>
      </c>
      <c r="W293" s="591">
        <f>SUM(D293:V293)</f>
        <v>38038616.5</v>
      </c>
      <c r="X293" s="497">
        <f>+W21+W28+W39+W49+W176+W204+W210+W221+W235+W242+W262</f>
        <v>38038616.5</v>
      </c>
    </row>
    <row r="294" spans="1:24" ht="25.5" customHeight="1" thickTop="1" thickBot="1">
      <c r="A294" s="16"/>
      <c r="B294" s="41" t="s">
        <v>25</v>
      </c>
      <c r="C294" s="432">
        <f>+C292+C280+C276+C272+C262+C224+C221+C210+C176+C49+C28+C21+C39++C204+C249+C245+C242+C235</f>
        <v>40218720.960000001</v>
      </c>
      <c r="D294" s="432">
        <f t="shared" ref="D294:V294" si="20">+D292+D280+D276+D272+D262+D224+D221+D210+D176+D49+D28+D21+D39++D204+D249+D245+D242+D235</f>
        <v>9985160.2799999993</v>
      </c>
      <c r="E294" s="432">
        <f t="shared" si="20"/>
        <v>9935195.7300000004</v>
      </c>
      <c r="F294" s="432">
        <f t="shared" si="20"/>
        <v>2129972.6</v>
      </c>
      <c r="G294" s="432">
        <f t="shared" si="20"/>
        <v>442144</v>
      </c>
      <c r="H294" s="432">
        <f t="shared" si="20"/>
        <v>5623889.2599999998</v>
      </c>
      <c r="I294" s="432">
        <f t="shared" si="20"/>
        <v>5559574.8200000003</v>
      </c>
      <c r="J294" s="432">
        <f t="shared" si="20"/>
        <v>89993</v>
      </c>
      <c r="K294" s="432">
        <f t="shared" si="20"/>
        <v>197901.32</v>
      </c>
      <c r="L294" s="432">
        <f t="shared" si="20"/>
        <v>0</v>
      </c>
      <c r="M294" s="432">
        <f t="shared" si="20"/>
        <v>2350109.4500000002</v>
      </c>
      <c r="N294" s="432">
        <f t="shared" si="20"/>
        <v>2705500</v>
      </c>
      <c r="O294" s="432">
        <f t="shared" si="20"/>
        <v>0</v>
      </c>
      <c r="P294" s="432">
        <f t="shared" si="20"/>
        <v>37995</v>
      </c>
      <c r="Q294" s="432">
        <f t="shared" si="20"/>
        <v>4880</v>
      </c>
      <c r="R294" s="432">
        <f t="shared" si="20"/>
        <v>90108</v>
      </c>
      <c r="S294" s="432">
        <f t="shared" si="20"/>
        <v>189964</v>
      </c>
      <c r="T294" s="432">
        <f t="shared" si="20"/>
        <v>18000</v>
      </c>
      <c r="U294" s="432">
        <f t="shared" si="20"/>
        <v>0</v>
      </c>
      <c r="V294" s="481">
        <f t="shared" si="20"/>
        <v>29995</v>
      </c>
      <c r="W294" s="551">
        <f>SUM(D294:V294)</f>
        <v>39390382.460000001</v>
      </c>
      <c r="X294" s="496"/>
    </row>
    <row r="295" spans="1:24" ht="25.5" customHeight="1" thickTop="1">
      <c r="B295" s="246"/>
      <c r="C295" s="546"/>
      <c r="D295" s="482"/>
      <c r="E295" s="483"/>
      <c r="F295" s="484"/>
      <c r="G295" s="484"/>
      <c r="H295" s="484"/>
      <c r="I295" s="482"/>
      <c r="J295" s="482"/>
      <c r="K295" s="482"/>
      <c r="L295" s="482"/>
      <c r="M295" s="484"/>
      <c r="N295" s="482"/>
      <c r="O295" s="482"/>
      <c r="P295" s="482"/>
      <c r="Q295" s="482"/>
      <c r="R295" s="547"/>
      <c r="S295" s="548"/>
      <c r="T295" s="548"/>
      <c r="U295" s="547"/>
      <c r="V295" s="547"/>
      <c r="W295" s="592"/>
      <c r="X295" s="497">
        <f>+X293-W293</f>
        <v>0</v>
      </c>
    </row>
    <row r="296" spans="1:24" ht="25.5" customHeight="1">
      <c r="C296" s="546"/>
      <c r="D296" s="433"/>
      <c r="E296" s="436"/>
      <c r="F296" s="437"/>
      <c r="G296" s="437"/>
      <c r="H296" s="437"/>
      <c r="I296" s="433"/>
      <c r="J296" s="433"/>
      <c r="K296" s="433"/>
      <c r="L296" s="433"/>
      <c r="M296" s="437"/>
      <c r="N296" s="433"/>
      <c r="O296" s="433"/>
      <c r="P296" s="433"/>
      <c r="Q296" s="433"/>
      <c r="R296" s="175"/>
      <c r="S296" s="537"/>
      <c r="T296" s="537"/>
      <c r="U296" s="175"/>
      <c r="V296" s="175"/>
      <c r="W296" s="593">
        <f>+D293+E293+F293+G293+H293+I293+J293+K293+M293+N293+P293+Q293+R293+S293+T293+U293+V293</f>
        <v>38038616.5</v>
      </c>
      <c r="X296" s="496"/>
    </row>
    <row r="297" spans="1:24" ht="25.5" customHeight="1">
      <c r="C297" s="546"/>
      <c r="D297" s="433"/>
      <c r="E297" s="436"/>
      <c r="F297" s="437"/>
      <c r="G297" s="437"/>
      <c r="H297" s="437"/>
      <c r="I297" s="433"/>
      <c r="J297" s="433"/>
      <c r="K297" s="433"/>
      <c r="L297" s="433"/>
      <c r="M297" s="437"/>
      <c r="N297" s="433"/>
      <c r="O297" s="433"/>
      <c r="P297" s="433"/>
      <c r="Q297" s="433"/>
      <c r="R297" s="175"/>
      <c r="S297" s="537"/>
      <c r="T297" s="537"/>
      <c r="U297" s="175"/>
      <c r="V297" s="175"/>
      <c r="W297" s="594">
        <f>39148280-C293</f>
        <v>-100000</v>
      </c>
    </row>
    <row r="298" spans="1:24" ht="25.5" customHeight="1">
      <c r="B298" s="265"/>
      <c r="C298" s="546"/>
      <c r="W298" s="595"/>
    </row>
    <row r="299" spans="1:24" ht="25.5" customHeight="1">
      <c r="C299" s="546"/>
      <c r="W299" s="583">
        <f>+W293-W296</f>
        <v>0</v>
      </c>
    </row>
    <row r="300" spans="1:24" ht="25.5" customHeight="1">
      <c r="C300" s="546"/>
      <c r="W300" s="586"/>
    </row>
    <row r="301" spans="1:24" ht="25.5" customHeight="1">
      <c r="W301" s="586"/>
    </row>
    <row r="313" spans="1:24" s="310" customFormat="1" ht="25.5" customHeight="1">
      <c r="A313"/>
      <c r="B313" s="1"/>
      <c r="C313" s="550"/>
      <c r="D313" s="64"/>
      <c r="E313" s="488"/>
      <c r="F313" s="434"/>
      <c r="G313" s="434"/>
      <c r="H313" s="434"/>
      <c r="I313" s="64"/>
      <c r="J313" s="64"/>
      <c r="K313" s="64"/>
      <c r="L313" s="64"/>
      <c r="M313" s="434"/>
      <c r="N313" s="64"/>
      <c r="O313" s="64"/>
      <c r="P313" s="64"/>
      <c r="Q313" s="64"/>
      <c r="R313" s="63"/>
      <c r="S313" s="549"/>
      <c r="T313" s="549"/>
      <c r="U313" s="63"/>
      <c r="V313" s="63"/>
      <c r="W313" s="579"/>
      <c r="X313" s="364"/>
    </row>
    <row r="314" spans="1:24" s="310" customFormat="1" ht="25.5" customHeight="1">
      <c r="A314"/>
      <c r="B314" s="1"/>
      <c r="C314" s="550"/>
      <c r="D314" s="64"/>
      <c r="E314" s="488"/>
      <c r="F314" s="434"/>
      <c r="G314" s="434"/>
      <c r="H314" s="434"/>
      <c r="I314" s="64"/>
      <c r="J314" s="64"/>
      <c r="K314" s="64"/>
      <c r="L314" s="64"/>
      <c r="M314" s="434"/>
      <c r="N314" s="64"/>
      <c r="O314" s="64"/>
      <c r="P314" s="64"/>
      <c r="Q314" s="64"/>
      <c r="R314" s="63"/>
      <c r="S314" s="549"/>
      <c r="T314" s="549"/>
      <c r="U314" s="63"/>
      <c r="V314" s="63"/>
      <c r="W314" s="579"/>
      <c r="X314" s="364"/>
    </row>
    <row r="315" spans="1:24" s="310" customFormat="1" ht="25.5" customHeight="1">
      <c r="A315"/>
      <c r="B315" s="1"/>
      <c r="C315" s="550"/>
      <c r="D315" s="64"/>
      <c r="E315" s="488"/>
      <c r="F315" s="434"/>
      <c r="G315" s="434"/>
      <c r="H315" s="434"/>
      <c r="I315" s="64"/>
      <c r="J315" s="64"/>
      <c r="K315" s="64"/>
      <c r="L315" s="64"/>
      <c r="M315" s="434"/>
      <c r="N315" s="64"/>
      <c r="O315" s="64"/>
      <c r="P315" s="64"/>
      <c r="Q315" s="64"/>
      <c r="R315" s="63"/>
      <c r="S315" s="549"/>
      <c r="T315" s="549"/>
      <c r="U315" s="63"/>
      <c r="V315" s="63"/>
      <c r="W315" s="579"/>
      <c r="X315" s="364"/>
    </row>
    <row r="316" spans="1:24" s="310" customFormat="1" ht="25.5" customHeight="1">
      <c r="A316"/>
      <c r="B316" s="1"/>
      <c r="C316" s="550"/>
      <c r="D316" s="64"/>
      <c r="E316" s="488"/>
      <c r="F316" s="434"/>
      <c r="G316" s="434"/>
      <c r="H316" s="434"/>
      <c r="I316" s="64"/>
      <c r="J316" s="64"/>
      <c r="K316" s="64"/>
      <c r="L316" s="64"/>
      <c r="M316" s="434"/>
      <c r="N316" s="64"/>
      <c r="O316" s="64"/>
      <c r="P316" s="64"/>
      <c r="Q316" s="64"/>
      <c r="R316" s="63"/>
      <c r="S316" s="549"/>
      <c r="T316" s="549"/>
      <c r="U316" s="63"/>
      <c r="V316" s="63"/>
      <c r="W316" s="579"/>
      <c r="X316" s="364"/>
    </row>
    <row r="317" spans="1:24" s="310" customFormat="1" ht="25.5" customHeight="1">
      <c r="A317"/>
      <c r="B317" s="1"/>
      <c r="C317" s="550"/>
      <c r="D317" s="64"/>
      <c r="E317" s="488"/>
      <c r="F317" s="434"/>
      <c r="G317" s="434"/>
      <c r="H317" s="434"/>
      <c r="I317" s="64"/>
      <c r="J317" s="64"/>
      <c r="K317" s="64"/>
      <c r="L317" s="64"/>
      <c r="M317" s="434"/>
      <c r="N317" s="64"/>
      <c r="O317" s="64"/>
      <c r="P317" s="64"/>
      <c r="Q317" s="64"/>
      <c r="R317" s="63"/>
      <c r="S317" s="549"/>
      <c r="T317" s="549"/>
      <c r="U317" s="63"/>
      <c r="V317" s="63"/>
      <c r="W317" s="579"/>
      <c r="X317" s="364"/>
    </row>
    <row r="318" spans="1:24" s="310" customFormat="1" ht="25.5" customHeight="1">
      <c r="A318"/>
      <c r="B318" s="1"/>
      <c r="C318" s="550"/>
      <c r="D318" s="64"/>
      <c r="E318" s="488"/>
      <c r="F318" s="434"/>
      <c r="G318" s="434"/>
      <c r="H318" s="434"/>
      <c r="I318" s="64"/>
      <c r="J318" s="64"/>
      <c r="K318" s="64"/>
      <c r="L318" s="64"/>
      <c r="M318" s="434"/>
      <c r="N318" s="64"/>
      <c r="O318" s="64"/>
      <c r="P318" s="64"/>
      <c r="Q318" s="64"/>
      <c r="R318" s="63"/>
      <c r="S318" s="549"/>
      <c r="T318" s="549"/>
      <c r="U318" s="63"/>
      <c r="V318" s="63"/>
      <c r="W318" s="579"/>
      <c r="X318" s="364"/>
    </row>
    <row r="319" spans="1:24" s="310" customFormat="1" ht="25.5" customHeight="1">
      <c r="A319"/>
      <c r="B319" s="1"/>
      <c r="C319" s="550"/>
      <c r="D319" s="64"/>
      <c r="E319" s="488"/>
      <c r="F319" s="434"/>
      <c r="G319" s="434"/>
      <c r="H319" s="434"/>
      <c r="I319" s="64"/>
      <c r="J319" s="64"/>
      <c r="K319" s="64"/>
      <c r="L319" s="64"/>
      <c r="M319" s="434"/>
      <c r="N319" s="64"/>
      <c r="O319" s="64"/>
      <c r="P319" s="64"/>
      <c r="Q319" s="64"/>
      <c r="R319" s="63"/>
      <c r="S319" s="549"/>
      <c r="T319" s="549"/>
      <c r="U319" s="63"/>
      <c r="V319" s="63"/>
      <c r="W319" s="579"/>
      <c r="X319" s="364"/>
    </row>
    <row r="320" spans="1:24" s="310" customFormat="1" ht="25.5" customHeight="1">
      <c r="A320"/>
      <c r="B320" s="1"/>
      <c r="C320" s="550"/>
      <c r="D320" s="64"/>
      <c r="E320" s="488"/>
      <c r="F320" s="434"/>
      <c r="G320" s="434"/>
      <c r="H320" s="434"/>
      <c r="I320" s="64"/>
      <c r="J320" s="64"/>
      <c r="K320" s="64"/>
      <c r="L320" s="64"/>
      <c r="M320" s="434"/>
      <c r="N320" s="64"/>
      <c r="O320" s="64"/>
      <c r="P320" s="64"/>
      <c r="Q320" s="64"/>
      <c r="R320" s="63"/>
      <c r="S320" s="549"/>
      <c r="T320" s="549"/>
      <c r="U320" s="63"/>
      <c r="V320" s="63"/>
      <c r="W320" s="579"/>
      <c r="X320" s="364"/>
    </row>
    <row r="321" spans="1:24" s="310" customFormat="1" ht="25.5" customHeight="1">
      <c r="A321"/>
      <c r="B321" s="1"/>
      <c r="C321" s="550"/>
      <c r="D321" s="64"/>
      <c r="E321" s="488"/>
      <c r="F321" s="434"/>
      <c r="G321" s="434"/>
      <c r="H321" s="434"/>
      <c r="I321" s="64"/>
      <c r="J321" s="64"/>
      <c r="K321" s="64"/>
      <c r="L321" s="64"/>
      <c r="M321" s="434"/>
      <c r="N321" s="64"/>
      <c r="O321" s="64"/>
      <c r="P321" s="64"/>
      <c r="Q321" s="64"/>
      <c r="R321" s="63"/>
      <c r="S321" s="549"/>
      <c r="T321" s="549"/>
      <c r="U321" s="63"/>
      <c r="V321" s="63"/>
      <c r="W321" s="579"/>
      <c r="X321" s="364"/>
    </row>
    <row r="322" spans="1:24" s="310" customFormat="1" ht="25.5" customHeight="1">
      <c r="A322"/>
      <c r="B322" s="1"/>
      <c r="C322" s="550"/>
      <c r="D322" s="64"/>
      <c r="E322" s="488"/>
      <c r="F322" s="434"/>
      <c r="G322" s="434"/>
      <c r="H322" s="434"/>
      <c r="I322" s="64"/>
      <c r="J322" s="64"/>
      <c r="K322" s="64"/>
      <c r="L322" s="64"/>
      <c r="M322" s="434"/>
      <c r="N322" s="64"/>
      <c r="O322" s="64"/>
      <c r="P322" s="64"/>
      <c r="Q322" s="64"/>
      <c r="R322" s="63"/>
      <c r="S322" s="549"/>
      <c r="T322" s="549"/>
      <c r="U322" s="63"/>
      <c r="V322" s="63"/>
      <c r="W322" s="579"/>
      <c r="X322" s="364"/>
    </row>
    <row r="323" spans="1:24" s="310" customFormat="1" ht="25.5" customHeight="1">
      <c r="A323"/>
      <c r="B323" s="1"/>
      <c r="C323" s="550"/>
      <c r="D323" s="64"/>
      <c r="E323" s="488"/>
      <c r="F323" s="434"/>
      <c r="G323" s="434"/>
      <c r="H323" s="434"/>
      <c r="I323" s="64"/>
      <c r="J323" s="64"/>
      <c r="K323" s="64"/>
      <c r="L323" s="64"/>
      <c r="M323" s="434"/>
      <c r="N323" s="64"/>
      <c r="O323" s="64"/>
      <c r="P323" s="64"/>
      <c r="Q323" s="64"/>
      <c r="R323" s="63"/>
      <c r="S323" s="549"/>
      <c r="T323" s="549"/>
      <c r="U323" s="63"/>
      <c r="V323" s="63"/>
      <c r="W323" s="579"/>
      <c r="X323" s="364"/>
    </row>
    <row r="324" spans="1:24" s="310" customFormat="1" ht="25.5" customHeight="1">
      <c r="A324"/>
      <c r="B324" s="1"/>
      <c r="C324" s="550"/>
      <c r="D324" s="64"/>
      <c r="E324" s="488"/>
      <c r="F324" s="434"/>
      <c r="G324" s="434"/>
      <c r="H324" s="434"/>
      <c r="I324" s="64"/>
      <c r="J324" s="64"/>
      <c r="K324" s="64"/>
      <c r="L324" s="64"/>
      <c r="M324" s="434"/>
      <c r="N324" s="64"/>
      <c r="O324" s="64"/>
      <c r="P324" s="64"/>
      <c r="Q324" s="64"/>
      <c r="R324" s="63"/>
      <c r="S324" s="549"/>
      <c r="T324" s="549"/>
      <c r="U324" s="63"/>
      <c r="V324" s="63"/>
      <c r="W324" s="579"/>
      <c r="X324" s="364"/>
    </row>
    <row r="325" spans="1:24" s="310" customFormat="1" ht="25.5" customHeight="1">
      <c r="A325"/>
      <c r="B325" s="1"/>
      <c r="C325" s="550"/>
      <c r="D325" s="64"/>
      <c r="E325" s="488"/>
      <c r="F325" s="434"/>
      <c r="G325" s="434"/>
      <c r="H325" s="434"/>
      <c r="I325" s="64"/>
      <c r="J325" s="64"/>
      <c r="K325" s="64"/>
      <c r="L325" s="64"/>
      <c r="M325" s="434"/>
      <c r="N325" s="64"/>
      <c r="O325" s="64"/>
      <c r="P325" s="64"/>
      <c r="Q325" s="64"/>
      <c r="R325" s="63"/>
      <c r="S325" s="549"/>
      <c r="T325" s="549"/>
      <c r="U325" s="63"/>
      <c r="V325" s="63"/>
      <c r="W325" s="579"/>
      <c r="X325" s="364"/>
    </row>
    <row r="326" spans="1:24" s="310" customFormat="1" ht="25.5" customHeight="1">
      <c r="A326"/>
      <c r="B326" s="1"/>
      <c r="C326" s="550"/>
      <c r="D326" s="64"/>
      <c r="E326" s="488"/>
      <c r="F326" s="434"/>
      <c r="G326" s="434"/>
      <c r="H326" s="434"/>
      <c r="I326" s="64"/>
      <c r="J326" s="64"/>
      <c r="K326" s="64"/>
      <c r="L326" s="64"/>
      <c r="M326" s="434"/>
      <c r="N326" s="64"/>
      <c r="O326" s="64"/>
      <c r="P326" s="64"/>
      <c r="Q326" s="64"/>
      <c r="R326" s="63"/>
      <c r="S326" s="549"/>
      <c r="T326" s="549"/>
      <c r="U326" s="63"/>
      <c r="V326" s="63"/>
      <c r="W326" s="579"/>
      <c r="X326" s="364"/>
    </row>
    <row r="327" spans="1:24" s="310" customFormat="1" ht="25.5" customHeight="1">
      <c r="A327"/>
      <c r="B327" s="1"/>
      <c r="C327" s="550"/>
      <c r="D327" s="64"/>
      <c r="E327" s="488"/>
      <c r="F327" s="434"/>
      <c r="G327" s="434"/>
      <c r="H327" s="434"/>
      <c r="I327" s="64"/>
      <c r="J327" s="64"/>
      <c r="K327" s="64"/>
      <c r="L327" s="64"/>
      <c r="M327" s="434"/>
      <c r="N327" s="64"/>
      <c r="O327" s="64"/>
      <c r="P327" s="64"/>
      <c r="Q327" s="64"/>
      <c r="R327" s="63"/>
      <c r="S327" s="549"/>
      <c r="T327" s="549"/>
      <c r="U327" s="63"/>
      <c r="V327" s="63"/>
      <c r="W327" s="579"/>
      <c r="X327" s="364"/>
    </row>
    <row r="328" spans="1:24" s="310" customFormat="1" ht="25.5" customHeight="1">
      <c r="A328"/>
      <c r="B328" s="1"/>
      <c r="C328" s="550"/>
      <c r="D328" s="64"/>
      <c r="E328" s="488"/>
      <c r="F328" s="434"/>
      <c r="G328" s="434"/>
      <c r="H328" s="434"/>
      <c r="I328" s="64"/>
      <c r="J328" s="64"/>
      <c r="K328" s="64"/>
      <c r="L328" s="64"/>
      <c r="M328" s="434"/>
      <c r="N328" s="64"/>
      <c r="O328" s="64"/>
      <c r="P328" s="64"/>
      <c r="Q328" s="64"/>
      <c r="R328" s="63"/>
      <c r="S328" s="549"/>
      <c r="T328" s="549"/>
      <c r="U328" s="63"/>
      <c r="V328" s="63"/>
      <c r="W328" s="579"/>
      <c r="X328" s="364"/>
    </row>
    <row r="329" spans="1:24" s="310" customFormat="1" ht="25.5" customHeight="1">
      <c r="A329"/>
      <c r="B329" s="1"/>
      <c r="C329" s="550"/>
      <c r="D329" s="64"/>
      <c r="E329" s="488"/>
      <c r="F329" s="434"/>
      <c r="G329" s="434"/>
      <c r="H329" s="434"/>
      <c r="I329" s="64"/>
      <c r="J329" s="64"/>
      <c r="K329" s="64"/>
      <c r="L329" s="64"/>
      <c r="M329" s="434"/>
      <c r="N329" s="64"/>
      <c r="O329" s="64"/>
      <c r="P329" s="64"/>
      <c r="Q329" s="64"/>
      <c r="R329" s="63"/>
      <c r="S329" s="549"/>
      <c r="T329" s="549"/>
      <c r="U329" s="63"/>
      <c r="V329" s="63"/>
      <c r="W329" s="579"/>
      <c r="X329" s="364"/>
    </row>
    <row r="330" spans="1:24" s="310" customFormat="1" ht="25.5" customHeight="1">
      <c r="A330"/>
      <c r="B330" s="1"/>
      <c r="C330" s="550"/>
      <c r="D330" s="64"/>
      <c r="E330" s="488"/>
      <c r="F330" s="434"/>
      <c r="G330" s="434"/>
      <c r="H330" s="434"/>
      <c r="I330" s="64"/>
      <c r="J330" s="64"/>
      <c r="K330" s="64"/>
      <c r="L330" s="64"/>
      <c r="M330" s="434"/>
      <c r="N330" s="64"/>
      <c r="O330" s="64"/>
      <c r="P330" s="64"/>
      <c r="Q330" s="64"/>
      <c r="R330" s="63"/>
      <c r="S330" s="549"/>
      <c r="T330" s="549"/>
      <c r="U330" s="63"/>
      <c r="V330" s="63"/>
      <c r="W330" s="579"/>
      <c r="X330" s="364"/>
    </row>
    <row r="331" spans="1:24" s="310" customFormat="1" ht="25.5" customHeight="1">
      <c r="A331"/>
      <c r="B331" s="1"/>
      <c r="C331" s="550"/>
      <c r="D331" s="64"/>
      <c r="E331" s="488"/>
      <c r="F331" s="434"/>
      <c r="G331" s="434"/>
      <c r="H331" s="434"/>
      <c r="I331" s="64"/>
      <c r="J331" s="64"/>
      <c r="K331" s="64"/>
      <c r="L331" s="64"/>
      <c r="M331" s="434"/>
      <c r="N331" s="64"/>
      <c r="O331" s="64"/>
      <c r="P331" s="64"/>
      <c r="Q331" s="64"/>
      <c r="R331" s="63"/>
      <c r="S331" s="549"/>
      <c r="T331" s="549"/>
      <c r="U331" s="63"/>
      <c r="V331" s="63"/>
      <c r="W331" s="579"/>
      <c r="X331" s="364"/>
    </row>
    <row r="332" spans="1:24" s="310" customFormat="1" ht="25.5" customHeight="1">
      <c r="A332"/>
      <c r="B332" s="1"/>
      <c r="C332" s="550"/>
      <c r="D332" s="64"/>
      <c r="E332" s="488"/>
      <c r="F332" s="434"/>
      <c r="G332" s="434"/>
      <c r="H332" s="434"/>
      <c r="I332" s="64"/>
      <c r="J332" s="64"/>
      <c r="K332" s="64"/>
      <c r="L332" s="64"/>
      <c r="M332" s="434"/>
      <c r="N332" s="64"/>
      <c r="O332" s="64"/>
      <c r="P332" s="64"/>
      <c r="Q332" s="64"/>
      <c r="R332" s="63"/>
      <c r="S332" s="549"/>
      <c r="T332" s="549"/>
      <c r="U332" s="63"/>
      <c r="V332" s="63"/>
      <c r="W332" s="579"/>
      <c r="X332" s="364"/>
    </row>
    <row r="333" spans="1:24" s="310" customFormat="1" ht="25.5" customHeight="1">
      <c r="A333"/>
      <c r="B333" s="1"/>
      <c r="C333" s="550"/>
      <c r="D333" s="64"/>
      <c r="E333" s="488"/>
      <c r="F333" s="434"/>
      <c r="G333" s="434"/>
      <c r="H333" s="434"/>
      <c r="I333" s="64"/>
      <c r="J333" s="64"/>
      <c r="K333" s="64"/>
      <c r="L333" s="64"/>
      <c r="M333" s="434"/>
      <c r="N333" s="64"/>
      <c r="O333" s="64"/>
      <c r="P333" s="64"/>
      <c r="Q333" s="64"/>
      <c r="R333" s="63"/>
      <c r="S333" s="549"/>
      <c r="T333" s="549"/>
      <c r="U333" s="63"/>
      <c r="V333" s="63"/>
      <c r="W333" s="579"/>
      <c r="X333" s="364"/>
    </row>
    <row r="334" spans="1:24" s="310" customFormat="1" ht="25.5" customHeight="1">
      <c r="A334"/>
      <c r="B334" s="1"/>
      <c r="C334" s="550"/>
      <c r="D334" s="64"/>
      <c r="E334" s="488"/>
      <c r="F334" s="434"/>
      <c r="G334" s="434"/>
      <c r="H334" s="434"/>
      <c r="I334" s="64"/>
      <c r="J334" s="64"/>
      <c r="K334" s="64"/>
      <c r="L334" s="64"/>
      <c r="M334" s="434"/>
      <c r="N334" s="64"/>
      <c r="O334" s="64"/>
      <c r="P334" s="64"/>
      <c r="Q334" s="64"/>
      <c r="R334" s="63"/>
      <c r="S334" s="549"/>
      <c r="T334" s="549"/>
      <c r="U334" s="63"/>
      <c r="V334" s="63"/>
      <c r="W334" s="579"/>
      <c r="X334" s="364"/>
    </row>
    <row r="335" spans="1:24" s="310" customFormat="1" ht="25.5" customHeight="1">
      <c r="A335"/>
      <c r="B335" s="1"/>
      <c r="C335" s="550"/>
      <c r="D335" s="64"/>
      <c r="E335" s="488"/>
      <c r="F335" s="434"/>
      <c r="G335" s="434"/>
      <c r="H335" s="434"/>
      <c r="I335" s="64"/>
      <c r="J335" s="64"/>
      <c r="K335" s="64"/>
      <c r="L335" s="64"/>
      <c r="M335" s="434"/>
      <c r="N335" s="64"/>
      <c r="O335" s="64"/>
      <c r="P335" s="64"/>
      <c r="Q335" s="64"/>
      <c r="R335" s="63"/>
      <c r="S335" s="549"/>
      <c r="T335" s="549"/>
      <c r="U335" s="63"/>
      <c r="V335" s="63"/>
      <c r="W335" s="579"/>
      <c r="X335" s="364"/>
    </row>
    <row r="336" spans="1:24" s="310" customFormat="1" ht="25.5" customHeight="1">
      <c r="A336"/>
      <c r="B336" s="1"/>
      <c r="C336" s="550"/>
      <c r="D336" s="64"/>
      <c r="E336" s="488"/>
      <c r="F336" s="434"/>
      <c r="G336" s="434"/>
      <c r="H336" s="434"/>
      <c r="I336" s="64"/>
      <c r="J336" s="64"/>
      <c r="K336" s="64"/>
      <c r="L336" s="64"/>
      <c r="M336" s="434"/>
      <c r="N336" s="64"/>
      <c r="O336" s="64"/>
      <c r="P336" s="64"/>
      <c r="Q336" s="64"/>
      <c r="R336" s="63"/>
      <c r="S336" s="549"/>
      <c r="T336" s="549"/>
      <c r="U336" s="63"/>
      <c r="V336" s="63"/>
      <c r="W336" s="579"/>
      <c r="X336" s="364"/>
    </row>
    <row r="337" spans="1:24" s="310" customFormat="1" ht="25.5" customHeight="1">
      <c r="A337"/>
      <c r="B337" s="1"/>
      <c r="C337" s="550"/>
      <c r="D337" s="64"/>
      <c r="E337" s="488"/>
      <c r="F337" s="434"/>
      <c r="G337" s="434"/>
      <c r="H337" s="434"/>
      <c r="I337" s="64"/>
      <c r="J337" s="64"/>
      <c r="K337" s="64"/>
      <c r="L337" s="64"/>
      <c r="M337" s="434"/>
      <c r="N337" s="64"/>
      <c r="O337" s="64"/>
      <c r="P337" s="64"/>
      <c r="Q337" s="64"/>
      <c r="R337" s="63"/>
      <c r="S337" s="549"/>
      <c r="T337" s="549"/>
      <c r="U337" s="63"/>
      <c r="V337" s="63"/>
      <c r="W337" s="579"/>
      <c r="X337" s="364"/>
    </row>
    <row r="338" spans="1:24" s="310" customFormat="1" ht="25.5" customHeight="1">
      <c r="A338"/>
      <c r="B338" s="1"/>
      <c r="C338" s="550"/>
      <c r="D338" s="64"/>
      <c r="E338" s="488"/>
      <c r="F338" s="434"/>
      <c r="G338" s="434"/>
      <c r="H338" s="434"/>
      <c r="I338" s="64"/>
      <c r="J338" s="64"/>
      <c r="K338" s="64"/>
      <c r="L338" s="64"/>
      <c r="M338" s="434"/>
      <c r="N338" s="64"/>
      <c r="O338" s="64"/>
      <c r="P338" s="64"/>
      <c r="Q338" s="64"/>
      <c r="R338" s="63"/>
      <c r="S338" s="549"/>
      <c r="T338" s="549"/>
      <c r="U338" s="63"/>
      <c r="V338" s="63"/>
      <c r="W338" s="579"/>
      <c r="X338" s="364"/>
    </row>
    <row r="339" spans="1:24" s="310" customFormat="1" ht="25.5" customHeight="1">
      <c r="A339"/>
      <c r="B339" s="1"/>
      <c r="C339" s="550"/>
      <c r="D339" s="64"/>
      <c r="E339" s="488"/>
      <c r="F339" s="434"/>
      <c r="G339" s="434"/>
      <c r="H339" s="434"/>
      <c r="I339" s="64"/>
      <c r="J339" s="64"/>
      <c r="K339" s="64"/>
      <c r="L339" s="64"/>
      <c r="M339" s="434"/>
      <c r="N339" s="64"/>
      <c r="O339" s="64"/>
      <c r="P339" s="64"/>
      <c r="Q339" s="64"/>
      <c r="R339" s="63"/>
      <c r="S339" s="549"/>
      <c r="T339" s="549"/>
      <c r="U339" s="63"/>
      <c r="V339" s="63"/>
      <c r="W339" s="579"/>
      <c r="X339" s="364"/>
    </row>
    <row r="340" spans="1:24" s="310" customFormat="1" ht="25.5" customHeight="1">
      <c r="A340"/>
      <c r="B340" s="1"/>
      <c r="C340" s="550"/>
      <c r="D340" s="64"/>
      <c r="E340" s="488"/>
      <c r="F340" s="434"/>
      <c r="G340" s="434"/>
      <c r="H340" s="434"/>
      <c r="I340" s="64"/>
      <c r="J340" s="64"/>
      <c r="K340" s="64"/>
      <c r="L340" s="64"/>
      <c r="M340" s="434"/>
      <c r="N340" s="64"/>
      <c r="O340" s="64"/>
      <c r="P340" s="64"/>
      <c r="Q340" s="64"/>
      <c r="R340" s="63"/>
      <c r="S340" s="549"/>
      <c r="T340" s="549"/>
      <c r="U340" s="63"/>
      <c r="V340" s="63"/>
      <c r="W340" s="579"/>
      <c r="X340" s="364"/>
    </row>
    <row r="341" spans="1:24" s="310" customFormat="1" ht="25.5" customHeight="1">
      <c r="A341"/>
      <c r="B341" s="1"/>
      <c r="C341" s="550"/>
      <c r="D341" s="64"/>
      <c r="E341" s="488"/>
      <c r="F341" s="434"/>
      <c r="G341" s="434"/>
      <c r="H341" s="434"/>
      <c r="I341" s="64"/>
      <c r="J341" s="64"/>
      <c r="K341" s="64"/>
      <c r="L341" s="64"/>
      <c r="M341" s="434"/>
      <c r="N341" s="64"/>
      <c r="O341" s="64"/>
      <c r="P341" s="64"/>
      <c r="Q341" s="64"/>
      <c r="R341" s="63"/>
      <c r="S341" s="549"/>
      <c r="T341" s="549"/>
      <c r="U341" s="63"/>
      <c r="V341" s="63"/>
      <c r="W341" s="579"/>
      <c r="X341" s="364"/>
    </row>
    <row r="342" spans="1:24" s="310" customFormat="1" ht="25.5" customHeight="1">
      <c r="A342"/>
      <c r="B342" s="1"/>
      <c r="C342" s="550"/>
      <c r="D342" s="64"/>
      <c r="E342" s="488"/>
      <c r="F342" s="434"/>
      <c r="G342" s="434"/>
      <c r="H342" s="434"/>
      <c r="I342" s="64"/>
      <c r="J342" s="64"/>
      <c r="K342" s="64"/>
      <c r="L342" s="64"/>
      <c r="M342" s="434"/>
      <c r="N342" s="64"/>
      <c r="O342" s="64"/>
      <c r="P342" s="64"/>
      <c r="Q342" s="64"/>
      <c r="R342" s="63"/>
      <c r="S342" s="549"/>
      <c r="T342" s="549"/>
      <c r="U342" s="63"/>
      <c r="V342" s="63"/>
      <c r="W342" s="579"/>
      <c r="X342" s="364"/>
    </row>
    <row r="343" spans="1:24" s="310" customFormat="1" ht="25.5" customHeight="1">
      <c r="A343"/>
      <c r="B343" s="1"/>
      <c r="C343" s="550"/>
      <c r="D343" s="64"/>
      <c r="E343" s="488"/>
      <c r="F343" s="434"/>
      <c r="G343" s="434"/>
      <c r="H343" s="434"/>
      <c r="I343" s="64"/>
      <c r="J343" s="64"/>
      <c r="K343" s="64"/>
      <c r="L343" s="64"/>
      <c r="M343" s="434"/>
      <c r="N343" s="64"/>
      <c r="O343" s="64"/>
      <c r="P343" s="64"/>
      <c r="Q343" s="64"/>
      <c r="R343" s="63"/>
      <c r="S343" s="549"/>
      <c r="T343" s="549"/>
      <c r="U343" s="63"/>
      <c r="V343" s="63"/>
      <c r="W343" s="579"/>
      <c r="X343" s="364"/>
    </row>
    <row r="344" spans="1:24" s="310" customFormat="1" ht="25.5" customHeight="1">
      <c r="A344"/>
      <c r="B344" s="1"/>
      <c r="C344" s="550"/>
      <c r="D344" s="64"/>
      <c r="E344" s="488"/>
      <c r="F344" s="434"/>
      <c r="G344" s="434"/>
      <c r="H344" s="434"/>
      <c r="I344" s="64"/>
      <c r="J344" s="64"/>
      <c r="K344" s="64"/>
      <c r="L344" s="64"/>
      <c r="M344" s="434"/>
      <c r="N344" s="64"/>
      <c r="O344" s="64"/>
      <c r="P344" s="64"/>
      <c r="Q344" s="64"/>
      <c r="R344" s="63"/>
      <c r="S344" s="549"/>
      <c r="T344" s="549"/>
      <c r="U344" s="63"/>
      <c r="V344" s="63"/>
      <c r="W344" s="579"/>
      <c r="X344" s="364"/>
    </row>
    <row r="345" spans="1:24" s="310" customFormat="1" ht="25.5" customHeight="1">
      <c r="A345"/>
      <c r="B345" s="1"/>
      <c r="C345" s="550"/>
      <c r="D345" s="64"/>
      <c r="E345" s="488"/>
      <c r="F345" s="434"/>
      <c r="G345" s="434"/>
      <c r="H345" s="434"/>
      <c r="I345" s="64"/>
      <c r="J345" s="64"/>
      <c r="K345" s="64"/>
      <c r="L345" s="64"/>
      <c r="M345" s="434"/>
      <c r="N345" s="64"/>
      <c r="O345" s="64"/>
      <c r="P345" s="64"/>
      <c r="Q345" s="64"/>
      <c r="R345" s="63"/>
      <c r="S345" s="549"/>
      <c r="T345" s="549"/>
      <c r="U345" s="63"/>
      <c r="V345" s="63"/>
      <c r="W345" s="579"/>
      <c r="X345" s="364"/>
    </row>
    <row r="346" spans="1:24" s="310" customFormat="1" ht="25.5" customHeight="1">
      <c r="A346"/>
      <c r="B346" s="1"/>
      <c r="C346" s="550"/>
      <c r="D346" s="64"/>
      <c r="E346" s="488"/>
      <c r="F346" s="434"/>
      <c r="G346" s="434"/>
      <c r="H346" s="434"/>
      <c r="I346" s="64"/>
      <c r="J346" s="64"/>
      <c r="K346" s="64"/>
      <c r="L346" s="64"/>
      <c r="M346" s="434"/>
      <c r="N346" s="64"/>
      <c r="O346" s="64"/>
      <c r="P346" s="64"/>
      <c r="Q346" s="64"/>
      <c r="R346" s="63"/>
      <c r="S346" s="549"/>
      <c r="T346" s="549"/>
      <c r="U346" s="63"/>
      <c r="V346" s="63"/>
      <c r="W346" s="579"/>
      <c r="X346" s="364"/>
    </row>
    <row r="347" spans="1:24" s="310" customFormat="1" ht="25.5" customHeight="1">
      <c r="A347"/>
      <c r="B347" s="1"/>
      <c r="C347" s="550"/>
      <c r="D347" s="64"/>
      <c r="E347" s="488"/>
      <c r="F347" s="434"/>
      <c r="G347" s="434"/>
      <c r="H347" s="434"/>
      <c r="I347" s="64"/>
      <c r="J347" s="64"/>
      <c r="K347" s="64"/>
      <c r="L347" s="64"/>
      <c r="M347" s="434"/>
      <c r="N347" s="64"/>
      <c r="O347" s="64"/>
      <c r="P347" s="64"/>
      <c r="Q347" s="64"/>
      <c r="R347" s="63"/>
      <c r="S347" s="549"/>
      <c r="T347" s="549"/>
      <c r="U347" s="63"/>
      <c r="V347" s="63"/>
      <c r="W347" s="579"/>
      <c r="X347" s="364"/>
    </row>
    <row r="348" spans="1:24" s="310" customFormat="1" ht="25.5" customHeight="1">
      <c r="A348"/>
      <c r="B348" s="1"/>
      <c r="C348" s="550"/>
      <c r="D348" s="64"/>
      <c r="E348" s="488"/>
      <c r="F348" s="434"/>
      <c r="G348" s="434"/>
      <c r="H348" s="434"/>
      <c r="I348" s="64"/>
      <c r="J348" s="64"/>
      <c r="K348" s="64"/>
      <c r="L348" s="64"/>
      <c r="M348" s="434"/>
      <c r="N348" s="64"/>
      <c r="O348" s="64"/>
      <c r="P348" s="64"/>
      <c r="Q348" s="64"/>
      <c r="R348" s="63"/>
      <c r="S348" s="549"/>
      <c r="T348" s="549"/>
      <c r="U348" s="63"/>
      <c r="V348" s="63"/>
      <c r="W348" s="579"/>
      <c r="X348" s="364"/>
    </row>
    <row r="349" spans="1:24" s="310" customFormat="1" ht="25.5" customHeight="1">
      <c r="A349"/>
      <c r="B349" s="1"/>
      <c r="C349" s="550"/>
      <c r="D349" s="64"/>
      <c r="E349" s="488"/>
      <c r="F349" s="434"/>
      <c r="G349" s="434"/>
      <c r="H349" s="434"/>
      <c r="I349" s="64"/>
      <c r="J349" s="64"/>
      <c r="K349" s="64"/>
      <c r="L349" s="64"/>
      <c r="M349" s="434"/>
      <c r="N349" s="64"/>
      <c r="O349" s="64"/>
      <c r="P349" s="64"/>
      <c r="Q349" s="64"/>
      <c r="R349" s="63"/>
      <c r="S349" s="549"/>
      <c r="T349" s="549"/>
      <c r="U349" s="63"/>
      <c r="V349" s="63"/>
      <c r="W349" s="579"/>
      <c r="X349" s="364"/>
    </row>
    <row r="350" spans="1:24" s="310" customFormat="1" ht="25.5" customHeight="1">
      <c r="A350"/>
      <c r="B350" s="1"/>
      <c r="C350" s="550"/>
      <c r="D350" s="64"/>
      <c r="E350" s="488"/>
      <c r="F350" s="434"/>
      <c r="G350" s="434"/>
      <c r="H350" s="434"/>
      <c r="I350" s="64"/>
      <c r="J350" s="64"/>
      <c r="K350" s="64"/>
      <c r="L350" s="64"/>
      <c r="M350" s="434"/>
      <c r="N350" s="64"/>
      <c r="O350" s="64"/>
      <c r="P350" s="64"/>
      <c r="Q350" s="64"/>
      <c r="R350" s="63"/>
      <c r="S350" s="549"/>
      <c r="T350" s="549"/>
      <c r="U350" s="63"/>
      <c r="V350" s="63"/>
      <c r="W350" s="579"/>
      <c r="X350" s="364"/>
    </row>
    <row r="351" spans="1:24" s="310" customFormat="1" ht="25.5" customHeight="1">
      <c r="A351"/>
      <c r="B351" s="1"/>
      <c r="C351" s="550"/>
      <c r="D351" s="64"/>
      <c r="E351" s="488"/>
      <c r="F351" s="434"/>
      <c r="G351" s="434"/>
      <c r="H351" s="434"/>
      <c r="I351" s="64"/>
      <c r="J351" s="64"/>
      <c r="K351" s="64"/>
      <c r="L351" s="64"/>
      <c r="M351" s="434"/>
      <c r="N351" s="64"/>
      <c r="O351" s="64"/>
      <c r="P351" s="64"/>
      <c r="Q351" s="64"/>
      <c r="R351" s="63"/>
      <c r="S351" s="549"/>
      <c r="T351" s="549"/>
      <c r="U351" s="63"/>
      <c r="V351" s="63"/>
      <c r="W351" s="579"/>
      <c r="X351" s="364"/>
    </row>
    <row r="352" spans="1:24" s="310" customFormat="1" ht="25.5" customHeight="1">
      <c r="A352"/>
      <c r="B352" s="1"/>
      <c r="C352" s="550"/>
      <c r="D352" s="64"/>
      <c r="E352" s="488"/>
      <c r="F352" s="434"/>
      <c r="G352" s="434"/>
      <c r="H352" s="434"/>
      <c r="I352" s="64"/>
      <c r="J352" s="64"/>
      <c r="K352" s="64"/>
      <c r="L352" s="64"/>
      <c r="M352" s="434"/>
      <c r="N352" s="64"/>
      <c r="O352" s="64"/>
      <c r="P352" s="64"/>
      <c r="Q352" s="64"/>
      <c r="R352" s="63"/>
      <c r="S352" s="549"/>
      <c r="T352" s="549"/>
      <c r="U352" s="63"/>
      <c r="V352" s="63"/>
      <c r="W352" s="579"/>
      <c r="X352" s="364"/>
    </row>
    <row r="353" spans="1:24" s="310" customFormat="1" ht="25.5" customHeight="1">
      <c r="A353"/>
      <c r="B353" s="1"/>
      <c r="C353" s="550"/>
      <c r="D353" s="64"/>
      <c r="E353" s="488"/>
      <c r="F353" s="434"/>
      <c r="G353" s="434"/>
      <c r="H353" s="434"/>
      <c r="I353" s="64"/>
      <c r="J353" s="64"/>
      <c r="K353" s="64"/>
      <c r="L353" s="64"/>
      <c r="M353" s="434"/>
      <c r="N353" s="64"/>
      <c r="O353" s="64"/>
      <c r="P353" s="64"/>
      <c r="Q353" s="64"/>
      <c r="R353" s="63"/>
      <c r="S353" s="549"/>
      <c r="T353" s="549"/>
      <c r="U353" s="63"/>
      <c r="V353" s="63"/>
      <c r="W353" s="579"/>
      <c r="X353" s="364"/>
    </row>
    <row r="354" spans="1:24" s="310" customFormat="1" ht="25.5" customHeight="1">
      <c r="A354"/>
      <c r="B354" s="1"/>
      <c r="C354" s="550"/>
      <c r="D354" s="64"/>
      <c r="E354" s="488"/>
      <c r="F354" s="434"/>
      <c r="G354" s="434"/>
      <c r="H354" s="434"/>
      <c r="I354" s="64"/>
      <c r="J354" s="64"/>
      <c r="K354" s="64"/>
      <c r="L354" s="64"/>
      <c r="M354" s="434"/>
      <c r="N354" s="64"/>
      <c r="O354" s="64"/>
      <c r="P354" s="64"/>
      <c r="Q354" s="64"/>
      <c r="R354" s="63"/>
      <c r="S354" s="549"/>
      <c r="T354" s="549"/>
      <c r="U354" s="63"/>
      <c r="V354" s="63"/>
      <c r="W354" s="579"/>
      <c r="X354" s="364"/>
    </row>
    <row r="355" spans="1:24" s="310" customFormat="1" ht="25.5" customHeight="1">
      <c r="A355"/>
      <c r="B355" s="1"/>
      <c r="C355" s="550"/>
      <c r="D355" s="64"/>
      <c r="E355" s="488"/>
      <c r="F355" s="434"/>
      <c r="G355" s="434"/>
      <c r="H355" s="434"/>
      <c r="I355" s="64"/>
      <c r="J355" s="64"/>
      <c r="K355" s="64"/>
      <c r="L355" s="64"/>
      <c r="M355" s="434"/>
      <c r="N355" s="64"/>
      <c r="O355" s="64"/>
      <c r="P355" s="64"/>
      <c r="Q355" s="64"/>
      <c r="R355" s="63"/>
      <c r="S355" s="549"/>
      <c r="T355" s="549"/>
      <c r="U355" s="63"/>
      <c r="V355" s="63"/>
      <c r="W355" s="579"/>
      <c r="X355" s="364"/>
    </row>
    <row r="356" spans="1:24" s="310" customFormat="1" ht="25.5" customHeight="1">
      <c r="A356"/>
      <c r="B356" s="1"/>
      <c r="C356" s="550"/>
      <c r="D356" s="64"/>
      <c r="E356" s="488"/>
      <c r="F356" s="434"/>
      <c r="G356" s="434"/>
      <c r="H356" s="434"/>
      <c r="I356" s="64"/>
      <c r="J356" s="64"/>
      <c r="K356" s="64"/>
      <c r="L356" s="64"/>
      <c r="M356" s="434"/>
      <c r="N356" s="64"/>
      <c r="O356" s="64"/>
      <c r="P356" s="64"/>
      <c r="Q356" s="64"/>
      <c r="R356" s="63"/>
      <c r="S356" s="549"/>
      <c r="T356" s="549"/>
      <c r="U356" s="63"/>
      <c r="V356" s="63"/>
      <c r="W356" s="579"/>
      <c r="X356" s="364"/>
    </row>
    <row r="357" spans="1:24" s="310" customFormat="1" ht="25.5" customHeight="1">
      <c r="A357"/>
      <c r="B357" s="1"/>
      <c r="C357" s="550"/>
      <c r="D357" s="64"/>
      <c r="E357" s="488"/>
      <c r="F357" s="434"/>
      <c r="G357" s="434"/>
      <c r="H357" s="434"/>
      <c r="I357" s="64"/>
      <c r="J357" s="64"/>
      <c r="K357" s="64"/>
      <c r="L357" s="64"/>
      <c r="M357" s="434"/>
      <c r="N357" s="64"/>
      <c r="O357" s="64"/>
      <c r="P357" s="64"/>
      <c r="Q357" s="64"/>
      <c r="R357" s="63"/>
      <c r="S357" s="549"/>
      <c r="T357" s="549"/>
      <c r="U357" s="63"/>
      <c r="V357" s="63"/>
      <c r="W357" s="579"/>
      <c r="X357" s="364"/>
    </row>
    <row r="358" spans="1:24" s="310" customFormat="1" ht="25.5" customHeight="1">
      <c r="A358"/>
      <c r="B358" s="1"/>
      <c r="C358" s="550"/>
      <c r="D358" s="64"/>
      <c r="E358" s="488"/>
      <c r="F358" s="434"/>
      <c r="G358" s="434"/>
      <c r="H358" s="434"/>
      <c r="I358" s="64"/>
      <c r="J358" s="64"/>
      <c r="K358" s="64"/>
      <c r="L358" s="64"/>
      <c r="M358" s="434"/>
      <c r="N358" s="64"/>
      <c r="O358" s="64"/>
      <c r="P358" s="64"/>
      <c r="Q358" s="64"/>
      <c r="R358" s="63"/>
      <c r="S358" s="549"/>
      <c r="T358" s="549"/>
      <c r="U358" s="63"/>
      <c r="V358" s="63"/>
      <c r="W358" s="579"/>
      <c r="X358" s="364"/>
    </row>
    <row r="359" spans="1:24" s="310" customFormat="1" ht="25.5" customHeight="1">
      <c r="A359"/>
      <c r="B359" s="1"/>
      <c r="C359" s="550"/>
      <c r="D359" s="64"/>
      <c r="E359" s="488"/>
      <c r="F359" s="434"/>
      <c r="G359" s="434"/>
      <c r="H359" s="434"/>
      <c r="I359" s="64"/>
      <c r="J359" s="64"/>
      <c r="K359" s="64"/>
      <c r="L359" s="64"/>
      <c r="M359" s="434"/>
      <c r="N359" s="64"/>
      <c r="O359" s="64"/>
      <c r="P359" s="64"/>
      <c r="Q359" s="64"/>
      <c r="R359" s="63"/>
      <c r="S359" s="549"/>
      <c r="T359" s="549"/>
      <c r="U359" s="63"/>
      <c r="V359" s="63"/>
      <c r="W359" s="579"/>
      <c r="X359" s="364"/>
    </row>
    <row r="360" spans="1:24" s="310" customFormat="1" ht="25.5" customHeight="1">
      <c r="A360"/>
      <c r="B360" s="1"/>
      <c r="C360" s="550"/>
      <c r="D360" s="64"/>
      <c r="E360" s="488"/>
      <c r="F360" s="434"/>
      <c r="G360" s="434"/>
      <c r="H360" s="434"/>
      <c r="I360" s="64"/>
      <c r="J360" s="64"/>
      <c r="K360" s="64"/>
      <c r="L360" s="64"/>
      <c r="M360" s="434"/>
      <c r="N360" s="64"/>
      <c r="O360" s="64"/>
      <c r="P360" s="64"/>
      <c r="Q360" s="64"/>
      <c r="R360" s="63"/>
      <c r="S360" s="549"/>
      <c r="T360" s="549"/>
      <c r="U360" s="63"/>
      <c r="V360" s="63"/>
      <c r="W360" s="579"/>
      <c r="X360" s="364"/>
    </row>
    <row r="361" spans="1:24" s="310" customFormat="1" ht="25.5" customHeight="1">
      <c r="A361"/>
      <c r="B361" s="1"/>
      <c r="C361" s="550"/>
      <c r="D361" s="64"/>
      <c r="E361" s="488"/>
      <c r="F361" s="434"/>
      <c r="G361" s="434"/>
      <c r="H361" s="434"/>
      <c r="I361" s="64"/>
      <c r="J361" s="64"/>
      <c r="K361" s="64"/>
      <c r="L361" s="64"/>
      <c r="M361" s="434"/>
      <c r="N361" s="64"/>
      <c r="O361" s="64"/>
      <c r="P361" s="64"/>
      <c r="Q361" s="64"/>
      <c r="R361" s="63"/>
      <c r="S361" s="549"/>
      <c r="T361" s="549"/>
      <c r="U361" s="63"/>
      <c r="V361" s="63"/>
      <c r="W361" s="579"/>
      <c r="X361" s="364"/>
    </row>
    <row r="362" spans="1:24" s="310" customFormat="1" ht="25.5" customHeight="1">
      <c r="A362"/>
      <c r="B362" s="1"/>
      <c r="C362" s="550"/>
      <c r="D362" s="64"/>
      <c r="E362" s="488"/>
      <c r="F362" s="434"/>
      <c r="G362" s="434"/>
      <c r="H362" s="434"/>
      <c r="I362" s="64"/>
      <c r="J362" s="64"/>
      <c r="K362" s="64"/>
      <c r="L362" s="64"/>
      <c r="M362" s="434"/>
      <c r="N362" s="64"/>
      <c r="O362" s="64"/>
      <c r="P362" s="64"/>
      <c r="Q362" s="64"/>
      <c r="R362" s="63"/>
      <c r="S362" s="549"/>
      <c r="T362" s="549"/>
      <c r="U362" s="63"/>
      <c r="V362" s="63"/>
      <c r="W362" s="579"/>
      <c r="X362" s="364"/>
    </row>
    <row r="363" spans="1:24" s="310" customFormat="1" ht="25.5" customHeight="1">
      <c r="A363"/>
      <c r="B363" s="1"/>
      <c r="C363" s="550"/>
      <c r="D363" s="64"/>
      <c r="E363" s="488"/>
      <c r="F363" s="434"/>
      <c r="G363" s="434"/>
      <c r="H363" s="434"/>
      <c r="I363" s="64"/>
      <c r="J363" s="64"/>
      <c r="K363" s="64"/>
      <c r="L363" s="64"/>
      <c r="M363" s="434"/>
      <c r="N363" s="64"/>
      <c r="O363" s="64"/>
      <c r="P363" s="64"/>
      <c r="Q363" s="64"/>
      <c r="R363" s="63"/>
      <c r="S363" s="549"/>
      <c r="T363" s="549"/>
      <c r="U363" s="63"/>
      <c r="V363" s="63"/>
      <c r="W363" s="579"/>
      <c r="X363" s="364"/>
    </row>
    <row r="364" spans="1:24" s="310" customFormat="1" ht="25.5" customHeight="1">
      <c r="A364"/>
      <c r="B364" s="1"/>
      <c r="C364" s="550"/>
      <c r="D364" s="64"/>
      <c r="E364" s="488"/>
      <c r="F364" s="434"/>
      <c r="G364" s="434"/>
      <c r="H364" s="434"/>
      <c r="I364" s="64"/>
      <c r="J364" s="64"/>
      <c r="K364" s="64"/>
      <c r="L364" s="64"/>
      <c r="M364" s="434"/>
      <c r="N364" s="64"/>
      <c r="O364" s="64"/>
      <c r="P364" s="64"/>
      <c r="Q364" s="64"/>
      <c r="R364" s="63"/>
      <c r="S364" s="549"/>
      <c r="T364" s="549"/>
      <c r="U364" s="63"/>
      <c r="V364" s="63"/>
      <c r="W364" s="579"/>
      <c r="X364" s="364"/>
    </row>
    <row r="365" spans="1:24" s="310" customFormat="1" ht="25.5" customHeight="1">
      <c r="A365"/>
      <c r="B365" s="1"/>
      <c r="C365" s="550"/>
      <c r="D365" s="64"/>
      <c r="E365" s="488"/>
      <c r="F365" s="434"/>
      <c r="G365" s="434"/>
      <c r="H365" s="434"/>
      <c r="I365" s="64"/>
      <c r="J365" s="64"/>
      <c r="K365" s="64"/>
      <c r="L365" s="64"/>
      <c r="M365" s="434"/>
      <c r="N365" s="64"/>
      <c r="O365" s="64"/>
      <c r="P365" s="64"/>
      <c r="Q365" s="64"/>
      <c r="R365" s="63"/>
      <c r="S365" s="549"/>
      <c r="T365" s="549"/>
      <c r="U365" s="63"/>
      <c r="V365" s="63"/>
      <c r="W365" s="579"/>
      <c r="X365" s="364"/>
    </row>
    <row r="366" spans="1:24" s="310" customFormat="1" ht="25.5" customHeight="1">
      <c r="A366"/>
      <c r="B366" s="1"/>
      <c r="C366" s="550"/>
      <c r="D366" s="64"/>
      <c r="E366" s="488"/>
      <c r="F366" s="434"/>
      <c r="G366" s="434"/>
      <c r="H366" s="434"/>
      <c r="I366" s="64"/>
      <c r="J366" s="64"/>
      <c r="K366" s="64"/>
      <c r="L366" s="64"/>
      <c r="M366" s="434"/>
      <c r="N366" s="64"/>
      <c r="O366" s="64"/>
      <c r="P366" s="64"/>
      <c r="Q366" s="64"/>
      <c r="R366" s="63"/>
      <c r="S366" s="549"/>
      <c r="T366" s="549"/>
      <c r="U366" s="63"/>
      <c r="V366" s="63"/>
      <c r="W366" s="579"/>
      <c r="X366" s="364"/>
    </row>
    <row r="367" spans="1:24" s="310" customFormat="1" ht="25.5" customHeight="1">
      <c r="A367"/>
      <c r="B367" s="1"/>
      <c r="C367" s="550"/>
      <c r="D367" s="64"/>
      <c r="E367" s="488"/>
      <c r="F367" s="434"/>
      <c r="G367" s="434"/>
      <c r="H367" s="434"/>
      <c r="I367" s="64"/>
      <c r="J367" s="64"/>
      <c r="K367" s="64"/>
      <c r="L367" s="64"/>
      <c r="M367" s="434"/>
      <c r="N367" s="64"/>
      <c r="O367" s="64"/>
      <c r="P367" s="64"/>
      <c r="Q367" s="64"/>
      <c r="R367" s="63"/>
      <c r="S367" s="549"/>
      <c r="T367" s="549"/>
      <c r="U367" s="63"/>
      <c r="V367" s="63"/>
      <c r="W367" s="579"/>
      <c r="X367" s="364"/>
    </row>
    <row r="368" spans="1:24" s="310" customFormat="1" ht="25.5" customHeight="1">
      <c r="A368"/>
      <c r="B368" s="1"/>
      <c r="C368" s="550"/>
      <c r="D368" s="64"/>
      <c r="E368" s="488"/>
      <c r="F368" s="434"/>
      <c r="G368" s="434"/>
      <c r="H368" s="434"/>
      <c r="I368" s="64"/>
      <c r="J368" s="64"/>
      <c r="K368" s="64"/>
      <c r="L368" s="64"/>
      <c r="M368" s="434"/>
      <c r="N368" s="64"/>
      <c r="O368" s="64"/>
      <c r="P368" s="64"/>
      <c r="Q368" s="64"/>
      <c r="R368" s="63"/>
      <c r="S368" s="549"/>
      <c r="T368" s="549"/>
      <c r="U368" s="63"/>
      <c r="V368" s="63"/>
      <c r="W368" s="579"/>
      <c r="X368" s="364"/>
    </row>
    <row r="369" spans="1:24" s="310" customFormat="1" ht="25.5" customHeight="1">
      <c r="A369"/>
      <c r="B369" s="1"/>
      <c r="C369" s="550"/>
      <c r="D369" s="64"/>
      <c r="E369" s="488"/>
      <c r="F369" s="434"/>
      <c r="G369" s="434"/>
      <c r="H369" s="434"/>
      <c r="I369" s="64"/>
      <c r="J369" s="64"/>
      <c r="K369" s="64"/>
      <c r="L369" s="64"/>
      <c r="M369" s="434"/>
      <c r="N369" s="64"/>
      <c r="O369" s="64"/>
      <c r="P369" s="64"/>
      <c r="Q369" s="64"/>
      <c r="R369" s="63"/>
      <c r="S369" s="549"/>
      <c r="T369" s="549"/>
      <c r="U369" s="63"/>
      <c r="V369" s="63"/>
      <c r="W369" s="579"/>
      <c r="X369" s="364"/>
    </row>
    <row r="370" spans="1:24" s="310" customFormat="1" ht="25.5" customHeight="1">
      <c r="A370"/>
      <c r="B370" s="1"/>
      <c r="C370" s="550"/>
      <c r="D370" s="64"/>
      <c r="E370" s="488"/>
      <c r="F370" s="434"/>
      <c r="G370" s="434"/>
      <c r="H370" s="434"/>
      <c r="I370" s="64"/>
      <c r="J370" s="64"/>
      <c r="K370" s="64"/>
      <c r="L370" s="64"/>
      <c r="M370" s="434"/>
      <c r="N370" s="64"/>
      <c r="O370" s="64"/>
      <c r="P370" s="64"/>
      <c r="Q370" s="64"/>
      <c r="R370" s="63"/>
      <c r="S370" s="549"/>
      <c r="T370" s="549"/>
      <c r="U370" s="63"/>
      <c r="V370" s="63"/>
      <c r="W370" s="579"/>
      <c r="X370" s="364"/>
    </row>
    <row r="371" spans="1:24" s="310" customFormat="1" ht="25.5" customHeight="1">
      <c r="A371"/>
      <c r="B371" s="1"/>
      <c r="C371" s="550"/>
      <c r="D371" s="64"/>
      <c r="E371" s="488"/>
      <c r="F371" s="434"/>
      <c r="G371" s="434"/>
      <c r="H371" s="434"/>
      <c r="I371" s="64"/>
      <c r="J371" s="64"/>
      <c r="K371" s="64"/>
      <c r="L371" s="64"/>
      <c r="M371" s="434"/>
      <c r="N371" s="64"/>
      <c r="O371" s="64"/>
      <c r="P371" s="64"/>
      <c r="Q371" s="64"/>
      <c r="R371" s="63"/>
      <c r="S371" s="549"/>
      <c r="T371" s="549"/>
      <c r="U371" s="63"/>
      <c r="V371" s="63"/>
      <c r="W371" s="579"/>
      <c r="X371" s="364"/>
    </row>
    <row r="372" spans="1:24" s="310" customFormat="1" ht="25.5" customHeight="1">
      <c r="A372"/>
      <c r="B372" s="1"/>
      <c r="C372" s="550"/>
      <c r="D372" s="64"/>
      <c r="E372" s="488"/>
      <c r="F372" s="434"/>
      <c r="G372" s="434"/>
      <c r="H372" s="434"/>
      <c r="I372" s="64"/>
      <c r="J372" s="64"/>
      <c r="K372" s="64"/>
      <c r="L372" s="64"/>
      <c r="M372" s="434"/>
      <c r="N372" s="64"/>
      <c r="O372" s="64"/>
      <c r="P372" s="64"/>
      <c r="Q372" s="64"/>
      <c r="R372" s="63"/>
      <c r="S372" s="549"/>
      <c r="T372" s="549"/>
      <c r="U372" s="63"/>
      <c r="V372" s="63"/>
      <c r="W372" s="579"/>
      <c r="X372" s="364"/>
    </row>
    <row r="373" spans="1:24" s="310" customFormat="1" ht="25.5" customHeight="1">
      <c r="A373"/>
      <c r="B373" s="1"/>
      <c r="C373" s="550"/>
      <c r="D373" s="64"/>
      <c r="E373" s="488"/>
      <c r="F373" s="434"/>
      <c r="G373" s="434"/>
      <c r="H373" s="434"/>
      <c r="I373" s="64"/>
      <c r="J373" s="64"/>
      <c r="K373" s="64"/>
      <c r="L373" s="64"/>
      <c r="M373" s="434"/>
      <c r="N373" s="64"/>
      <c r="O373" s="64"/>
      <c r="P373" s="64"/>
      <c r="Q373" s="64"/>
      <c r="R373" s="63"/>
      <c r="S373" s="549"/>
      <c r="T373" s="549"/>
      <c r="U373" s="63"/>
      <c r="V373" s="63"/>
      <c r="W373" s="579"/>
      <c r="X373" s="364"/>
    </row>
    <row r="374" spans="1:24" s="310" customFormat="1" ht="25.5" customHeight="1">
      <c r="A374"/>
      <c r="B374" s="1"/>
      <c r="C374" s="550"/>
      <c r="D374" s="64"/>
      <c r="E374" s="488"/>
      <c r="F374" s="434"/>
      <c r="G374" s="434"/>
      <c r="H374" s="434"/>
      <c r="I374" s="64"/>
      <c r="J374" s="64"/>
      <c r="K374" s="64"/>
      <c r="L374" s="64"/>
      <c r="M374" s="434"/>
      <c r="N374" s="64"/>
      <c r="O374" s="64"/>
      <c r="P374" s="64"/>
      <c r="Q374" s="64"/>
      <c r="R374" s="63"/>
      <c r="S374" s="549"/>
      <c r="T374" s="549"/>
      <c r="U374" s="63"/>
      <c r="V374" s="63"/>
      <c r="W374" s="579"/>
      <c r="X374" s="364"/>
    </row>
    <row r="375" spans="1:24" s="310" customFormat="1" ht="25.5" customHeight="1">
      <c r="A375"/>
      <c r="B375" s="1"/>
      <c r="C375" s="550"/>
      <c r="D375" s="64"/>
      <c r="E375" s="488"/>
      <c r="F375" s="434"/>
      <c r="G375" s="434"/>
      <c r="H375" s="434"/>
      <c r="I375" s="64"/>
      <c r="J375" s="64"/>
      <c r="K375" s="64"/>
      <c r="L375" s="64"/>
      <c r="M375" s="434"/>
      <c r="N375" s="64"/>
      <c r="O375" s="64"/>
      <c r="P375" s="64"/>
      <c r="Q375" s="64"/>
      <c r="R375" s="63"/>
      <c r="S375" s="549"/>
      <c r="T375" s="549"/>
      <c r="U375" s="63"/>
      <c r="V375" s="63"/>
      <c r="W375" s="579"/>
      <c r="X375" s="364"/>
    </row>
    <row r="376" spans="1:24" s="310" customFormat="1" ht="25.5" customHeight="1">
      <c r="A376"/>
      <c r="B376" s="1"/>
      <c r="C376" s="550"/>
      <c r="D376" s="64"/>
      <c r="E376" s="488"/>
      <c r="F376" s="434"/>
      <c r="G376" s="434"/>
      <c r="H376" s="434"/>
      <c r="I376" s="64"/>
      <c r="J376" s="64"/>
      <c r="K376" s="64"/>
      <c r="L376" s="64"/>
      <c r="M376" s="434"/>
      <c r="N376" s="64"/>
      <c r="O376" s="64"/>
      <c r="P376" s="64"/>
      <c r="Q376" s="64"/>
      <c r="R376" s="63"/>
      <c r="S376" s="549"/>
      <c r="T376" s="549"/>
      <c r="U376" s="63"/>
      <c r="V376" s="63"/>
      <c r="W376" s="579"/>
      <c r="X376" s="364"/>
    </row>
    <row r="377" spans="1:24" s="310" customFormat="1" ht="25.5" customHeight="1">
      <c r="A377"/>
      <c r="B377" s="1"/>
      <c r="C377" s="550"/>
      <c r="D377" s="64"/>
      <c r="E377" s="488"/>
      <c r="F377" s="434"/>
      <c r="G377" s="434"/>
      <c r="H377" s="434"/>
      <c r="I377" s="64"/>
      <c r="J377" s="64"/>
      <c r="K377" s="64"/>
      <c r="L377" s="64"/>
      <c r="M377" s="434"/>
      <c r="N377" s="64"/>
      <c r="O377" s="64"/>
      <c r="P377" s="64"/>
      <c r="Q377" s="64"/>
      <c r="R377" s="63"/>
      <c r="S377" s="549"/>
      <c r="T377" s="549"/>
      <c r="U377" s="63"/>
      <c r="V377" s="63"/>
      <c r="W377" s="579"/>
      <c r="X377" s="364"/>
    </row>
    <row r="378" spans="1:24" s="310" customFormat="1" ht="25.5" customHeight="1">
      <c r="A378"/>
      <c r="B378" s="1"/>
      <c r="C378" s="550"/>
      <c r="D378" s="64"/>
      <c r="E378" s="488"/>
      <c r="F378" s="434"/>
      <c r="G378" s="434"/>
      <c r="H378" s="434"/>
      <c r="I378" s="64"/>
      <c r="J378" s="64"/>
      <c r="K378" s="64"/>
      <c r="L378" s="64"/>
      <c r="M378" s="434"/>
      <c r="N378" s="64"/>
      <c r="O378" s="64"/>
      <c r="P378" s="64"/>
      <c r="Q378" s="64"/>
      <c r="R378" s="63"/>
      <c r="S378" s="549"/>
      <c r="T378" s="549"/>
      <c r="U378" s="63"/>
      <c r="V378" s="63"/>
      <c r="W378" s="579"/>
      <c r="X378" s="364"/>
    </row>
    <row r="379" spans="1:24" s="310" customFormat="1" ht="25.5" customHeight="1">
      <c r="A379"/>
      <c r="B379" s="1"/>
      <c r="C379" s="550"/>
      <c r="D379" s="64"/>
      <c r="E379" s="488"/>
      <c r="F379" s="434"/>
      <c r="G379" s="434"/>
      <c r="H379" s="434"/>
      <c r="I379" s="64"/>
      <c r="J379" s="64"/>
      <c r="K379" s="64"/>
      <c r="L379" s="64"/>
      <c r="M379" s="434"/>
      <c r="N379" s="64"/>
      <c r="O379" s="64"/>
      <c r="P379" s="64"/>
      <c r="Q379" s="64"/>
      <c r="R379" s="63"/>
      <c r="S379" s="549"/>
      <c r="T379" s="549"/>
      <c r="U379" s="63"/>
      <c r="V379" s="63"/>
      <c r="W379" s="579"/>
      <c r="X379" s="364"/>
    </row>
    <row r="380" spans="1:24" s="310" customFormat="1" ht="25.5" customHeight="1">
      <c r="A380"/>
      <c r="B380" s="1"/>
      <c r="C380" s="550"/>
      <c r="D380" s="64"/>
      <c r="E380" s="488"/>
      <c r="F380" s="434"/>
      <c r="G380" s="434"/>
      <c r="H380" s="434"/>
      <c r="I380" s="64"/>
      <c r="J380" s="64"/>
      <c r="K380" s="64"/>
      <c r="L380" s="64"/>
      <c r="M380" s="434"/>
      <c r="N380" s="64"/>
      <c r="O380" s="64"/>
      <c r="P380" s="64"/>
      <c r="Q380" s="64"/>
      <c r="R380" s="63"/>
      <c r="S380" s="549"/>
      <c r="T380" s="549"/>
      <c r="U380" s="63"/>
      <c r="V380" s="63"/>
      <c r="W380" s="579"/>
      <c r="X380" s="364"/>
    </row>
    <row r="381" spans="1:24" s="310" customFormat="1" ht="25.5" customHeight="1">
      <c r="A381"/>
      <c r="B381" s="1"/>
      <c r="C381" s="550"/>
      <c r="D381" s="64"/>
      <c r="E381" s="488"/>
      <c r="F381" s="434"/>
      <c r="G381" s="434"/>
      <c r="H381" s="434"/>
      <c r="I381" s="64"/>
      <c r="J381" s="64"/>
      <c r="K381" s="64"/>
      <c r="L381" s="64"/>
      <c r="M381" s="434"/>
      <c r="N381" s="64"/>
      <c r="O381" s="64"/>
      <c r="P381" s="64"/>
      <c r="Q381" s="64"/>
      <c r="R381" s="63"/>
      <c r="S381" s="549"/>
      <c r="T381" s="549"/>
      <c r="U381" s="63"/>
      <c r="V381" s="63"/>
      <c r="W381" s="579"/>
      <c r="X381" s="364"/>
    </row>
  </sheetData>
  <mergeCells count="33">
    <mergeCell ref="V7:V8"/>
    <mergeCell ref="P7:P8"/>
    <mergeCell ref="Q7:Q8"/>
    <mergeCell ref="R7:R8"/>
    <mergeCell ref="S7:S8"/>
    <mergeCell ref="T7:T8"/>
    <mergeCell ref="U7:U8"/>
    <mergeCell ref="I7:I8"/>
    <mergeCell ref="J7:J8"/>
    <mergeCell ref="K7:K8"/>
    <mergeCell ref="M7:M8"/>
    <mergeCell ref="N7:N8"/>
    <mergeCell ref="O7:O8"/>
    <mergeCell ref="M5:P6"/>
    <mergeCell ref="Q5:Q6"/>
    <mergeCell ref="R5:T6"/>
    <mergeCell ref="U5:U6"/>
    <mergeCell ref="V5:V6"/>
    <mergeCell ref="D7:D8"/>
    <mergeCell ref="E7:E8"/>
    <mergeCell ref="F7:F8"/>
    <mergeCell ref="G7:G8"/>
    <mergeCell ref="H7:H8"/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</mergeCells>
  <pageMargins left="0.17" right="0.17" top="0.19685039370078741" bottom="0.17" header="0.19685039370078741" footer="0.15748031496062992"/>
  <pageSetup paperSize="9" scale="7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1:X381"/>
  <sheetViews>
    <sheetView workbookViewId="0">
      <pane ySplit="8" topLeftCell="A279" activePane="bottomLeft" state="frozen"/>
      <selection activeCell="D177" sqref="D177"/>
      <selection pane="bottomLeft" activeCell="C287" sqref="C287"/>
    </sheetView>
  </sheetViews>
  <sheetFormatPr defaultRowHeight="25.5" customHeight="1"/>
  <cols>
    <col min="1" max="1" width="1.140625" customWidth="1"/>
    <col min="2" max="2" width="25.85546875" customWidth="1"/>
    <col min="3" max="3" width="12.85546875" style="282" customWidth="1"/>
    <col min="4" max="4" width="8.5703125" style="33" customWidth="1"/>
    <col min="5" max="5" width="8.85546875" style="273" customWidth="1"/>
    <col min="6" max="6" width="8.85546875" style="138" customWidth="1"/>
    <col min="7" max="7" width="3.85546875" style="138" customWidth="1"/>
    <col min="8" max="8" width="8.85546875" style="138" customWidth="1"/>
    <col min="9" max="10" width="5.140625" style="33" customWidth="1"/>
    <col min="11" max="11" width="7.7109375" style="33" customWidth="1"/>
    <col min="12" max="12" width="4.140625" style="33" customWidth="1"/>
    <col min="13" max="13" width="9.140625" style="138" customWidth="1"/>
    <col min="14" max="17" width="3.85546875" style="33" customWidth="1"/>
    <col min="18" max="18" width="3.85546875" customWidth="1"/>
    <col min="19" max="20" width="8.140625" style="168" customWidth="1"/>
    <col min="21" max="21" width="4" customWidth="1"/>
    <col min="22" max="22" width="4.140625" customWidth="1"/>
    <col min="23" max="23" width="23.42578125" style="310" customWidth="1"/>
  </cols>
  <sheetData>
    <row r="1" spans="1:24" s="1" customFormat="1" ht="18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18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18.75" customHeight="1">
      <c r="A3" s="653" t="s">
        <v>383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28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65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/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/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534400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196000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/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2" t="s">
        <v>81</v>
      </c>
      <c r="C19" s="285">
        <v>344150</v>
      </c>
      <c r="D19" s="131"/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6"/>
      <c r="C20" s="290"/>
      <c r="D20" s="195"/>
      <c r="E20" s="270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SUM(C10:C19)</f>
        <v>10086782</v>
      </c>
      <c r="D21" s="132">
        <f>SUM(D10:D19)</f>
        <v>731900</v>
      </c>
      <c r="E21" s="268">
        <f t="shared" ref="E21:V21" si="0">SUM(E10:E19)</f>
        <v>0</v>
      </c>
      <c r="F21" s="132">
        <f t="shared" si="0"/>
        <v>0</v>
      </c>
      <c r="G21" s="132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731900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v>1283280</v>
      </c>
      <c r="D27" s="131"/>
      <c r="E27" s="267">
        <v>104880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2417520</v>
      </c>
      <c r="D28" s="132">
        <f>SUM(D23:D27)</f>
        <v>0</v>
      </c>
      <c r="E28" s="268">
        <f>SUM(E23:E27)</f>
        <v>199400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199400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</f>
        <v>7021960</v>
      </c>
      <c r="D30" s="133"/>
      <c r="E30" s="269">
        <v>210600</v>
      </c>
      <c r="F30" s="136">
        <v>102190</v>
      </c>
      <c r="G30" s="136"/>
      <c r="H30" s="136">
        <v>69730</v>
      </c>
      <c r="I30" s="133"/>
      <c r="J30" s="133"/>
      <c r="K30" s="133"/>
      <c r="L30" s="133"/>
      <c r="M30" s="136">
        <v>104280</v>
      </c>
      <c r="N30" s="133"/>
      <c r="O30" s="133"/>
      <c r="P30" s="133"/>
      <c r="Q30" s="133"/>
      <c r="R30" s="217"/>
      <c r="S30" s="219"/>
      <c r="T30" s="219"/>
      <c r="U30" s="217"/>
      <c r="V30" s="217"/>
    </row>
    <row r="31" spans="1:23" ht="25.5" customHeight="1">
      <c r="A31" s="20"/>
      <c r="B31" s="130" t="s">
        <v>239</v>
      </c>
      <c r="C31" s="32">
        <v>1899600</v>
      </c>
      <c r="D31" s="133"/>
      <c r="E31" s="269"/>
      <c r="F31" s="136"/>
      <c r="G31" s="136"/>
      <c r="H31" s="136">
        <v>149020</v>
      </c>
      <c r="I31" s="133"/>
      <c r="J31" s="133"/>
      <c r="K31" s="133"/>
      <c r="L31" s="133"/>
      <c r="M31" s="136"/>
      <c r="N31" s="133"/>
      <c r="O31" s="133"/>
      <c r="P31" s="133"/>
      <c r="Q31" s="133"/>
      <c r="R31" s="217"/>
      <c r="S31" s="219"/>
      <c r="T31" s="219"/>
      <c r="U31" s="217"/>
      <c r="V31" s="217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136"/>
      <c r="G32" s="136"/>
      <c r="H32" s="136"/>
      <c r="I32" s="133"/>
      <c r="J32" s="133"/>
      <c r="K32" s="133"/>
      <c r="L32" s="133"/>
      <c r="M32" s="136"/>
      <c r="N32" s="133"/>
      <c r="O32" s="133"/>
      <c r="P32" s="133"/>
      <c r="Q32" s="133"/>
      <c r="R32" s="217"/>
      <c r="S32" s="219"/>
      <c r="T32" s="219"/>
      <c r="U32" s="217"/>
      <c r="V32" s="217"/>
    </row>
    <row r="33" spans="1:23" ht="25.5" customHeight="1">
      <c r="A33" s="20"/>
      <c r="B33" s="130" t="s">
        <v>8</v>
      </c>
      <c r="C33" s="32">
        <f>132000+42000+42000+42000</f>
        <v>258000</v>
      </c>
      <c r="D33" s="133"/>
      <c r="E33" s="269">
        <v>11000</v>
      </c>
      <c r="F33" s="136">
        <v>3500</v>
      </c>
      <c r="G33" s="136"/>
      <c r="H33" s="136">
        <v>3500</v>
      </c>
      <c r="I33" s="133"/>
      <c r="J33" s="133"/>
      <c r="K33" s="133"/>
      <c r="L33" s="133"/>
      <c r="M33" s="136">
        <v>3500</v>
      </c>
      <c r="N33" s="133"/>
      <c r="O33" s="133"/>
      <c r="P33" s="133"/>
      <c r="Q33" s="133"/>
      <c r="R33" s="217"/>
      <c r="S33" s="219"/>
      <c r="T33" s="219"/>
      <c r="U33" s="217"/>
      <c r="V33" s="217"/>
    </row>
    <row r="34" spans="1:23" ht="25.5" customHeight="1">
      <c r="A34" s="9"/>
      <c r="B34" s="130" t="s">
        <v>186</v>
      </c>
      <c r="C34" s="31">
        <f>787000+589000+559480+350880</f>
        <v>2286360</v>
      </c>
      <c r="D34" s="131"/>
      <c r="E34" s="267"/>
      <c r="F34" s="135"/>
      <c r="G34" s="135"/>
      <c r="H34" s="135"/>
      <c r="I34" s="131"/>
      <c r="J34" s="131"/>
      <c r="K34" s="131"/>
      <c r="L34" s="131"/>
      <c r="M34" s="135"/>
      <c r="N34" s="131"/>
      <c r="O34" s="131"/>
      <c r="P34" s="131"/>
      <c r="Q34" s="131"/>
      <c r="R34" s="217"/>
      <c r="S34" s="219"/>
      <c r="T34" s="219"/>
      <c r="U34" s="217"/>
      <c r="V34" s="217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7"/>
      <c r="F35" s="135"/>
      <c r="G35" s="135"/>
      <c r="H35" s="135"/>
      <c r="I35" s="131"/>
      <c r="J35" s="131"/>
      <c r="K35" s="131"/>
      <c r="L35" s="131"/>
      <c r="M35" s="135"/>
      <c r="N35" s="131"/>
      <c r="O35" s="131"/>
      <c r="P35" s="131"/>
      <c r="Q35" s="131"/>
      <c r="R35" s="217"/>
      <c r="S35" s="219"/>
      <c r="T35" s="219"/>
      <c r="U35" s="217"/>
      <c r="V35" s="217"/>
      <c r="W35" s="315"/>
    </row>
    <row r="36" spans="1:23" ht="25.5" customHeight="1">
      <c r="A36" s="9"/>
      <c r="B36" s="130" t="s">
        <v>91</v>
      </c>
      <c r="C36" s="288">
        <f>76000+72000+84000</f>
        <v>232000</v>
      </c>
      <c r="D36" s="131"/>
      <c r="E36" s="267"/>
      <c r="F36" s="135"/>
      <c r="G36" s="135"/>
      <c r="H36" s="135"/>
      <c r="I36" s="131"/>
      <c r="J36" s="131"/>
      <c r="K36" s="131"/>
      <c r="L36" s="131"/>
      <c r="M36" s="135"/>
      <c r="N36" s="131"/>
      <c r="O36" s="131"/>
      <c r="P36" s="131"/>
      <c r="Q36" s="131"/>
      <c r="R36" s="217"/>
      <c r="S36" s="219"/>
      <c r="T36" s="219"/>
      <c r="U36" s="217"/>
      <c r="V36" s="217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70"/>
      <c r="F37" s="196"/>
      <c r="G37" s="196"/>
      <c r="H37" s="196"/>
      <c r="I37" s="195"/>
      <c r="J37" s="195"/>
      <c r="K37" s="195"/>
      <c r="L37" s="195"/>
      <c r="M37" s="196"/>
      <c r="N37" s="195"/>
      <c r="O37" s="195"/>
      <c r="P37" s="195"/>
      <c r="Q37" s="195"/>
      <c r="R37" s="218"/>
      <c r="S37" s="220"/>
      <c r="T37" s="220"/>
      <c r="U37" s="218"/>
      <c r="V37" s="218"/>
      <c r="W37" s="315"/>
    </row>
    <row r="38" spans="1:23" ht="25.5" customHeight="1" thickBot="1">
      <c r="A38" s="46"/>
      <c r="B38" s="47" t="s">
        <v>5</v>
      </c>
      <c r="C38" s="289">
        <f>SUM(C30:C37)</f>
        <v>11982100</v>
      </c>
      <c r="D38" s="255">
        <f>SUM(D30:D37)</f>
        <v>0</v>
      </c>
      <c r="E38" s="255">
        <f t="shared" ref="E38:V38" si="2">SUM(E30:E37)</f>
        <v>222040</v>
      </c>
      <c r="F38" s="255">
        <f t="shared" si="2"/>
        <v>105690</v>
      </c>
      <c r="G38" s="255">
        <f t="shared" si="2"/>
        <v>0</v>
      </c>
      <c r="H38" s="255">
        <f t="shared" si="2"/>
        <v>222250</v>
      </c>
      <c r="I38" s="255">
        <f t="shared" si="2"/>
        <v>0</v>
      </c>
      <c r="J38" s="255">
        <f t="shared" si="2"/>
        <v>0</v>
      </c>
      <c r="K38" s="255">
        <f t="shared" si="2"/>
        <v>0</v>
      </c>
      <c r="L38" s="255">
        <f t="shared" si="2"/>
        <v>0</v>
      </c>
      <c r="M38" s="255">
        <f t="shared" si="2"/>
        <v>107780</v>
      </c>
      <c r="N38" s="255">
        <f t="shared" si="2"/>
        <v>0</v>
      </c>
      <c r="O38" s="255">
        <f t="shared" si="2"/>
        <v>0</v>
      </c>
      <c r="P38" s="255">
        <f t="shared" si="2"/>
        <v>0</v>
      </c>
      <c r="Q38" s="255">
        <f t="shared" si="2"/>
        <v>0</v>
      </c>
      <c r="R38" s="255">
        <f t="shared" si="2"/>
        <v>0</v>
      </c>
      <c r="S38" s="255">
        <f t="shared" si="2"/>
        <v>0</v>
      </c>
      <c r="T38" s="255"/>
      <c r="U38" s="255">
        <f t="shared" si="2"/>
        <v>0</v>
      </c>
      <c r="V38" s="255">
        <f t="shared" si="2"/>
        <v>0</v>
      </c>
      <c r="W38" s="316">
        <f>SUM(D38:V38)</f>
        <v>657760</v>
      </c>
    </row>
    <row r="39" spans="1:23" ht="25.5" customHeight="1" thickTop="1">
      <c r="A39" s="5" t="s">
        <v>98</v>
      </c>
      <c r="B39" s="6"/>
      <c r="C39" s="190"/>
      <c r="D39" s="133"/>
      <c r="E39" s="269"/>
      <c r="F39" s="136"/>
      <c r="G39" s="136"/>
      <c r="H39" s="136"/>
      <c r="I39" s="133"/>
      <c r="J39" s="133"/>
      <c r="K39" s="133"/>
      <c r="L39" s="133"/>
      <c r="M39" s="136"/>
      <c r="N39" s="133"/>
      <c r="O39" s="133"/>
      <c r="P39" s="133"/>
      <c r="Q39" s="133"/>
      <c r="R39" s="217"/>
      <c r="S39" s="219"/>
      <c r="T39" s="259"/>
      <c r="U39" s="258"/>
      <c r="V39" s="258"/>
      <c r="W39" s="317"/>
    </row>
    <row r="40" spans="1:23" ht="25.5" customHeight="1">
      <c r="A40" s="9"/>
      <c r="B40" s="130" t="s">
        <v>93</v>
      </c>
      <c r="C40" s="216">
        <v>5000</v>
      </c>
      <c r="D40" s="133"/>
      <c r="E40" s="269"/>
      <c r="F40" s="136"/>
      <c r="G40" s="136"/>
      <c r="H40" s="136"/>
      <c r="I40" s="133"/>
      <c r="J40" s="133"/>
      <c r="K40" s="133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5"/>
    </row>
    <row r="41" spans="1:23" ht="25.5" customHeight="1">
      <c r="A41" s="9"/>
      <c r="B41" s="130" t="s">
        <v>205</v>
      </c>
      <c r="C41" s="285">
        <v>10000</v>
      </c>
      <c r="D41" s="131"/>
      <c r="E41" s="267"/>
      <c r="F41" s="135"/>
      <c r="G41" s="135"/>
      <c r="H41" s="135"/>
      <c r="I41" s="131"/>
      <c r="J41" s="131"/>
      <c r="K41" s="131"/>
      <c r="L41" s="131"/>
      <c r="M41" s="135"/>
      <c r="N41" s="131"/>
      <c r="O41" s="131"/>
      <c r="P41" s="131"/>
      <c r="Q41" s="131"/>
      <c r="R41" s="217"/>
      <c r="S41" s="219"/>
      <c r="T41" s="219"/>
      <c r="U41" s="217"/>
      <c r="V41" s="217"/>
      <c r="W41" s="315"/>
    </row>
    <row r="42" spans="1:23" ht="25.5" customHeight="1">
      <c r="A42" s="9"/>
      <c r="B42" s="130" t="s">
        <v>94</v>
      </c>
      <c r="C42" s="285">
        <v>10000</v>
      </c>
      <c r="D42" s="131"/>
      <c r="E42" s="267"/>
      <c r="F42" s="135"/>
      <c r="G42" s="135"/>
      <c r="H42" s="135"/>
      <c r="I42" s="131"/>
      <c r="J42" s="131"/>
      <c r="K42" s="131"/>
      <c r="L42" s="131"/>
      <c r="M42" s="135"/>
      <c r="N42" s="131"/>
      <c r="O42" s="131"/>
      <c r="P42" s="131"/>
      <c r="Q42" s="131"/>
      <c r="R42" s="217"/>
      <c r="S42" s="219"/>
      <c r="T42" s="219"/>
      <c r="U42" s="217"/>
      <c r="V42" s="217"/>
      <c r="W42" s="311"/>
    </row>
    <row r="43" spans="1:23" ht="25.5" customHeight="1">
      <c r="A43" s="9"/>
      <c r="B43" s="130" t="s">
        <v>95</v>
      </c>
      <c r="C43" s="192">
        <v>5000</v>
      </c>
      <c r="D43" s="131"/>
      <c r="E43" s="267"/>
      <c r="F43" s="135"/>
      <c r="G43" s="135"/>
      <c r="H43" s="135"/>
      <c r="I43" s="131"/>
      <c r="J43" s="131"/>
      <c r="K43" s="131"/>
      <c r="L43" s="131"/>
      <c r="M43" s="135"/>
      <c r="N43" s="131"/>
      <c r="O43" s="131"/>
      <c r="P43" s="131"/>
      <c r="Q43" s="131"/>
      <c r="R43" s="217"/>
      <c r="S43" s="219"/>
      <c r="T43" s="219"/>
      <c r="U43" s="217"/>
      <c r="V43" s="217"/>
    </row>
    <row r="44" spans="1:23" ht="25.5" customHeight="1">
      <c r="A44" s="9"/>
      <c r="B44" s="130" t="s">
        <v>96</v>
      </c>
      <c r="C44" s="192">
        <v>5000</v>
      </c>
      <c r="D44" s="131"/>
      <c r="E44" s="267"/>
      <c r="F44" s="135"/>
      <c r="G44" s="135"/>
      <c r="H44" s="135"/>
      <c r="I44" s="131"/>
      <c r="J44" s="131"/>
      <c r="K44" s="131"/>
      <c r="L44" s="131"/>
      <c r="M44" s="135"/>
      <c r="N44" s="131"/>
      <c r="O44" s="131"/>
      <c r="P44" s="131"/>
      <c r="Q44" s="131"/>
      <c r="R44" s="217"/>
      <c r="S44" s="219"/>
      <c r="T44" s="219"/>
      <c r="U44" s="217"/>
      <c r="V44" s="217"/>
    </row>
    <row r="45" spans="1:23" ht="25.5" customHeight="1">
      <c r="A45" s="9"/>
      <c r="B45" s="130" t="s">
        <v>10</v>
      </c>
      <c r="C45" s="216">
        <f>144000+36000+78000+78000</f>
        <v>336000</v>
      </c>
      <c r="D45" s="133"/>
      <c r="E45" s="267">
        <v>9500</v>
      </c>
      <c r="F45" s="135">
        <v>3000</v>
      </c>
      <c r="G45" s="136"/>
      <c r="H45" s="135">
        <v>6500</v>
      </c>
      <c r="I45" s="133"/>
      <c r="J45" s="133"/>
      <c r="K45" s="133"/>
      <c r="L45" s="133"/>
      <c r="M45" s="135">
        <v>6500</v>
      </c>
      <c r="N45" s="133"/>
      <c r="O45" s="133"/>
      <c r="P45" s="133"/>
      <c r="Q45" s="133"/>
      <c r="R45" s="217"/>
      <c r="S45" s="219"/>
      <c r="T45" s="219"/>
      <c r="U45" s="217"/>
      <c r="V45" s="217"/>
    </row>
    <row r="46" spans="1:23" ht="25.5" customHeight="1">
      <c r="A46" s="9"/>
      <c r="B46" s="130" t="s">
        <v>9</v>
      </c>
      <c r="C46" s="216">
        <f>25000+10000+30000+20000</f>
        <v>85000</v>
      </c>
      <c r="D46" s="131"/>
      <c r="E46" s="267"/>
      <c r="F46" s="135"/>
      <c r="G46" s="135"/>
      <c r="H46" s="135"/>
      <c r="I46" s="131"/>
      <c r="J46" s="131"/>
      <c r="K46" s="131"/>
      <c r="L46" s="131"/>
      <c r="M46" s="135"/>
      <c r="N46" s="131"/>
      <c r="O46" s="131"/>
      <c r="P46" s="131"/>
      <c r="Q46" s="131"/>
      <c r="R46" s="217"/>
      <c r="S46" s="219"/>
      <c r="T46" s="219"/>
      <c r="U46" s="217"/>
      <c r="V46" s="217"/>
    </row>
    <row r="47" spans="1:23" ht="25.5" customHeight="1">
      <c r="A47" s="197"/>
      <c r="B47" s="198" t="s">
        <v>241</v>
      </c>
      <c r="C47" s="286">
        <v>44200</v>
      </c>
      <c r="D47" s="131"/>
      <c r="E47" s="267"/>
      <c r="F47" s="135"/>
      <c r="G47" s="135"/>
      <c r="H47" s="135"/>
      <c r="I47" s="131"/>
      <c r="J47" s="131"/>
      <c r="K47" s="131"/>
      <c r="L47" s="131"/>
      <c r="M47" s="135"/>
      <c r="N47" s="131"/>
      <c r="O47" s="131"/>
      <c r="P47" s="131"/>
      <c r="Q47" s="131"/>
      <c r="R47" s="217"/>
      <c r="S47" s="219"/>
      <c r="T47" s="219"/>
      <c r="U47" s="217"/>
      <c r="V47" s="217"/>
    </row>
    <row r="48" spans="1:23" ht="25.5" customHeight="1">
      <c r="A48" s="9"/>
      <c r="B48" s="6"/>
      <c r="C48" s="290"/>
      <c r="D48" s="195"/>
      <c r="E48" s="270"/>
      <c r="F48" s="196"/>
      <c r="G48" s="196"/>
      <c r="H48" s="196"/>
      <c r="I48" s="195"/>
      <c r="J48" s="195"/>
      <c r="K48" s="195"/>
      <c r="L48" s="195"/>
      <c r="M48" s="196"/>
      <c r="N48" s="195"/>
      <c r="O48" s="195"/>
      <c r="P48" s="195"/>
      <c r="Q48" s="195"/>
      <c r="R48" s="218"/>
      <c r="S48" s="220"/>
      <c r="T48" s="220"/>
      <c r="U48" s="218"/>
      <c r="V48" s="218"/>
    </row>
    <row r="49" spans="1:23" ht="25.5" customHeight="1" thickBot="1">
      <c r="A49" s="46"/>
      <c r="B49" s="47" t="s">
        <v>5</v>
      </c>
      <c r="C49" s="289">
        <f>SUM(C40:C47)</f>
        <v>500200</v>
      </c>
      <c r="D49" s="255">
        <f>SUM(D40:D47)</f>
        <v>0</v>
      </c>
      <c r="E49" s="255">
        <f t="shared" ref="E49:V49" si="3">SUM(E40:E47)</f>
        <v>9500</v>
      </c>
      <c r="F49" s="255">
        <f t="shared" si="3"/>
        <v>3000</v>
      </c>
      <c r="G49" s="255">
        <f t="shared" si="3"/>
        <v>0</v>
      </c>
      <c r="H49" s="255">
        <f t="shared" si="3"/>
        <v>6500</v>
      </c>
      <c r="I49" s="255">
        <f t="shared" si="3"/>
        <v>0</v>
      </c>
      <c r="J49" s="255">
        <f t="shared" si="3"/>
        <v>0</v>
      </c>
      <c r="K49" s="255">
        <f t="shared" si="3"/>
        <v>0</v>
      </c>
      <c r="L49" s="255">
        <f t="shared" si="3"/>
        <v>0</v>
      </c>
      <c r="M49" s="255">
        <f t="shared" si="3"/>
        <v>6500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25500</v>
      </c>
    </row>
    <row r="50" spans="1:23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3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3" ht="25.5" customHeight="1">
      <c r="A51" s="5"/>
      <c r="B51" s="130" t="s">
        <v>100</v>
      </c>
      <c r="C51" s="281">
        <f>15000+7000+20000+15000</f>
        <v>57000</v>
      </c>
      <c r="D51" s="133"/>
      <c r="E51" s="269"/>
      <c r="F51" s="136"/>
      <c r="G51" s="136"/>
      <c r="H51" s="136"/>
      <c r="I51" s="133"/>
      <c r="J51" s="133"/>
      <c r="K51" s="133"/>
      <c r="L51" s="133"/>
      <c r="M51" s="136"/>
      <c r="N51" s="133"/>
      <c r="O51" s="133"/>
      <c r="P51" s="133"/>
      <c r="Q51" s="133"/>
      <c r="R51" s="217"/>
      <c r="S51" s="219"/>
      <c r="T51" s="259"/>
      <c r="U51" s="258"/>
      <c r="V51" s="258"/>
    </row>
    <row r="52" spans="1:23" ht="25.5" customHeight="1">
      <c r="A52" s="5"/>
      <c r="B52" s="130" t="s">
        <v>226</v>
      </c>
      <c r="C52" s="281">
        <f>1044000+124000+384000+296000</f>
        <v>1848000</v>
      </c>
      <c r="D52" s="133"/>
      <c r="E52" s="269"/>
      <c r="F52" s="136"/>
      <c r="G52" s="136"/>
      <c r="H52" s="136"/>
      <c r="I52" s="133"/>
      <c r="J52" s="133"/>
      <c r="K52" s="133"/>
      <c r="L52" s="133"/>
      <c r="M52" s="136"/>
      <c r="N52" s="133"/>
      <c r="O52" s="133"/>
      <c r="P52" s="133"/>
      <c r="Q52" s="133"/>
      <c r="R52" s="217"/>
      <c r="S52" s="219"/>
      <c r="T52" s="219"/>
      <c r="U52" s="217"/>
      <c r="V52" s="217"/>
    </row>
    <row r="53" spans="1:23" ht="25.5" customHeight="1">
      <c r="A53" s="5"/>
      <c r="B53" s="130" t="s">
        <v>223</v>
      </c>
      <c r="C53" s="281">
        <v>200000</v>
      </c>
      <c r="D53" s="133"/>
      <c r="E53" s="269"/>
      <c r="F53" s="136"/>
      <c r="G53" s="136"/>
      <c r="H53" s="136"/>
      <c r="I53" s="133"/>
      <c r="J53" s="133"/>
      <c r="K53" s="133"/>
      <c r="L53" s="133"/>
      <c r="M53" s="136"/>
      <c r="N53" s="133"/>
      <c r="O53" s="133"/>
      <c r="P53" s="133"/>
      <c r="Q53" s="133"/>
      <c r="R53" s="217"/>
      <c r="S53" s="219"/>
      <c r="T53" s="219"/>
      <c r="U53" s="217"/>
      <c r="V53" s="217"/>
    </row>
    <row r="54" spans="1:23" ht="25.5" customHeight="1">
      <c r="A54" s="5"/>
      <c r="B54" s="130" t="s">
        <v>224</v>
      </c>
      <c r="C54" s="281">
        <v>20000</v>
      </c>
      <c r="D54" s="133"/>
      <c r="E54" s="269"/>
      <c r="F54" s="136"/>
      <c r="G54" s="136"/>
      <c r="H54" s="136"/>
      <c r="I54" s="133"/>
      <c r="J54" s="133"/>
      <c r="K54" s="133"/>
      <c r="L54" s="133"/>
      <c r="M54" s="136"/>
      <c r="N54" s="133"/>
      <c r="O54" s="133"/>
      <c r="P54" s="133"/>
      <c r="Q54" s="133"/>
      <c r="R54" s="217"/>
      <c r="S54" s="219"/>
      <c r="T54" s="219"/>
      <c r="U54" s="217"/>
      <c r="V54" s="217"/>
    </row>
    <row r="55" spans="1:23" ht="25.5" customHeight="1">
      <c r="A55" s="5"/>
      <c r="B55" s="130" t="s">
        <v>225</v>
      </c>
      <c r="C55" s="281">
        <v>10000</v>
      </c>
      <c r="D55" s="133"/>
      <c r="E55" s="269"/>
      <c r="F55" s="136"/>
      <c r="G55" s="136"/>
      <c r="H55" s="136"/>
      <c r="I55" s="133"/>
      <c r="J55" s="133"/>
      <c r="K55" s="133"/>
      <c r="L55" s="133"/>
      <c r="M55" s="136"/>
      <c r="N55" s="133"/>
      <c r="O55" s="133"/>
      <c r="P55" s="133"/>
      <c r="Q55" s="133"/>
      <c r="R55" s="217"/>
      <c r="S55" s="219"/>
      <c r="T55" s="219"/>
      <c r="U55" s="217"/>
      <c r="V55" s="217"/>
    </row>
    <row r="56" spans="1:23" ht="25.5" customHeight="1">
      <c r="A56" s="5"/>
      <c r="B56" s="130" t="s">
        <v>227</v>
      </c>
      <c r="C56" s="281">
        <v>40000</v>
      </c>
      <c r="D56" s="133"/>
      <c r="E56" s="269"/>
      <c r="F56" s="136"/>
      <c r="G56" s="136"/>
      <c r="H56" s="136"/>
      <c r="I56" s="133"/>
      <c r="J56" s="133"/>
      <c r="K56" s="133"/>
      <c r="L56" s="133"/>
      <c r="M56" s="136"/>
      <c r="N56" s="133"/>
      <c r="O56" s="133"/>
      <c r="P56" s="133"/>
      <c r="Q56" s="133"/>
      <c r="R56" s="217"/>
      <c r="S56" s="219"/>
      <c r="T56" s="219"/>
      <c r="U56" s="217"/>
      <c r="V56" s="217"/>
    </row>
    <row r="57" spans="1:23" ht="25.5" customHeight="1">
      <c r="A57" s="5"/>
      <c r="B57" s="130" t="s">
        <v>228</v>
      </c>
      <c r="C57" s="281">
        <v>9000</v>
      </c>
      <c r="D57" s="133"/>
      <c r="E57" s="269"/>
      <c r="F57" s="136"/>
      <c r="G57" s="136"/>
      <c r="H57" s="136"/>
      <c r="I57" s="133"/>
      <c r="J57" s="133"/>
      <c r="K57" s="133"/>
      <c r="L57" s="133"/>
      <c r="M57" s="136"/>
      <c r="N57" s="133"/>
      <c r="O57" s="133"/>
      <c r="P57" s="133"/>
      <c r="Q57" s="133"/>
      <c r="R57" s="217"/>
      <c r="S57" s="219"/>
      <c r="T57" s="219"/>
      <c r="U57" s="217"/>
      <c r="V57" s="217"/>
    </row>
    <row r="58" spans="1:23" ht="25.5" customHeight="1">
      <c r="A58" s="5"/>
      <c r="B58" s="130" t="s">
        <v>11</v>
      </c>
      <c r="C58" s="281">
        <v>10000</v>
      </c>
      <c r="D58" s="133"/>
      <c r="E58" s="269"/>
      <c r="F58" s="136"/>
      <c r="G58" s="136"/>
      <c r="H58" s="136"/>
      <c r="I58" s="133"/>
      <c r="J58" s="133"/>
      <c r="K58" s="133"/>
      <c r="L58" s="133"/>
      <c r="M58" s="136"/>
      <c r="N58" s="133"/>
      <c r="O58" s="133"/>
      <c r="P58" s="133"/>
      <c r="Q58" s="133"/>
      <c r="R58" s="217"/>
      <c r="S58" s="219"/>
      <c r="T58" s="219"/>
      <c r="U58" s="217"/>
      <c r="V58" s="217"/>
    </row>
    <row r="59" spans="1:23" ht="25.5" customHeight="1">
      <c r="A59" s="5"/>
      <c r="B59" s="130" t="s">
        <v>229</v>
      </c>
      <c r="C59" s="281">
        <v>10000</v>
      </c>
      <c r="D59" s="133"/>
      <c r="E59" s="269"/>
      <c r="F59" s="136"/>
      <c r="G59" s="136"/>
      <c r="H59" s="136"/>
      <c r="I59" s="133"/>
      <c r="J59" s="133"/>
      <c r="K59" s="133"/>
      <c r="L59" s="133"/>
      <c r="M59" s="136"/>
      <c r="N59" s="133"/>
      <c r="O59" s="133"/>
      <c r="P59" s="133"/>
      <c r="Q59" s="133"/>
      <c r="R59" s="217"/>
      <c r="S59" s="219"/>
      <c r="T59" s="219"/>
      <c r="U59" s="217"/>
      <c r="V59" s="217"/>
    </row>
    <row r="60" spans="1:23" ht="25.5" customHeight="1">
      <c r="A60" s="5"/>
      <c r="B60" s="130" t="s">
        <v>230</v>
      </c>
      <c r="C60" s="281">
        <v>20000</v>
      </c>
      <c r="D60" s="133"/>
      <c r="E60" s="269"/>
      <c r="F60" s="136"/>
      <c r="G60" s="136"/>
      <c r="H60" s="136"/>
      <c r="I60" s="133"/>
      <c r="J60" s="133"/>
      <c r="K60" s="133"/>
      <c r="L60" s="133"/>
      <c r="M60" s="136"/>
      <c r="N60" s="133"/>
      <c r="O60" s="133"/>
      <c r="P60" s="133"/>
      <c r="Q60" s="133"/>
      <c r="R60" s="217"/>
      <c r="S60" s="219"/>
      <c r="T60" s="219"/>
      <c r="U60" s="217"/>
      <c r="V60" s="217"/>
    </row>
    <row r="61" spans="1:23" ht="25.5" customHeight="1">
      <c r="A61" s="9"/>
      <c r="B61" s="130" t="s">
        <v>50</v>
      </c>
      <c r="C61" s="280">
        <v>10000</v>
      </c>
      <c r="D61" s="133"/>
      <c r="E61" s="269"/>
      <c r="F61" s="136"/>
      <c r="G61" s="136"/>
      <c r="H61" s="136"/>
      <c r="I61" s="133"/>
      <c r="J61" s="133"/>
      <c r="K61" s="133"/>
      <c r="L61" s="133"/>
      <c r="M61" s="136"/>
      <c r="N61" s="133"/>
      <c r="O61" s="133"/>
      <c r="P61" s="133"/>
      <c r="Q61" s="133"/>
      <c r="R61" s="217"/>
      <c r="S61" s="219"/>
      <c r="T61" s="219"/>
      <c r="U61" s="217"/>
      <c r="V61" s="217"/>
    </row>
    <row r="62" spans="1:23" ht="25.5" customHeight="1">
      <c r="A62" s="9"/>
      <c r="B62" s="130" t="s">
        <v>103</v>
      </c>
      <c r="C62" s="280">
        <v>10000</v>
      </c>
      <c r="D62" s="131"/>
      <c r="E62" s="267"/>
      <c r="F62" s="135"/>
      <c r="G62" s="135"/>
      <c r="H62" s="135"/>
      <c r="I62" s="131"/>
      <c r="J62" s="131"/>
      <c r="K62" s="131"/>
      <c r="L62" s="131"/>
      <c r="M62" s="135"/>
      <c r="N62" s="131"/>
      <c r="O62" s="131"/>
      <c r="P62" s="131"/>
      <c r="Q62" s="131"/>
      <c r="R62" s="217"/>
      <c r="S62" s="219"/>
      <c r="T62" s="219"/>
      <c r="U62" s="217"/>
      <c r="V62" s="217"/>
    </row>
    <row r="63" spans="1:23" ht="25.5" customHeight="1">
      <c r="A63" s="9"/>
      <c r="B63" s="187" t="s">
        <v>106</v>
      </c>
      <c r="C63" s="283">
        <f>200000+30000+30000+80000</f>
        <v>340000</v>
      </c>
      <c r="D63" s="131"/>
      <c r="E63" s="267">
        <f>6636</f>
        <v>6636</v>
      </c>
      <c r="F63" s="135">
        <v>4800</v>
      </c>
      <c r="G63" s="135"/>
      <c r="H63" s="135">
        <v>1548</v>
      </c>
      <c r="I63" s="131"/>
      <c r="J63" s="131"/>
      <c r="K63" s="131"/>
      <c r="L63" s="131"/>
      <c r="M63" s="135"/>
      <c r="N63" s="131"/>
      <c r="O63" s="131"/>
      <c r="P63" s="131"/>
      <c r="Q63" s="131"/>
      <c r="R63" s="217"/>
      <c r="S63" s="219"/>
      <c r="T63" s="219"/>
      <c r="U63" s="217"/>
      <c r="V63" s="217"/>
    </row>
    <row r="64" spans="1:23" ht="25.5" customHeight="1">
      <c r="A64" s="9"/>
      <c r="B64" s="187" t="s">
        <v>231</v>
      </c>
      <c r="C64" s="283">
        <v>5000</v>
      </c>
      <c r="D64" s="131"/>
      <c r="E64" s="267"/>
      <c r="F64" s="135"/>
      <c r="G64" s="135"/>
      <c r="H64" s="135"/>
      <c r="I64" s="131"/>
      <c r="J64" s="131"/>
      <c r="K64" s="131"/>
      <c r="L64" s="131"/>
      <c r="M64" s="135"/>
      <c r="N64" s="131"/>
      <c r="O64" s="131"/>
      <c r="P64" s="131"/>
      <c r="Q64" s="131"/>
      <c r="R64" s="217"/>
      <c r="S64" s="219"/>
      <c r="T64" s="219"/>
      <c r="U64" s="217"/>
      <c r="V64" s="217"/>
    </row>
    <row r="65" spans="1:22" ht="25.5" customHeight="1">
      <c r="A65" s="9"/>
      <c r="B65" s="187" t="s">
        <v>204</v>
      </c>
      <c r="C65" s="283">
        <v>5000</v>
      </c>
      <c r="D65" s="131"/>
      <c r="E65" s="267"/>
      <c r="F65" s="135"/>
      <c r="G65" s="135"/>
      <c r="H65" s="135"/>
      <c r="I65" s="131"/>
      <c r="J65" s="131"/>
      <c r="K65" s="131"/>
      <c r="L65" s="131"/>
      <c r="M65" s="135"/>
      <c r="N65" s="131"/>
      <c r="O65" s="131"/>
      <c r="P65" s="131"/>
      <c r="Q65" s="131"/>
      <c r="R65" s="217"/>
      <c r="S65" s="219"/>
      <c r="T65" s="219"/>
      <c r="U65" s="217"/>
      <c r="V65" s="217"/>
    </row>
    <row r="66" spans="1:22" ht="25.5" customHeight="1">
      <c r="A66" s="9"/>
      <c r="B66" s="187" t="s">
        <v>232</v>
      </c>
      <c r="C66" s="283">
        <v>120000</v>
      </c>
      <c r="D66" s="131"/>
      <c r="E66" s="267"/>
      <c r="F66" s="135"/>
      <c r="G66" s="135"/>
      <c r="H66" s="135"/>
      <c r="I66" s="131"/>
      <c r="J66" s="131"/>
      <c r="K66" s="131"/>
      <c r="L66" s="131"/>
      <c r="M66" s="135"/>
      <c r="N66" s="131"/>
      <c r="O66" s="131"/>
      <c r="P66" s="131"/>
      <c r="Q66" s="131"/>
      <c r="R66" s="217"/>
      <c r="S66" s="219"/>
      <c r="T66" s="219"/>
      <c r="U66" s="217"/>
      <c r="V66" s="217"/>
    </row>
    <row r="67" spans="1:22" ht="25.5" customHeight="1">
      <c r="A67" s="9"/>
      <c r="B67" s="187" t="s">
        <v>233</v>
      </c>
      <c r="C67" s="283">
        <v>125000</v>
      </c>
      <c r="D67" s="131"/>
      <c r="E67" s="267"/>
      <c r="F67" s="135"/>
      <c r="G67" s="135"/>
      <c r="H67" s="135"/>
      <c r="I67" s="131"/>
      <c r="J67" s="131"/>
      <c r="K67" s="131"/>
      <c r="L67" s="131"/>
      <c r="M67" s="135"/>
      <c r="N67" s="131"/>
      <c r="O67" s="131"/>
      <c r="P67" s="131"/>
      <c r="Q67" s="131"/>
      <c r="R67" s="217"/>
      <c r="S67" s="219"/>
      <c r="T67" s="219"/>
      <c r="U67" s="217"/>
      <c r="V67" s="217"/>
    </row>
    <row r="68" spans="1:22" ht="25.5" customHeight="1">
      <c r="A68" s="9"/>
      <c r="B68" s="187" t="s">
        <v>234</v>
      </c>
      <c r="C68" s="283">
        <v>5000</v>
      </c>
      <c r="D68" s="131"/>
      <c r="E68" s="267"/>
      <c r="F68" s="135"/>
      <c r="G68" s="135"/>
      <c r="H68" s="135"/>
      <c r="I68" s="131"/>
      <c r="J68" s="131"/>
      <c r="K68" s="131"/>
      <c r="L68" s="131"/>
      <c r="M68" s="135"/>
      <c r="N68" s="131"/>
      <c r="O68" s="131"/>
      <c r="P68" s="131"/>
      <c r="Q68" s="131"/>
      <c r="R68" s="217"/>
      <c r="S68" s="219"/>
      <c r="T68" s="219"/>
      <c r="U68" s="217"/>
      <c r="V68" s="217"/>
    </row>
    <row r="69" spans="1:22" ht="25.5" customHeight="1">
      <c r="A69" s="9"/>
      <c r="B69" s="187" t="s">
        <v>235</v>
      </c>
      <c r="C69" s="283">
        <v>90000</v>
      </c>
      <c r="D69" s="131"/>
      <c r="E69" s="267"/>
      <c r="F69" s="135"/>
      <c r="G69" s="135"/>
      <c r="H69" s="135"/>
      <c r="I69" s="131"/>
      <c r="J69" s="131"/>
      <c r="K69" s="131"/>
      <c r="L69" s="131"/>
      <c r="M69" s="135"/>
      <c r="N69" s="131"/>
      <c r="O69" s="131"/>
      <c r="P69" s="131"/>
      <c r="Q69" s="131"/>
      <c r="R69" s="217"/>
      <c r="S69" s="219"/>
      <c r="T69" s="219"/>
      <c r="U69" s="217"/>
      <c r="V69" s="217"/>
    </row>
    <row r="70" spans="1:22" ht="25.5" customHeight="1">
      <c r="A70" s="9"/>
      <c r="B70" s="187" t="s">
        <v>236</v>
      </c>
      <c r="C70" s="283">
        <v>5000</v>
      </c>
      <c r="D70" s="131"/>
      <c r="E70" s="267"/>
      <c r="F70" s="135"/>
      <c r="G70" s="135"/>
      <c r="H70" s="135"/>
      <c r="I70" s="131"/>
      <c r="J70" s="131"/>
      <c r="K70" s="131"/>
      <c r="L70" s="131"/>
      <c r="M70" s="135"/>
      <c r="N70" s="131"/>
      <c r="O70" s="131"/>
      <c r="P70" s="131"/>
      <c r="Q70" s="131"/>
      <c r="R70" s="217"/>
      <c r="S70" s="219"/>
      <c r="T70" s="219"/>
      <c r="U70" s="217"/>
      <c r="V70" s="217"/>
    </row>
    <row r="71" spans="1:22" ht="25.5" customHeight="1">
      <c r="A71" s="9"/>
      <c r="B71" s="187" t="s">
        <v>237</v>
      </c>
      <c r="C71" s="283">
        <v>5000</v>
      </c>
      <c r="D71" s="131"/>
      <c r="E71" s="267"/>
      <c r="F71" s="135"/>
      <c r="G71" s="135"/>
      <c r="H71" s="135"/>
      <c r="I71" s="131"/>
      <c r="J71" s="131"/>
      <c r="K71" s="131"/>
      <c r="L71" s="131"/>
      <c r="M71" s="135"/>
      <c r="N71" s="131"/>
      <c r="O71" s="131"/>
      <c r="P71" s="131"/>
      <c r="Q71" s="131"/>
      <c r="R71" s="217"/>
      <c r="S71" s="219"/>
      <c r="T71" s="219"/>
      <c r="U71" s="217"/>
      <c r="V71" s="217"/>
    </row>
    <row r="72" spans="1:22" ht="25.5" customHeight="1">
      <c r="A72" s="165"/>
      <c r="B72" s="226" t="s">
        <v>277</v>
      </c>
      <c r="C72" s="279">
        <v>5000</v>
      </c>
      <c r="D72" s="131"/>
      <c r="E72" s="267"/>
      <c r="F72" s="135"/>
      <c r="G72" s="135"/>
      <c r="H72" s="135"/>
      <c r="I72" s="131"/>
      <c r="J72" s="131"/>
      <c r="K72" s="131"/>
      <c r="L72" s="131"/>
      <c r="M72" s="135"/>
      <c r="N72" s="131"/>
      <c r="O72" s="131"/>
      <c r="P72" s="131"/>
      <c r="Q72" s="131"/>
      <c r="R72" s="217"/>
      <c r="S72" s="219"/>
      <c r="T72" s="219"/>
      <c r="U72" s="217"/>
      <c r="V72" s="217"/>
    </row>
    <row r="73" spans="1:22" ht="25.5" customHeight="1">
      <c r="A73" s="165"/>
      <c r="B73" s="226" t="s">
        <v>107</v>
      </c>
      <c r="C73" s="279">
        <v>10000</v>
      </c>
      <c r="D73" s="131"/>
      <c r="E73" s="267"/>
      <c r="F73" s="135"/>
      <c r="G73" s="135"/>
      <c r="H73" s="135"/>
      <c r="I73" s="131"/>
      <c r="J73" s="131"/>
      <c r="K73" s="131"/>
      <c r="L73" s="131"/>
      <c r="M73" s="135"/>
      <c r="N73" s="131"/>
      <c r="O73" s="131"/>
      <c r="P73" s="131"/>
      <c r="Q73" s="131"/>
      <c r="R73" s="217"/>
      <c r="S73" s="219"/>
      <c r="T73" s="219"/>
      <c r="U73" s="217"/>
      <c r="V73" s="217"/>
    </row>
    <row r="74" spans="1:22" ht="25.5" customHeight="1">
      <c r="A74" s="9"/>
      <c r="B74" s="226" t="s">
        <v>278</v>
      </c>
      <c r="C74" s="279">
        <v>10000</v>
      </c>
      <c r="D74" s="195"/>
      <c r="E74" s="270"/>
      <c r="F74" s="196"/>
      <c r="G74" s="196"/>
      <c r="H74" s="196"/>
      <c r="I74" s="195"/>
      <c r="J74" s="195"/>
      <c r="K74" s="195"/>
      <c r="L74" s="195"/>
      <c r="M74" s="196"/>
      <c r="N74" s="195"/>
      <c r="O74" s="195"/>
      <c r="P74" s="195"/>
      <c r="Q74" s="195"/>
      <c r="R74" s="217"/>
      <c r="S74" s="219"/>
      <c r="T74" s="220"/>
      <c r="U74" s="218"/>
      <c r="V74" s="218"/>
    </row>
    <row r="75" spans="1:22" ht="25.5" customHeight="1">
      <c r="A75" s="165"/>
      <c r="B75" s="226" t="s">
        <v>279</v>
      </c>
      <c r="C75" s="279">
        <v>10000</v>
      </c>
      <c r="D75" s="195"/>
      <c r="E75" s="270"/>
      <c r="F75" s="196"/>
      <c r="G75" s="196"/>
      <c r="H75" s="196"/>
      <c r="I75" s="195"/>
      <c r="J75" s="195"/>
      <c r="K75" s="195"/>
      <c r="L75" s="195"/>
      <c r="M75" s="196"/>
      <c r="N75" s="195"/>
      <c r="O75" s="195"/>
      <c r="P75" s="195"/>
      <c r="Q75" s="195"/>
      <c r="R75" s="218"/>
      <c r="S75" s="220"/>
      <c r="T75" s="220"/>
      <c r="U75" s="218"/>
      <c r="V75" s="218"/>
    </row>
    <row r="76" spans="1:22" ht="25.5" customHeight="1">
      <c r="A76" s="9"/>
      <c r="B76" s="226" t="s">
        <v>280</v>
      </c>
      <c r="C76" s="279">
        <v>10000</v>
      </c>
      <c r="D76" s="195"/>
      <c r="E76" s="270"/>
      <c r="F76" s="196"/>
      <c r="G76" s="196"/>
      <c r="H76" s="196"/>
      <c r="I76" s="195"/>
      <c r="J76" s="195"/>
      <c r="K76" s="195"/>
      <c r="L76" s="195"/>
      <c r="M76" s="196"/>
      <c r="N76" s="195"/>
      <c r="O76" s="195"/>
      <c r="P76" s="195"/>
      <c r="Q76" s="195"/>
      <c r="R76" s="218"/>
      <c r="S76" s="220"/>
      <c r="T76" s="220"/>
      <c r="U76" s="218"/>
      <c r="V76" s="218"/>
    </row>
    <row r="77" spans="1:22" ht="25.5" customHeight="1">
      <c r="A77" s="9"/>
      <c r="B77" s="226" t="s">
        <v>281</v>
      </c>
      <c r="C77" s="279">
        <v>5000</v>
      </c>
      <c r="D77" s="195"/>
      <c r="E77" s="270"/>
      <c r="F77" s="196"/>
      <c r="G77" s="196"/>
      <c r="H77" s="196"/>
      <c r="I77" s="195"/>
      <c r="J77" s="195"/>
      <c r="K77" s="195"/>
      <c r="L77" s="195"/>
      <c r="M77" s="196"/>
      <c r="N77" s="195"/>
      <c r="O77" s="195"/>
      <c r="P77" s="195"/>
      <c r="Q77" s="195"/>
      <c r="R77" s="218"/>
      <c r="S77" s="220"/>
      <c r="T77" s="220"/>
      <c r="U77" s="218"/>
      <c r="V77" s="218"/>
    </row>
    <row r="78" spans="1:22" ht="25.5" customHeight="1">
      <c r="A78" s="9"/>
      <c r="B78" s="226" t="s">
        <v>282</v>
      </c>
      <c r="C78" s="279">
        <v>5000</v>
      </c>
      <c r="D78" s="195"/>
      <c r="E78" s="270"/>
      <c r="F78" s="196"/>
      <c r="G78" s="196"/>
      <c r="H78" s="196"/>
      <c r="I78" s="195"/>
      <c r="J78" s="195"/>
      <c r="K78" s="195"/>
      <c r="L78" s="195"/>
      <c r="M78" s="196"/>
      <c r="N78" s="195"/>
      <c r="O78" s="195"/>
      <c r="P78" s="195"/>
      <c r="Q78" s="195"/>
      <c r="R78" s="218"/>
      <c r="S78" s="220"/>
      <c r="T78" s="220"/>
      <c r="U78" s="218"/>
      <c r="V78" s="218"/>
    </row>
    <row r="79" spans="1:22" ht="25.5" customHeight="1">
      <c r="A79" s="9"/>
      <c r="B79" s="226" t="s">
        <v>238</v>
      </c>
      <c r="C79" s="279">
        <f>70000+40000+10000+20000</f>
        <v>140000</v>
      </c>
      <c r="D79" s="195"/>
      <c r="E79" s="320">
        <v>3358.99</v>
      </c>
      <c r="F79" s="196"/>
      <c r="G79" s="196"/>
      <c r="H79" s="196"/>
      <c r="I79" s="195"/>
      <c r="J79" s="195"/>
      <c r="K79" s="195"/>
      <c r="L79" s="195"/>
      <c r="M79" s="196"/>
      <c r="N79" s="195"/>
      <c r="O79" s="195"/>
      <c r="P79" s="195"/>
      <c r="Q79" s="195"/>
      <c r="R79" s="218"/>
      <c r="S79" s="220"/>
      <c r="T79" s="220"/>
      <c r="U79" s="218"/>
      <c r="V79" s="218"/>
    </row>
    <row r="80" spans="1:22" ht="25.5" customHeight="1">
      <c r="A80" s="9"/>
      <c r="B80" s="226" t="s">
        <v>121</v>
      </c>
      <c r="C80" s="279">
        <v>100000</v>
      </c>
      <c r="D80" s="195"/>
      <c r="E80" s="270"/>
      <c r="F80" s="196"/>
      <c r="G80" s="196"/>
      <c r="H80" s="196"/>
      <c r="I80" s="195"/>
      <c r="J80" s="195"/>
      <c r="K80" s="195"/>
      <c r="L80" s="195"/>
      <c r="M80" s="196"/>
      <c r="N80" s="195"/>
      <c r="O80" s="195"/>
      <c r="P80" s="195"/>
      <c r="Q80" s="195"/>
      <c r="R80" s="218"/>
      <c r="S80" s="220"/>
      <c r="T80" s="220"/>
      <c r="U80" s="218"/>
      <c r="V80" s="218"/>
    </row>
    <row r="81" spans="1:22" ht="25.5" customHeight="1">
      <c r="A81" s="9"/>
      <c r="B81" s="226" t="s">
        <v>295</v>
      </c>
      <c r="C81" s="279">
        <v>40000</v>
      </c>
      <c r="D81" s="195"/>
      <c r="E81" s="270"/>
      <c r="F81" s="196"/>
      <c r="G81" s="196"/>
      <c r="H81" s="196"/>
      <c r="I81" s="195"/>
      <c r="J81" s="195"/>
      <c r="K81" s="195"/>
      <c r="L81" s="195"/>
      <c r="M81" s="196"/>
      <c r="N81" s="195"/>
      <c r="O81" s="195"/>
      <c r="P81" s="195"/>
      <c r="Q81" s="195"/>
      <c r="R81" s="218"/>
      <c r="S81" s="220"/>
      <c r="T81" s="220"/>
      <c r="U81" s="218"/>
      <c r="V81" s="218"/>
    </row>
    <row r="82" spans="1:22" ht="25.5" customHeight="1">
      <c r="A82" s="9"/>
      <c r="B82" s="226" t="s">
        <v>296</v>
      </c>
      <c r="C82" s="279">
        <v>30000</v>
      </c>
      <c r="D82" s="195"/>
      <c r="E82" s="270"/>
      <c r="F82" s="196"/>
      <c r="G82" s="196"/>
      <c r="H82" s="196"/>
      <c r="I82" s="195"/>
      <c r="J82" s="195"/>
      <c r="K82" s="195"/>
      <c r="L82" s="195"/>
      <c r="M82" s="196"/>
      <c r="N82" s="195"/>
      <c r="O82" s="195"/>
      <c r="P82" s="195"/>
      <c r="Q82" s="195"/>
      <c r="R82" s="218"/>
      <c r="S82" s="220"/>
      <c r="T82" s="220"/>
      <c r="U82" s="218"/>
      <c r="V82" s="218"/>
    </row>
    <row r="83" spans="1:22" ht="25.5" customHeight="1">
      <c r="A83" s="9"/>
      <c r="B83" s="226" t="s">
        <v>210</v>
      </c>
      <c r="C83" s="279">
        <v>10000</v>
      </c>
      <c r="D83" s="195"/>
      <c r="E83" s="270"/>
      <c r="F83" s="196"/>
      <c r="G83" s="196"/>
      <c r="H83" s="196"/>
      <c r="I83" s="195"/>
      <c r="J83" s="195"/>
      <c r="K83" s="195"/>
      <c r="L83" s="195"/>
      <c r="M83" s="196"/>
      <c r="N83" s="195"/>
      <c r="O83" s="195"/>
      <c r="P83" s="195"/>
      <c r="Q83" s="195"/>
      <c r="R83" s="218"/>
      <c r="S83" s="220"/>
      <c r="T83" s="220"/>
      <c r="U83" s="218"/>
      <c r="V83" s="218"/>
    </row>
    <row r="84" spans="1:22" ht="25.5" customHeight="1">
      <c r="A84" s="9"/>
      <c r="B84" s="187" t="s">
        <v>297</v>
      </c>
      <c r="C84" s="279">
        <v>20000</v>
      </c>
      <c r="D84" s="195"/>
      <c r="E84" s="270"/>
      <c r="F84" s="196"/>
      <c r="G84" s="196"/>
      <c r="H84" s="196"/>
      <c r="I84" s="195"/>
      <c r="J84" s="195"/>
      <c r="K84" s="195"/>
      <c r="L84" s="195"/>
      <c r="M84" s="196"/>
      <c r="N84" s="195"/>
      <c r="O84" s="195"/>
      <c r="P84" s="195"/>
      <c r="Q84" s="195"/>
      <c r="R84" s="218"/>
      <c r="S84" s="220"/>
      <c r="T84" s="220"/>
      <c r="U84" s="218"/>
      <c r="V84" s="218"/>
    </row>
    <row r="85" spans="1:22" ht="25.5" customHeight="1">
      <c r="A85" s="9"/>
      <c r="B85" s="187" t="s">
        <v>298</v>
      </c>
      <c r="C85" s="279">
        <v>20000</v>
      </c>
      <c r="D85" s="195"/>
      <c r="E85" s="270"/>
      <c r="F85" s="196"/>
      <c r="G85" s="196"/>
      <c r="H85" s="196"/>
      <c r="I85" s="195"/>
      <c r="J85" s="195"/>
      <c r="K85" s="195"/>
      <c r="L85" s="195"/>
      <c r="M85" s="196"/>
      <c r="N85" s="195"/>
      <c r="O85" s="195"/>
      <c r="P85" s="195"/>
      <c r="Q85" s="195"/>
      <c r="R85" s="218"/>
      <c r="S85" s="220"/>
      <c r="T85" s="220"/>
      <c r="U85" s="218"/>
      <c r="V85" s="218"/>
    </row>
    <row r="86" spans="1:22" ht="25.5" customHeight="1">
      <c r="A86" s="9"/>
      <c r="B86" s="187" t="s">
        <v>299</v>
      </c>
      <c r="C86" s="279">
        <v>15000</v>
      </c>
      <c r="D86" s="195"/>
      <c r="E86" s="270"/>
      <c r="F86" s="196"/>
      <c r="G86" s="196"/>
      <c r="H86" s="196"/>
      <c r="I86" s="195"/>
      <c r="J86" s="195"/>
      <c r="K86" s="195"/>
      <c r="L86" s="195"/>
      <c r="M86" s="196"/>
      <c r="N86" s="195"/>
      <c r="O86" s="195"/>
      <c r="P86" s="195"/>
      <c r="Q86" s="195"/>
      <c r="R86" s="218"/>
      <c r="S86" s="220"/>
      <c r="T86" s="220"/>
      <c r="U86" s="218"/>
      <c r="V86" s="218"/>
    </row>
    <row r="87" spans="1:22" ht="25.5" customHeight="1">
      <c r="A87" s="9"/>
      <c r="B87" s="187" t="s">
        <v>300</v>
      </c>
      <c r="C87" s="279">
        <v>10000</v>
      </c>
      <c r="D87" s="195"/>
      <c r="E87" s="270"/>
      <c r="F87" s="196"/>
      <c r="G87" s="196"/>
      <c r="H87" s="196"/>
      <c r="I87" s="195"/>
      <c r="J87" s="195"/>
      <c r="K87" s="195"/>
      <c r="L87" s="195"/>
      <c r="M87" s="196"/>
      <c r="N87" s="195"/>
      <c r="O87" s="195"/>
      <c r="P87" s="195"/>
      <c r="Q87" s="195"/>
      <c r="R87" s="218"/>
      <c r="S87" s="220"/>
      <c r="T87" s="220"/>
      <c r="U87" s="218"/>
      <c r="V87" s="218"/>
    </row>
    <row r="88" spans="1:22" ht="25.5" customHeight="1">
      <c r="A88" s="9"/>
      <c r="B88" s="187" t="s">
        <v>301</v>
      </c>
      <c r="C88" s="279">
        <v>345100</v>
      </c>
      <c r="D88" s="195"/>
      <c r="E88" s="270"/>
      <c r="F88" s="196"/>
      <c r="G88" s="196"/>
      <c r="H88" s="196"/>
      <c r="I88" s="195"/>
      <c r="J88" s="195"/>
      <c r="K88" s="195"/>
      <c r="L88" s="195"/>
      <c r="M88" s="196"/>
      <c r="N88" s="195"/>
      <c r="O88" s="195"/>
      <c r="P88" s="195"/>
      <c r="Q88" s="195"/>
      <c r="R88" s="218"/>
      <c r="S88" s="220"/>
      <c r="T88" s="220"/>
      <c r="U88" s="218"/>
      <c r="V88" s="218"/>
    </row>
    <row r="89" spans="1:22" ht="25.5" customHeight="1">
      <c r="A89" s="9"/>
      <c r="B89" s="187" t="s">
        <v>242</v>
      </c>
      <c r="C89" s="279">
        <v>40000</v>
      </c>
      <c r="D89" s="195"/>
      <c r="E89" s="270"/>
      <c r="F89" s="196"/>
      <c r="G89" s="196"/>
      <c r="H89" s="196"/>
      <c r="I89" s="195"/>
      <c r="J89" s="195"/>
      <c r="K89" s="195"/>
      <c r="L89" s="195"/>
      <c r="M89" s="196"/>
      <c r="N89" s="195"/>
      <c r="O89" s="195"/>
      <c r="P89" s="195"/>
      <c r="Q89" s="195"/>
      <c r="R89" s="218"/>
      <c r="S89" s="220"/>
      <c r="T89" s="220"/>
      <c r="U89" s="218"/>
      <c r="V89" s="218"/>
    </row>
    <row r="90" spans="1:22" ht="25.5" customHeight="1">
      <c r="A90" s="9"/>
      <c r="B90" s="187" t="s">
        <v>307</v>
      </c>
      <c r="C90" s="279">
        <v>10000</v>
      </c>
      <c r="D90" s="131"/>
      <c r="E90" s="267"/>
      <c r="F90" s="135"/>
      <c r="G90" s="135"/>
      <c r="H90" s="135"/>
      <c r="I90" s="131"/>
      <c r="J90" s="131"/>
      <c r="K90" s="131"/>
      <c r="L90" s="131"/>
      <c r="M90" s="135"/>
      <c r="N90" s="131"/>
      <c r="O90" s="131"/>
      <c r="P90" s="131"/>
      <c r="Q90" s="131"/>
      <c r="R90" s="217"/>
      <c r="S90" s="219"/>
      <c r="T90" s="219"/>
      <c r="U90" s="217"/>
      <c r="V90" s="217"/>
    </row>
    <row r="91" spans="1:22" ht="25.5" customHeight="1">
      <c r="A91" s="9"/>
      <c r="B91" s="187" t="s">
        <v>134</v>
      </c>
      <c r="C91" s="279">
        <v>15000</v>
      </c>
      <c r="D91" s="195"/>
      <c r="E91" s="270"/>
      <c r="F91" s="196"/>
      <c r="G91" s="196"/>
      <c r="H91" s="196"/>
      <c r="I91" s="195"/>
      <c r="J91" s="195"/>
      <c r="K91" s="195"/>
      <c r="L91" s="195"/>
      <c r="M91" s="196"/>
      <c r="N91" s="195"/>
      <c r="O91" s="195"/>
      <c r="P91" s="195"/>
      <c r="Q91" s="195"/>
      <c r="R91" s="218"/>
      <c r="S91" s="220"/>
      <c r="T91" s="220"/>
      <c r="U91" s="218"/>
      <c r="V91" s="218"/>
    </row>
    <row r="92" spans="1:22" ht="25.5" customHeight="1">
      <c r="A92" s="9"/>
      <c r="B92" s="187" t="s">
        <v>308</v>
      </c>
      <c r="C92" s="279">
        <v>2500</v>
      </c>
      <c r="D92" s="195"/>
      <c r="E92" s="270"/>
      <c r="F92" s="196"/>
      <c r="G92" s="196"/>
      <c r="H92" s="196"/>
      <c r="I92" s="195"/>
      <c r="J92" s="195"/>
      <c r="K92" s="195"/>
      <c r="L92" s="195"/>
      <c r="M92" s="196"/>
      <c r="N92" s="195"/>
      <c r="O92" s="195"/>
      <c r="P92" s="195"/>
      <c r="Q92" s="195"/>
      <c r="R92" s="218"/>
      <c r="S92" s="220"/>
      <c r="T92" s="220"/>
      <c r="U92" s="218"/>
      <c r="V92" s="218"/>
    </row>
    <row r="93" spans="1:22" ht="25.5" customHeight="1">
      <c r="A93" s="9"/>
      <c r="B93" s="187" t="s">
        <v>309</v>
      </c>
      <c r="C93" s="279">
        <v>2500</v>
      </c>
      <c r="D93" s="195"/>
      <c r="E93" s="270"/>
      <c r="F93" s="196"/>
      <c r="G93" s="196"/>
      <c r="H93" s="196"/>
      <c r="I93" s="195"/>
      <c r="J93" s="195"/>
      <c r="K93" s="195"/>
      <c r="L93" s="195"/>
      <c r="M93" s="196"/>
      <c r="N93" s="195"/>
      <c r="O93" s="195"/>
      <c r="P93" s="195"/>
      <c r="Q93" s="195"/>
      <c r="R93" s="218"/>
      <c r="S93" s="220"/>
      <c r="T93" s="220"/>
      <c r="U93" s="218"/>
      <c r="V93" s="218"/>
    </row>
    <row r="94" spans="1:22" ht="25.5" customHeight="1">
      <c r="A94" s="9"/>
      <c r="B94" s="187" t="s">
        <v>310</v>
      </c>
      <c r="C94" s="279">
        <v>2500</v>
      </c>
      <c r="D94" s="195"/>
      <c r="E94" s="270"/>
      <c r="F94" s="196"/>
      <c r="G94" s="196"/>
      <c r="H94" s="196"/>
      <c r="I94" s="195"/>
      <c r="J94" s="195"/>
      <c r="K94" s="195"/>
      <c r="L94" s="195"/>
      <c r="M94" s="196"/>
      <c r="N94" s="195"/>
      <c r="O94" s="195"/>
      <c r="P94" s="195"/>
      <c r="Q94" s="195"/>
      <c r="R94" s="218"/>
      <c r="S94" s="220"/>
      <c r="T94" s="220"/>
      <c r="U94" s="218"/>
      <c r="V94" s="218"/>
    </row>
    <row r="95" spans="1:22" ht="25.5" customHeight="1">
      <c r="A95" s="9"/>
      <c r="B95" s="187" t="s">
        <v>311</v>
      </c>
      <c r="C95" s="279">
        <v>2500</v>
      </c>
      <c r="D95" s="195"/>
      <c r="E95" s="270"/>
      <c r="F95" s="196"/>
      <c r="G95" s="196"/>
      <c r="H95" s="196"/>
      <c r="I95" s="195"/>
      <c r="J95" s="195"/>
      <c r="K95" s="195"/>
      <c r="L95" s="195"/>
      <c r="M95" s="196"/>
      <c r="N95" s="195"/>
      <c r="O95" s="195"/>
      <c r="P95" s="195"/>
      <c r="Q95" s="195"/>
      <c r="R95" s="218"/>
      <c r="S95" s="220"/>
      <c r="T95" s="220"/>
      <c r="U95" s="218"/>
      <c r="V95" s="218"/>
    </row>
    <row r="96" spans="1:22" ht="25.5" customHeight="1">
      <c r="A96" s="9"/>
      <c r="B96" s="187" t="s">
        <v>243</v>
      </c>
      <c r="C96" s="279">
        <v>2000</v>
      </c>
      <c r="D96" s="195"/>
      <c r="E96" s="270"/>
      <c r="F96" s="196"/>
      <c r="G96" s="196"/>
      <c r="H96" s="196"/>
      <c r="I96" s="195"/>
      <c r="J96" s="195"/>
      <c r="K96" s="195"/>
      <c r="L96" s="195"/>
      <c r="M96" s="196"/>
      <c r="N96" s="195"/>
      <c r="O96" s="195"/>
      <c r="P96" s="195"/>
      <c r="Q96" s="195"/>
      <c r="R96" s="218"/>
      <c r="S96" s="220"/>
      <c r="T96" s="220"/>
      <c r="U96" s="218"/>
      <c r="V96" s="218"/>
    </row>
    <row r="97" spans="1:22" ht="25.5" customHeight="1">
      <c r="A97" s="9"/>
      <c r="B97" s="187" t="s">
        <v>248</v>
      </c>
      <c r="C97" s="279">
        <v>2000</v>
      </c>
      <c r="D97" s="195"/>
      <c r="E97" s="270"/>
      <c r="F97" s="196"/>
      <c r="G97" s="196"/>
      <c r="H97" s="196"/>
      <c r="I97" s="195"/>
      <c r="J97" s="195"/>
      <c r="K97" s="195"/>
      <c r="L97" s="195"/>
      <c r="M97" s="196"/>
      <c r="N97" s="195"/>
      <c r="O97" s="195"/>
      <c r="P97" s="195"/>
      <c r="Q97" s="195"/>
      <c r="R97" s="218"/>
      <c r="S97" s="220"/>
      <c r="T97" s="220"/>
      <c r="U97" s="218"/>
      <c r="V97" s="218"/>
    </row>
    <row r="98" spans="1:22" ht="25.5" customHeight="1">
      <c r="A98" s="9"/>
      <c r="B98" s="187" t="s">
        <v>244</v>
      </c>
      <c r="C98" s="279">
        <v>2000</v>
      </c>
      <c r="D98" s="195"/>
      <c r="E98" s="270"/>
      <c r="F98" s="196"/>
      <c r="G98" s="196"/>
      <c r="H98" s="196"/>
      <c r="I98" s="195"/>
      <c r="J98" s="195"/>
      <c r="K98" s="195"/>
      <c r="L98" s="195"/>
      <c r="M98" s="196"/>
      <c r="N98" s="195"/>
      <c r="O98" s="195"/>
      <c r="P98" s="195"/>
      <c r="Q98" s="195"/>
      <c r="R98" s="218"/>
      <c r="S98" s="220"/>
      <c r="T98" s="220"/>
      <c r="U98" s="218"/>
      <c r="V98" s="218"/>
    </row>
    <row r="99" spans="1:22" ht="25.5" customHeight="1">
      <c r="A99" s="9"/>
      <c r="B99" s="187" t="s">
        <v>245</v>
      </c>
      <c r="C99" s="279">
        <v>2000</v>
      </c>
      <c r="D99" s="195"/>
      <c r="E99" s="270"/>
      <c r="F99" s="196"/>
      <c r="G99" s="196"/>
      <c r="H99" s="196"/>
      <c r="I99" s="195"/>
      <c r="J99" s="195"/>
      <c r="K99" s="195"/>
      <c r="L99" s="195"/>
      <c r="M99" s="196"/>
      <c r="N99" s="195"/>
      <c r="O99" s="195"/>
      <c r="P99" s="195"/>
      <c r="Q99" s="195"/>
      <c r="R99" s="218"/>
      <c r="S99" s="220"/>
      <c r="T99" s="220"/>
      <c r="U99" s="218"/>
      <c r="V99" s="218"/>
    </row>
    <row r="100" spans="1:22" ht="25.5" customHeight="1">
      <c r="A100" s="9"/>
      <c r="B100" s="187" t="s">
        <v>246</v>
      </c>
      <c r="C100" s="279">
        <v>2000</v>
      </c>
      <c r="D100" s="195"/>
      <c r="E100" s="270"/>
      <c r="F100" s="196"/>
      <c r="G100" s="196"/>
      <c r="H100" s="196"/>
      <c r="I100" s="195"/>
      <c r="J100" s="195"/>
      <c r="K100" s="195"/>
      <c r="L100" s="195"/>
      <c r="M100" s="196"/>
      <c r="N100" s="195"/>
      <c r="O100" s="195"/>
      <c r="P100" s="195"/>
      <c r="Q100" s="195"/>
      <c r="R100" s="218"/>
      <c r="S100" s="220"/>
      <c r="T100" s="220"/>
      <c r="U100" s="218"/>
      <c r="V100" s="218"/>
    </row>
    <row r="101" spans="1:22" ht="25.5" customHeight="1">
      <c r="A101" s="9"/>
      <c r="B101" s="187" t="s">
        <v>247</v>
      </c>
      <c r="C101" s="279">
        <v>2000</v>
      </c>
      <c r="D101" s="195"/>
      <c r="E101" s="270"/>
      <c r="F101" s="196"/>
      <c r="G101" s="196"/>
      <c r="H101" s="196"/>
      <c r="I101" s="195"/>
      <c r="J101" s="195"/>
      <c r="K101" s="195"/>
      <c r="L101" s="195"/>
      <c r="M101" s="196"/>
      <c r="N101" s="195"/>
      <c r="O101" s="195"/>
      <c r="P101" s="195"/>
      <c r="Q101" s="195"/>
      <c r="R101" s="218"/>
      <c r="S101" s="220"/>
      <c r="T101" s="220"/>
      <c r="U101" s="218"/>
      <c r="V101" s="218"/>
    </row>
    <row r="102" spans="1:22" ht="25.5" customHeight="1">
      <c r="A102" s="9"/>
      <c r="B102" s="187" t="s">
        <v>249</v>
      </c>
      <c r="C102" s="279">
        <v>2000</v>
      </c>
      <c r="D102" s="195"/>
      <c r="E102" s="270"/>
      <c r="F102" s="196"/>
      <c r="G102" s="196"/>
      <c r="H102" s="196"/>
      <c r="I102" s="195"/>
      <c r="J102" s="195"/>
      <c r="K102" s="195"/>
      <c r="L102" s="195"/>
      <c r="M102" s="196"/>
      <c r="N102" s="195"/>
      <c r="O102" s="195"/>
      <c r="P102" s="195"/>
      <c r="Q102" s="195"/>
      <c r="R102" s="218"/>
      <c r="S102" s="220"/>
      <c r="T102" s="220"/>
      <c r="U102" s="218"/>
      <c r="V102" s="218"/>
    </row>
    <row r="103" spans="1:22" ht="25.5" customHeight="1">
      <c r="A103" s="9"/>
      <c r="B103" s="187" t="s">
        <v>250</v>
      </c>
      <c r="C103" s="279">
        <v>2000</v>
      </c>
      <c r="D103" s="195"/>
      <c r="E103" s="270"/>
      <c r="F103" s="196"/>
      <c r="G103" s="196"/>
      <c r="H103" s="196"/>
      <c r="I103" s="195"/>
      <c r="J103" s="195"/>
      <c r="K103" s="195"/>
      <c r="L103" s="195"/>
      <c r="M103" s="196"/>
      <c r="N103" s="195"/>
      <c r="O103" s="195"/>
      <c r="P103" s="195"/>
      <c r="Q103" s="195"/>
      <c r="R103" s="218"/>
      <c r="S103" s="220"/>
      <c r="T103" s="220"/>
      <c r="U103" s="218"/>
      <c r="V103" s="218"/>
    </row>
    <row r="104" spans="1:22" ht="25.5" customHeight="1">
      <c r="A104" s="9"/>
      <c r="B104" s="187" t="s">
        <v>251</v>
      </c>
      <c r="C104" s="279">
        <v>2000</v>
      </c>
      <c r="D104" s="195"/>
      <c r="E104" s="270"/>
      <c r="F104" s="196"/>
      <c r="G104" s="196"/>
      <c r="H104" s="196"/>
      <c r="I104" s="195"/>
      <c r="J104" s="195"/>
      <c r="K104" s="195"/>
      <c r="L104" s="195"/>
      <c r="M104" s="196"/>
      <c r="N104" s="195"/>
      <c r="O104" s="195"/>
      <c r="P104" s="195"/>
      <c r="Q104" s="195"/>
      <c r="R104" s="218"/>
      <c r="S104" s="220"/>
      <c r="T104" s="220"/>
      <c r="U104" s="218"/>
      <c r="V104" s="218"/>
    </row>
    <row r="105" spans="1:22" ht="25.5" customHeight="1">
      <c r="A105" s="9"/>
      <c r="B105" s="187" t="s">
        <v>252</v>
      </c>
      <c r="C105" s="279">
        <v>2000</v>
      </c>
      <c r="D105" s="195"/>
      <c r="E105" s="270"/>
      <c r="F105" s="196"/>
      <c r="G105" s="196"/>
      <c r="H105" s="196"/>
      <c r="I105" s="195"/>
      <c r="J105" s="195"/>
      <c r="K105" s="195"/>
      <c r="L105" s="195"/>
      <c r="M105" s="196"/>
      <c r="N105" s="195"/>
      <c r="O105" s="195"/>
      <c r="P105" s="195"/>
      <c r="Q105" s="195"/>
      <c r="R105" s="218"/>
      <c r="S105" s="220"/>
      <c r="T105" s="220"/>
      <c r="U105" s="218"/>
      <c r="V105" s="218"/>
    </row>
    <row r="106" spans="1:22" ht="25.5" customHeight="1">
      <c r="A106" s="9"/>
      <c r="B106" s="187" t="s">
        <v>253</v>
      </c>
      <c r="C106" s="279">
        <v>2000</v>
      </c>
      <c r="D106" s="195"/>
      <c r="E106" s="270"/>
      <c r="F106" s="196"/>
      <c r="G106" s="196"/>
      <c r="H106" s="196"/>
      <c r="I106" s="195"/>
      <c r="J106" s="195"/>
      <c r="K106" s="195"/>
      <c r="L106" s="195"/>
      <c r="M106" s="196"/>
      <c r="N106" s="195"/>
      <c r="O106" s="195"/>
      <c r="P106" s="195"/>
      <c r="Q106" s="195"/>
      <c r="R106" s="218"/>
      <c r="S106" s="220"/>
      <c r="T106" s="220"/>
      <c r="U106" s="218"/>
      <c r="V106" s="218"/>
    </row>
    <row r="107" spans="1:22" ht="25.5" customHeight="1">
      <c r="A107" s="9"/>
      <c r="B107" s="187" t="s">
        <v>254</v>
      </c>
      <c r="C107" s="279">
        <v>2000</v>
      </c>
      <c r="D107" s="195"/>
      <c r="E107" s="270"/>
      <c r="F107" s="196"/>
      <c r="G107" s="196"/>
      <c r="H107" s="196"/>
      <c r="I107" s="195"/>
      <c r="J107" s="195"/>
      <c r="K107" s="195"/>
      <c r="L107" s="195"/>
      <c r="M107" s="196"/>
      <c r="N107" s="195"/>
      <c r="O107" s="195"/>
      <c r="P107" s="195"/>
      <c r="Q107" s="195"/>
      <c r="R107" s="218"/>
      <c r="S107" s="220"/>
      <c r="T107" s="220"/>
      <c r="U107" s="218"/>
      <c r="V107" s="218"/>
    </row>
    <row r="108" spans="1:22" ht="25.5" customHeight="1">
      <c r="A108" s="9"/>
      <c r="B108" s="187" t="s">
        <v>312</v>
      </c>
      <c r="C108" s="279">
        <v>2500</v>
      </c>
      <c r="D108" s="195"/>
      <c r="E108" s="270"/>
      <c r="F108" s="196"/>
      <c r="G108" s="196"/>
      <c r="H108" s="196"/>
      <c r="I108" s="195"/>
      <c r="J108" s="195"/>
      <c r="K108" s="195"/>
      <c r="L108" s="195"/>
      <c r="M108" s="196"/>
      <c r="N108" s="195"/>
      <c r="O108" s="195"/>
      <c r="P108" s="195"/>
      <c r="Q108" s="195"/>
      <c r="R108" s="218"/>
      <c r="S108" s="220"/>
      <c r="T108" s="220"/>
      <c r="U108" s="218"/>
      <c r="V108" s="218"/>
    </row>
    <row r="109" spans="1:22" ht="25.5" customHeight="1">
      <c r="A109" s="9"/>
      <c r="B109" s="187" t="s">
        <v>313</v>
      </c>
      <c r="C109" s="279">
        <v>2500</v>
      </c>
      <c r="D109" s="131"/>
      <c r="E109" s="267"/>
      <c r="F109" s="135"/>
      <c r="G109" s="135"/>
      <c r="H109" s="135"/>
      <c r="I109" s="131"/>
      <c r="J109" s="131"/>
      <c r="K109" s="131"/>
      <c r="L109" s="131"/>
      <c r="M109" s="135"/>
      <c r="N109" s="131"/>
      <c r="O109" s="131"/>
      <c r="P109" s="131"/>
      <c r="Q109" s="131"/>
      <c r="R109" s="217"/>
      <c r="S109" s="219"/>
      <c r="T109" s="219"/>
      <c r="U109" s="217"/>
      <c r="V109" s="217"/>
    </row>
    <row r="110" spans="1:22" ht="25.5" customHeight="1">
      <c r="A110" s="9"/>
      <c r="B110" s="187" t="s">
        <v>314</v>
      </c>
      <c r="C110" s="279">
        <v>2500</v>
      </c>
      <c r="D110" s="195"/>
      <c r="E110" s="270"/>
      <c r="F110" s="196"/>
      <c r="G110" s="196"/>
      <c r="H110" s="196"/>
      <c r="I110" s="195"/>
      <c r="J110" s="195"/>
      <c r="K110" s="195"/>
      <c r="L110" s="195"/>
      <c r="M110" s="196"/>
      <c r="N110" s="195"/>
      <c r="O110" s="195"/>
      <c r="P110" s="195"/>
      <c r="Q110" s="195"/>
      <c r="R110" s="218"/>
      <c r="S110" s="220"/>
      <c r="T110" s="220"/>
      <c r="U110" s="218"/>
      <c r="V110" s="218"/>
    </row>
    <row r="111" spans="1:22" ht="25.5" customHeight="1">
      <c r="A111" s="9"/>
      <c r="B111" s="187" t="s">
        <v>255</v>
      </c>
      <c r="C111" s="279">
        <v>4000</v>
      </c>
      <c r="D111" s="195"/>
      <c r="E111" s="270"/>
      <c r="F111" s="196"/>
      <c r="G111" s="196"/>
      <c r="H111" s="196"/>
      <c r="I111" s="195"/>
      <c r="J111" s="195"/>
      <c r="K111" s="195"/>
      <c r="L111" s="195"/>
      <c r="M111" s="196"/>
      <c r="N111" s="195"/>
      <c r="O111" s="195"/>
      <c r="P111" s="195"/>
      <c r="Q111" s="195"/>
      <c r="R111" s="218"/>
      <c r="S111" s="220"/>
      <c r="T111" s="220"/>
      <c r="U111" s="218"/>
      <c r="V111" s="218"/>
    </row>
    <row r="112" spans="1:22" ht="25.5" customHeight="1">
      <c r="A112" s="9"/>
      <c r="B112" s="187" t="s">
        <v>256</v>
      </c>
      <c r="C112" s="279">
        <v>2500</v>
      </c>
      <c r="D112" s="195"/>
      <c r="E112" s="270"/>
      <c r="F112" s="196"/>
      <c r="G112" s="196"/>
      <c r="H112" s="196"/>
      <c r="I112" s="195"/>
      <c r="J112" s="195"/>
      <c r="K112" s="195"/>
      <c r="L112" s="195"/>
      <c r="M112" s="196"/>
      <c r="N112" s="195"/>
      <c r="O112" s="195"/>
      <c r="P112" s="195"/>
      <c r="Q112" s="195"/>
      <c r="R112" s="218"/>
      <c r="S112" s="220"/>
      <c r="T112" s="220"/>
      <c r="U112" s="218"/>
      <c r="V112" s="218"/>
    </row>
    <row r="113" spans="1:22" ht="25.5" customHeight="1">
      <c r="A113" s="9"/>
      <c r="B113" s="187" t="s">
        <v>257</v>
      </c>
      <c r="C113" s="279">
        <v>2500</v>
      </c>
      <c r="D113" s="195"/>
      <c r="E113" s="270"/>
      <c r="F113" s="196"/>
      <c r="G113" s="196"/>
      <c r="H113" s="196"/>
      <c r="I113" s="195"/>
      <c r="J113" s="195"/>
      <c r="K113" s="195"/>
      <c r="L113" s="195"/>
      <c r="M113" s="196"/>
      <c r="N113" s="195"/>
      <c r="O113" s="195"/>
      <c r="P113" s="195"/>
      <c r="Q113" s="195"/>
      <c r="R113" s="218"/>
      <c r="S113" s="220"/>
      <c r="T113" s="220"/>
      <c r="U113" s="218"/>
      <c r="V113" s="218"/>
    </row>
    <row r="114" spans="1:22" ht="25.5" customHeight="1">
      <c r="A114" s="9"/>
      <c r="B114" s="187" t="s">
        <v>258</v>
      </c>
      <c r="C114" s="279">
        <v>2500</v>
      </c>
      <c r="D114" s="195"/>
      <c r="E114" s="270"/>
      <c r="F114" s="196"/>
      <c r="G114" s="196"/>
      <c r="H114" s="196"/>
      <c r="I114" s="195"/>
      <c r="J114" s="195"/>
      <c r="K114" s="195"/>
      <c r="L114" s="195"/>
      <c r="M114" s="196"/>
      <c r="N114" s="195"/>
      <c r="O114" s="195"/>
      <c r="P114" s="195"/>
      <c r="Q114" s="195"/>
      <c r="R114" s="218"/>
      <c r="S114" s="220"/>
      <c r="T114" s="220"/>
      <c r="U114" s="218"/>
      <c r="V114" s="218"/>
    </row>
    <row r="115" spans="1:22" ht="25.5" customHeight="1">
      <c r="A115" s="9"/>
      <c r="B115" s="187" t="s">
        <v>259</v>
      </c>
      <c r="C115" s="279">
        <v>1000</v>
      </c>
      <c r="D115" s="195"/>
      <c r="E115" s="270"/>
      <c r="F115" s="196"/>
      <c r="G115" s="196"/>
      <c r="H115" s="196"/>
      <c r="I115" s="195"/>
      <c r="J115" s="195"/>
      <c r="K115" s="195"/>
      <c r="L115" s="195"/>
      <c r="M115" s="196"/>
      <c r="N115" s="195"/>
      <c r="O115" s="195"/>
      <c r="P115" s="195"/>
      <c r="Q115" s="195"/>
      <c r="R115" s="218"/>
      <c r="S115" s="220"/>
      <c r="T115" s="220"/>
      <c r="U115" s="218"/>
      <c r="V115" s="218"/>
    </row>
    <row r="116" spans="1:22" ht="25.5" customHeight="1">
      <c r="A116" s="9"/>
      <c r="B116" s="187" t="s">
        <v>260</v>
      </c>
      <c r="C116" s="279">
        <v>1000</v>
      </c>
      <c r="D116" s="195"/>
      <c r="E116" s="270"/>
      <c r="F116" s="196"/>
      <c r="G116" s="196"/>
      <c r="H116" s="196"/>
      <c r="I116" s="195"/>
      <c r="J116" s="195"/>
      <c r="K116" s="195"/>
      <c r="L116" s="195"/>
      <c r="M116" s="196"/>
      <c r="N116" s="195"/>
      <c r="O116" s="195"/>
      <c r="P116" s="195"/>
      <c r="Q116" s="195"/>
      <c r="R116" s="218"/>
      <c r="S116" s="220"/>
      <c r="T116" s="220"/>
      <c r="U116" s="218"/>
      <c r="V116" s="218"/>
    </row>
    <row r="117" spans="1:22" ht="25.5" customHeight="1">
      <c r="A117" s="9"/>
      <c r="B117" s="187" t="s">
        <v>261</v>
      </c>
      <c r="C117" s="279">
        <v>1000</v>
      </c>
      <c r="D117" s="195"/>
      <c r="E117" s="270"/>
      <c r="F117" s="196"/>
      <c r="G117" s="196"/>
      <c r="H117" s="196"/>
      <c r="I117" s="195"/>
      <c r="J117" s="195"/>
      <c r="K117" s="195"/>
      <c r="L117" s="195"/>
      <c r="M117" s="196"/>
      <c r="N117" s="195"/>
      <c r="O117" s="195"/>
      <c r="P117" s="195"/>
      <c r="Q117" s="195"/>
      <c r="R117" s="218"/>
      <c r="S117" s="220"/>
      <c r="T117" s="220"/>
      <c r="U117" s="218"/>
      <c r="V117" s="218"/>
    </row>
    <row r="118" spans="1:22" ht="25.5" customHeight="1">
      <c r="A118" s="9"/>
      <c r="B118" s="187" t="s">
        <v>262</v>
      </c>
      <c r="C118" s="279">
        <v>1000</v>
      </c>
      <c r="D118" s="195"/>
      <c r="E118" s="270"/>
      <c r="F118" s="196"/>
      <c r="G118" s="196"/>
      <c r="H118" s="196"/>
      <c r="I118" s="195"/>
      <c r="J118" s="195"/>
      <c r="K118" s="195"/>
      <c r="L118" s="195"/>
      <c r="M118" s="196"/>
      <c r="N118" s="195"/>
      <c r="O118" s="195"/>
      <c r="P118" s="195"/>
      <c r="Q118" s="195"/>
      <c r="R118" s="218"/>
      <c r="S118" s="220"/>
      <c r="T118" s="220"/>
      <c r="U118" s="218"/>
      <c r="V118" s="218"/>
    </row>
    <row r="119" spans="1:22" ht="25.5" customHeight="1">
      <c r="A119" s="9"/>
      <c r="B119" s="187" t="s">
        <v>211</v>
      </c>
      <c r="C119" s="279">
        <v>392000</v>
      </c>
      <c r="D119" s="195"/>
      <c r="E119" s="270"/>
      <c r="F119" s="196"/>
      <c r="G119" s="196"/>
      <c r="H119" s="196"/>
      <c r="I119" s="195"/>
      <c r="J119" s="195"/>
      <c r="K119" s="195"/>
      <c r="L119" s="195"/>
      <c r="M119" s="196"/>
      <c r="N119" s="195"/>
      <c r="O119" s="195"/>
      <c r="P119" s="195"/>
      <c r="Q119" s="195"/>
      <c r="R119" s="218"/>
      <c r="S119" s="220"/>
      <c r="T119" s="220"/>
      <c r="U119" s="218"/>
      <c r="V119" s="218"/>
    </row>
    <row r="120" spans="1:22" ht="25.5" customHeight="1">
      <c r="A120" s="9"/>
      <c r="B120" s="187" t="s">
        <v>263</v>
      </c>
      <c r="C120" s="279">
        <v>200900</v>
      </c>
      <c r="D120" s="195"/>
      <c r="E120" s="270"/>
      <c r="F120" s="196"/>
      <c r="G120" s="196"/>
      <c r="H120" s="196"/>
      <c r="I120" s="195"/>
      <c r="J120" s="195"/>
      <c r="K120" s="195"/>
      <c r="L120" s="195"/>
      <c r="M120" s="196"/>
      <c r="N120" s="195"/>
      <c r="O120" s="195"/>
      <c r="P120" s="195"/>
      <c r="Q120" s="195"/>
      <c r="R120" s="218"/>
      <c r="S120" s="220"/>
      <c r="T120" s="220"/>
      <c r="U120" s="218"/>
      <c r="V120" s="218"/>
    </row>
    <row r="121" spans="1:22" ht="25.5" customHeight="1">
      <c r="A121" s="9"/>
      <c r="B121" s="187" t="s">
        <v>315</v>
      </c>
      <c r="C121" s="279">
        <v>230300</v>
      </c>
      <c r="D121" s="195"/>
      <c r="E121" s="270"/>
      <c r="F121" s="196"/>
      <c r="G121" s="196"/>
      <c r="H121" s="196"/>
      <c r="I121" s="195"/>
      <c r="J121" s="195"/>
      <c r="K121" s="195"/>
      <c r="L121" s="195"/>
      <c r="M121" s="196"/>
      <c r="N121" s="195"/>
      <c r="O121" s="195"/>
      <c r="P121" s="195"/>
      <c r="Q121" s="195"/>
      <c r="R121" s="218"/>
      <c r="S121" s="220"/>
      <c r="T121" s="220"/>
      <c r="U121" s="218"/>
      <c r="V121" s="218"/>
    </row>
    <row r="122" spans="1:22" ht="25.5" customHeight="1">
      <c r="A122" s="9"/>
      <c r="B122" s="187" t="s">
        <v>212</v>
      </c>
      <c r="C122" s="279">
        <v>171500</v>
      </c>
      <c r="D122" s="195"/>
      <c r="E122" s="270"/>
      <c r="F122" s="196"/>
      <c r="G122" s="196"/>
      <c r="H122" s="196"/>
      <c r="I122" s="195"/>
      <c r="J122" s="195"/>
      <c r="K122" s="195"/>
      <c r="L122" s="195"/>
      <c r="M122" s="196"/>
      <c r="N122" s="195"/>
      <c r="O122" s="195"/>
      <c r="P122" s="195"/>
      <c r="Q122" s="195"/>
      <c r="R122" s="218"/>
      <c r="S122" s="220"/>
      <c r="T122" s="220"/>
      <c r="U122" s="218"/>
      <c r="V122" s="218"/>
    </row>
    <row r="123" spans="1:22" ht="25.5" customHeight="1">
      <c r="A123" s="9"/>
      <c r="B123" s="187" t="s">
        <v>140</v>
      </c>
      <c r="C123" s="279">
        <v>50000</v>
      </c>
      <c r="D123" s="195"/>
      <c r="E123" s="270"/>
      <c r="F123" s="196"/>
      <c r="G123" s="196"/>
      <c r="H123" s="196"/>
      <c r="I123" s="195"/>
      <c r="J123" s="195"/>
      <c r="K123" s="195"/>
      <c r="L123" s="195"/>
      <c r="M123" s="196"/>
      <c r="N123" s="195"/>
      <c r="O123" s="195"/>
      <c r="P123" s="195"/>
      <c r="Q123" s="195"/>
      <c r="R123" s="218"/>
      <c r="S123" s="220"/>
      <c r="T123" s="220"/>
      <c r="U123" s="218"/>
      <c r="V123" s="218"/>
    </row>
    <row r="124" spans="1:22" ht="25.5" customHeight="1">
      <c r="A124" s="9"/>
      <c r="B124" s="187" t="s">
        <v>206</v>
      </c>
      <c r="C124" s="279">
        <v>20000</v>
      </c>
      <c r="D124" s="195"/>
      <c r="E124" s="270"/>
      <c r="F124" s="196"/>
      <c r="G124" s="196"/>
      <c r="H124" s="196"/>
      <c r="I124" s="195"/>
      <c r="J124" s="195"/>
      <c r="K124" s="195"/>
      <c r="L124" s="195"/>
      <c r="M124" s="196"/>
      <c r="N124" s="195"/>
      <c r="O124" s="195"/>
      <c r="P124" s="195"/>
      <c r="Q124" s="195"/>
      <c r="R124" s="218"/>
      <c r="S124" s="220"/>
      <c r="T124" s="220"/>
      <c r="U124" s="218"/>
      <c r="V124" s="218"/>
    </row>
    <row r="125" spans="1:22" ht="25.5" customHeight="1">
      <c r="A125" s="9"/>
      <c r="B125" s="187" t="s">
        <v>326</v>
      </c>
      <c r="C125" s="279">
        <v>5000</v>
      </c>
      <c r="D125" s="195"/>
      <c r="E125" s="270"/>
      <c r="F125" s="196"/>
      <c r="G125" s="196"/>
      <c r="H125" s="196"/>
      <c r="I125" s="195"/>
      <c r="J125" s="195"/>
      <c r="K125" s="195"/>
      <c r="L125" s="195"/>
      <c r="M125" s="196"/>
      <c r="N125" s="195"/>
      <c r="O125" s="195"/>
      <c r="P125" s="195"/>
      <c r="Q125" s="195"/>
      <c r="R125" s="218"/>
      <c r="S125" s="220"/>
      <c r="T125" s="220"/>
      <c r="U125" s="218"/>
      <c r="V125" s="218"/>
    </row>
    <row r="126" spans="1:22" ht="25.5" customHeight="1">
      <c r="A126" s="9"/>
      <c r="B126" s="187" t="s">
        <v>327</v>
      </c>
      <c r="C126" s="279">
        <v>5000</v>
      </c>
      <c r="D126" s="195"/>
      <c r="E126" s="270"/>
      <c r="F126" s="196"/>
      <c r="G126" s="196"/>
      <c r="H126" s="196"/>
      <c r="I126" s="195"/>
      <c r="J126" s="195"/>
      <c r="K126" s="195"/>
      <c r="L126" s="195"/>
      <c r="M126" s="196"/>
      <c r="N126" s="195"/>
      <c r="O126" s="195"/>
      <c r="P126" s="195"/>
      <c r="Q126" s="195"/>
      <c r="R126" s="218"/>
      <c r="S126" s="220"/>
      <c r="T126" s="220"/>
      <c r="U126" s="218"/>
      <c r="V126" s="218"/>
    </row>
    <row r="127" spans="1:22" ht="25.5" customHeight="1">
      <c r="A127" s="9"/>
      <c r="B127" s="187" t="s">
        <v>142</v>
      </c>
      <c r="C127" s="279">
        <f>20000-10000</f>
        <v>10000</v>
      </c>
      <c r="D127" s="195"/>
      <c r="E127" s="270"/>
      <c r="F127" s="196"/>
      <c r="G127" s="196"/>
      <c r="H127" s="196"/>
      <c r="I127" s="195"/>
      <c r="J127" s="195"/>
      <c r="K127" s="195"/>
      <c r="L127" s="195"/>
      <c r="M127" s="196"/>
      <c r="N127" s="195"/>
      <c r="O127" s="195"/>
      <c r="P127" s="195"/>
      <c r="Q127" s="195"/>
      <c r="R127" s="218"/>
      <c r="S127" s="220"/>
      <c r="T127" s="220"/>
      <c r="U127" s="218"/>
      <c r="V127" s="218"/>
    </row>
    <row r="128" spans="1:22" ht="25.5" customHeight="1">
      <c r="A128" s="9"/>
      <c r="B128" s="226" t="s">
        <v>328</v>
      </c>
      <c r="C128" s="279">
        <v>10000</v>
      </c>
      <c r="D128" s="195"/>
      <c r="E128" s="270"/>
      <c r="F128" s="196"/>
      <c r="G128" s="196"/>
      <c r="H128" s="196"/>
      <c r="I128" s="195"/>
      <c r="J128" s="195"/>
      <c r="K128" s="195"/>
      <c r="L128" s="195"/>
      <c r="M128" s="196"/>
      <c r="N128" s="195"/>
      <c r="O128" s="195"/>
      <c r="P128" s="195"/>
      <c r="Q128" s="195"/>
      <c r="R128" s="218"/>
      <c r="S128" s="220"/>
      <c r="T128" s="220"/>
      <c r="U128" s="218"/>
      <c r="V128" s="218"/>
    </row>
    <row r="129" spans="1:22" ht="25.5" customHeight="1">
      <c r="A129" s="9"/>
      <c r="B129" s="226" t="s">
        <v>329</v>
      </c>
      <c r="C129" s="279">
        <v>10000</v>
      </c>
      <c r="D129" s="131"/>
      <c r="E129" s="267"/>
      <c r="F129" s="135"/>
      <c r="G129" s="135"/>
      <c r="H129" s="135"/>
      <c r="I129" s="131"/>
      <c r="J129" s="131"/>
      <c r="K129" s="131"/>
      <c r="L129" s="131"/>
      <c r="M129" s="135"/>
      <c r="N129" s="131"/>
      <c r="O129" s="131"/>
      <c r="P129" s="131"/>
      <c r="Q129" s="131"/>
      <c r="R129" s="217"/>
      <c r="S129" s="219"/>
      <c r="T129" s="219"/>
      <c r="U129" s="217"/>
      <c r="V129" s="217"/>
    </row>
    <row r="130" spans="1:22" ht="25.5" customHeight="1">
      <c r="A130" s="9"/>
      <c r="B130" s="226" t="s">
        <v>330</v>
      </c>
      <c r="C130" s="279">
        <v>10000</v>
      </c>
      <c r="D130" s="195"/>
      <c r="E130" s="270"/>
      <c r="F130" s="196"/>
      <c r="G130" s="196"/>
      <c r="H130" s="196"/>
      <c r="I130" s="195"/>
      <c r="J130" s="195"/>
      <c r="K130" s="195"/>
      <c r="L130" s="195"/>
      <c r="M130" s="196"/>
      <c r="N130" s="195"/>
      <c r="O130" s="195"/>
      <c r="P130" s="195"/>
      <c r="Q130" s="195"/>
      <c r="R130" s="218"/>
      <c r="S130" s="196"/>
      <c r="T130" s="196"/>
      <c r="U130" s="218"/>
      <c r="V130" s="218"/>
    </row>
    <row r="131" spans="1:22" ht="25.5" customHeight="1">
      <c r="A131" s="9"/>
      <c r="B131" s="226" t="s">
        <v>331</v>
      </c>
      <c r="C131" s="279">
        <v>10000</v>
      </c>
      <c r="D131" s="195"/>
      <c r="E131" s="270"/>
      <c r="F131" s="196"/>
      <c r="G131" s="196"/>
      <c r="H131" s="196"/>
      <c r="I131" s="195"/>
      <c r="J131" s="195"/>
      <c r="K131" s="195"/>
      <c r="L131" s="195"/>
      <c r="M131" s="196"/>
      <c r="N131" s="195"/>
      <c r="O131" s="195"/>
      <c r="P131" s="195"/>
      <c r="Q131" s="195"/>
      <c r="R131" s="218"/>
      <c r="S131" s="220"/>
      <c r="T131" s="220"/>
      <c r="U131" s="218"/>
      <c r="V131" s="218"/>
    </row>
    <row r="132" spans="1:22" ht="25.5" customHeight="1">
      <c r="A132" s="9"/>
      <c r="B132" s="226" t="s">
        <v>333</v>
      </c>
      <c r="C132" s="279">
        <v>15000</v>
      </c>
      <c r="D132" s="195"/>
      <c r="E132" s="270"/>
      <c r="F132" s="196"/>
      <c r="G132" s="196"/>
      <c r="H132" s="196"/>
      <c r="I132" s="195"/>
      <c r="J132" s="195"/>
      <c r="K132" s="195"/>
      <c r="L132" s="195"/>
      <c r="M132" s="196"/>
      <c r="N132" s="195"/>
      <c r="O132" s="195"/>
      <c r="P132" s="195"/>
      <c r="Q132" s="195"/>
      <c r="R132" s="218"/>
      <c r="S132" s="220"/>
      <c r="T132" s="220"/>
      <c r="U132" s="218"/>
      <c r="V132" s="218"/>
    </row>
    <row r="133" spans="1:22" ht="25.5" customHeight="1">
      <c r="A133" s="9"/>
      <c r="B133" s="226" t="s">
        <v>157</v>
      </c>
      <c r="C133" s="279">
        <v>10000</v>
      </c>
      <c r="D133" s="195"/>
      <c r="E133" s="270"/>
      <c r="F133" s="196"/>
      <c r="G133" s="196"/>
      <c r="H133" s="196"/>
      <c r="I133" s="195"/>
      <c r="J133" s="195"/>
      <c r="K133" s="195"/>
      <c r="L133" s="195"/>
      <c r="M133" s="196"/>
      <c r="N133" s="195"/>
      <c r="O133" s="195"/>
      <c r="P133" s="195"/>
      <c r="Q133" s="195"/>
      <c r="R133" s="218"/>
      <c r="S133" s="220"/>
      <c r="T133" s="220"/>
      <c r="U133" s="218"/>
      <c r="V133" s="218"/>
    </row>
    <row r="134" spans="1:22" ht="25.5" customHeight="1">
      <c r="A134" s="9"/>
      <c r="B134" s="226" t="s">
        <v>158</v>
      </c>
      <c r="C134" s="279">
        <v>10000</v>
      </c>
      <c r="D134" s="195"/>
      <c r="E134" s="270"/>
      <c r="F134" s="196"/>
      <c r="G134" s="196"/>
      <c r="H134" s="196"/>
      <c r="I134" s="195"/>
      <c r="J134" s="195"/>
      <c r="K134" s="195"/>
      <c r="L134" s="195"/>
      <c r="M134" s="196"/>
      <c r="N134" s="195"/>
      <c r="O134" s="195"/>
      <c r="P134" s="195"/>
      <c r="Q134" s="195"/>
      <c r="R134" s="218"/>
      <c r="S134" s="220"/>
      <c r="T134" s="220"/>
      <c r="U134" s="218"/>
      <c r="V134" s="218"/>
    </row>
    <row r="135" spans="1:22" ht="25.5" customHeight="1">
      <c r="A135" s="9"/>
      <c r="B135" s="226" t="s">
        <v>352</v>
      </c>
      <c r="C135" s="279">
        <v>10000</v>
      </c>
      <c r="D135" s="195"/>
      <c r="E135" s="270"/>
      <c r="F135" s="196"/>
      <c r="G135" s="196"/>
      <c r="H135" s="196"/>
      <c r="I135" s="195"/>
      <c r="J135" s="195"/>
      <c r="K135" s="195"/>
      <c r="L135" s="195"/>
      <c r="M135" s="196"/>
      <c r="N135" s="195"/>
      <c r="O135" s="195"/>
      <c r="P135" s="195"/>
      <c r="Q135" s="195"/>
      <c r="R135" s="218"/>
      <c r="S135" s="220"/>
      <c r="T135" s="220"/>
      <c r="U135" s="218"/>
      <c r="V135" s="218"/>
    </row>
    <row r="136" spans="1:22" ht="25.5" customHeight="1">
      <c r="A136" s="9"/>
      <c r="B136" s="226" t="s">
        <v>213</v>
      </c>
      <c r="C136" s="279">
        <v>15000</v>
      </c>
      <c r="D136" s="195"/>
      <c r="E136" s="270"/>
      <c r="F136" s="196"/>
      <c r="G136" s="196"/>
      <c r="H136" s="196"/>
      <c r="I136" s="195"/>
      <c r="J136" s="195"/>
      <c r="K136" s="195"/>
      <c r="L136" s="195"/>
      <c r="M136" s="196"/>
      <c r="N136" s="195"/>
      <c r="O136" s="195"/>
      <c r="P136" s="195"/>
      <c r="Q136" s="195"/>
      <c r="R136" s="218"/>
      <c r="S136" s="220"/>
      <c r="T136" s="220"/>
      <c r="U136" s="218"/>
      <c r="V136" s="218"/>
    </row>
    <row r="137" spans="1:22" ht="25.5" customHeight="1">
      <c r="A137" s="9"/>
      <c r="B137" s="226" t="s">
        <v>265</v>
      </c>
      <c r="C137" s="279">
        <v>20000</v>
      </c>
      <c r="D137" s="195"/>
      <c r="E137" s="270"/>
      <c r="F137" s="196"/>
      <c r="G137" s="196"/>
      <c r="H137" s="196"/>
      <c r="I137" s="195"/>
      <c r="J137" s="195"/>
      <c r="K137" s="195"/>
      <c r="L137" s="195"/>
      <c r="M137" s="196"/>
      <c r="N137" s="195"/>
      <c r="O137" s="195"/>
      <c r="P137" s="195"/>
      <c r="Q137" s="195"/>
      <c r="R137" s="218"/>
      <c r="S137" s="220"/>
      <c r="T137" s="220"/>
      <c r="U137" s="218"/>
      <c r="V137" s="218"/>
    </row>
    <row r="138" spans="1:22" ht="25.5" customHeight="1">
      <c r="A138" s="9"/>
      <c r="B138" s="226" t="s">
        <v>353</v>
      </c>
      <c r="C138" s="279">
        <v>5000</v>
      </c>
      <c r="D138" s="195"/>
      <c r="E138" s="270"/>
      <c r="F138" s="196"/>
      <c r="G138" s="196"/>
      <c r="H138" s="196"/>
      <c r="I138" s="195"/>
      <c r="J138" s="195"/>
      <c r="K138" s="195"/>
      <c r="L138" s="195"/>
      <c r="M138" s="196"/>
      <c r="N138" s="195"/>
      <c r="O138" s="195"/>
      <c r="P138" s="195"/>
      <c r="Q138" s="195"/>
      <c r="R138" s="218"/>
      <c r="S138" s="220"/>
      <c r="T138" s="220"/>
      <c r="U138" s="218"/>
      <c r="V138" s="218"/>
    </row>
    <row r="139" spans="1:22" ht="25.5" customHeight="1">
      <c r="A139" s="9"/>
      <c r="B139" s="226" t="s">
        <v>354</v>
      </c>
      <c r="C139" s="279">
        <v>10000</v>
      </c>
      <c r="D139" s="195"/>
      <c r="E139" s="270"/>
      <c r="F139" s="196"/>
      <c r="G139" s="196"/>
      <c r="H139" s="196"/>
      <c r="I139" s="195"/>
      <c r="J139" s="195"/>
      <c r="K139" s="195"/>
      <c r="L139" s="195"/>
      <c r="M139" s="196"/>
      <c r="N139" s="195"/>
      <c r="O139" s="195"/>
      <c r="P139" s="195"/>
      <c r="Q139" s="195"/>
      <c r="R139" s="218"/>
      <c r="S139" s="220"/>
      <c r="T139" s="220"/>
      <c r="U139" s="218"/>
      <c r="V139" s="218"/>
    </row>
    <row r="140" spans="1:22" ht="25.5" customHeight="1">
      <c r="A140" s="9"/>
      <c r="B140" s="187" t="s">
        <v>355</v>
      </c>
      <c r="C140" s="279">
        <v>20000</v>
      </c>
      <c r="D140" s="195"/>
      <c r="E140" s="270"/>
      <c r="F140" s="196"/>
      <c r="G140" s="196"/>
      <c r="H140" s="196"/>
      <c r="I140" s="195"/>
      <c r="J140" s="195"/>
      <c r="K140" s="195"/>
      <c r="L140" s="195"/>
      <c r="M140" s="196"/>
      <c r="N140" s="195"/>
      <c r="O140" s="195"/>
      <c r="P140" s="195"/>
      <c r="Q140" s="195"/>
      <c r="R140" s="218"/>
      <c r="S140" s="220"/>
      <c r="T140" s="220"/>
      <c r="U140" s="218"/>
      <c r="V140" s="218"/>
    </row>
    <row r="141" spans="1:22" ht="25.5" customHeight="1">
      <c r="A141" s="9"/>
      <c r="B141" s="187" t="s">
        <v>356</v>
      </c>
      <c r="C141" s="279">
        <v>20000</v>
      </c>
      <c r="D141" s="195"/>
      <c r="E141" s="270"/>
      <c r="F141" s="196"/>
      <c r="G141" s="196"/>
      <c r="H141" s="196"/>
      <c r="I141" s="195"/>
      <c r="J141" s="195"/>
      <c r="K141" s="195"/>
      <c r="L141" s="195"/>
      <c r="M141" s="196"/>
      <c r="N141" s="195"/>
      <c r="O141" s="195"/>
      <c r="P141" s="195"/>
      <c r="Q141" s="195"/>
      <c r="R141" s="218"/>
      <c r="S141" s="220"/>
      <c r="T141" s="220"/>
      <c r="U141" s="218"/>
      <c r="V141" s="218"/>
    </row>
    <row r="142" spans="1:22" ht="25.5" customHeight="1">
      <c r="A142" s="9"/>
      <c r="B142" s="187" t="s">
        <v>357</v>
      </c>
      <c r="C142" s="279">
        <v>10000</v>
      </c>
      <c r="D142" s="195"/>
      <c r="E142" s="270"/>
      <c r="F142" s="196"/>
      <c r="G142" s="196"/>
      <c r="H142" s="196"/>
      <c r="I142" s="195"/>
      <c r="J142" s="195"/>
      <c r="K142" s="195"/>
      <c r="L142" s="195"/>
      <c r="M142" s="196"/>
      <c r="N142" s="195"/>
      <c r="O142" s="195"/>
      <c r="P142" s="195"/>
      <c r="Q142" s="195"/>
      <c r="R142" s="218"/>
      <c r="S142" s="220"/>
      <c r="T142" s="220"/>
      <c r="U142" s="218"/>
      <c r="V142" s="218"/>
    </row>
    <row r="143" spans="1:22" ht="25.5" customHeight="1">
      <c r="A143" s="9"/>
      <c r="B143" s="187" t="s">
        <v>358</v>
      </c>
      <c r="C143" s="279">
        <v>10000</v>
      </c>
      <c r="D143" s="195"/>
      <c r="E143" s="270"/>
      <c r="F143" s="196"/>
      <c r="G143" s="196"/>
      <c r="H143" s="196"/>
      <c r="I143" s="195"/>
      <c r="J143" s="195"/>
      <c r="K143" s="195"/>
      <c r="L143" s="195"/>
      <c r="M143" s="196"/>
      <c r="N143" s="195"/>
      <c r="O143" s="195"/>
      <c r="P143" s="195"/>
      <c r="Q143" s="195"/>
      <c r="R143" s="218"/>
      <c r="S143" s="220"/>
      <c r="T143" s="220"/>
      <c r="U143" s="218"/>
      <c r="V143" s="218"/>
    </row>
    <row r="144" spans="1:22" ht="25.5" customHeight="1">
      <c r="A144" s="9"/>
      <c r="B144" s="187" t="s">
        <v>359</v>
      </c>
      <c r="C144" s="279">
        <v>5000</v>
      </c>
      <c r="D144" s="195"/>
      <c r="E144" s="270"/>
      <c r="F144" s="196"/>
      <c r="G144" s="196"/>
      <c r="H144" s="196"/>
      <c r="I144" s="195"/>
      <c r="J144" s="195"/>
      <c r="K144" s="195"/>
      <c r="L144" s="195"/>
      <c r="M144" s="196"/>
      <c r="N144" s="195"/>
      <c r="O144" s="195"/>
      <c r="P144" s="195"/>
      <c r="Q144" s="195"/>
      <c r="R144" s="218"/>
      <c r="S144" s="220"/>
      <c r="T144" s="220"/>
      <c r="U144" s="218"/>
      <c r="V144" s="218"/>
    </row>
    <row r="145" spans="1:22" ht="25.5" customHeight="1">
      <c r="A145" s="9"/>
      <c r="B145" s="187" t="s">
        <v>360</v>
      </c>
      <c r="C145" s="279">
        <v>5000</v>
      </c>
      <c r="D145" s="195"/>
      <c r="E145" s="270"/>
      <c r="F145" s="196"/>
      <c r="G145" s="196"/>
      <c r="H145" s="196"/>
      <c r="I145" s="195"/>
      <c r="J145" s="195"/>
      <c r="K145" s="195"/>
      <c r="L145" s="195"/>
      <c r="M145" s="196"/>
      <c r="N145" s="195"/>
      <c r="O145" s="195"/>
      <c r="P145" s="195"/>
      <c r="Q145" s="195"/>
      <c r="R145" s="218"/>
      <c r="S145" s="220"/>
      <c r="T145" s="220"/>
      <c r="U145" s="218"/>
      <c r="V145" s="218"/>
    </row>
    <row r="146" spans="1:22" ht="25.5" customHeight="1">
      <c r="A146" s="9"/>
      <c r="B146" s="187" t="s">
        <v>361</v>
      </c>
      <c r="C146" s="279">
        <v>5000</v>
      </c>
      <c r="D146" s="195"/>
      <c r="E146" s="270"/>
      <c r="F146" s="196"/>
      <c r="G146" s="196"/>
      <c r="H146" s="196"/>
      <c r="I146" s="195"/>
      <c r="J146" s="195"/>
      <c r="K146" s="195"/>
      <c r="L146" s="195"/>
      <c r="M146" s="196"/>
      <c r="N146" s="195"/>
      <c r="O146" s="195"/>
      <c r="P146" s="195"/>
      <c r="Q146" s="195"/>
      <c r="R146" s="218"/>
      <c r="S146" s="220"/>
      <c r="T146" s="220"/>
      <c r="U146" s="218"/>
      <c r="V146" s="218"/>
    </row>
    <row r="147" spans="1:22" ht="25.5" customHeight="1">
      <c r="A147" s="9"/>
      <c r="B147" s="187" t="s">
        <v>362</v>
      </c>
      <c r="C147" s="279">
        <v>5000</v>
      </c>
      <c r="D147" s="195"/>
      <c r="E147" s="270"/>
      <c r="F147" s="196"/>
      <c r="G147" s="196"/>
      <c r="H147" s="196"/>
      <c r="I147" s="195"/>
      <c r="J147" s="195"/>
      <c r="K147" s="195"/>
      <c r="L147" s="195"/>
      <c r="M147" s="196"/>
      <c r="N147" s="195"/>
      <c r="O147" s="195"/>
      <c r="P147" s="195"/>
      <c r="Q147" s="195"/>
      <c r="R147" s="218"/>
      <c r="S147" s="220"/>
      <c r="T147" s="220"/>
      <c r="U147" s="218"/>
      <c r="V147" s="218"/>
    </row>
    <row r="148" spans="1:22" ht="25.5" customHeight="1">
      <c r="A148" s="9"/>
      <c r="B148" s="187" t="s">
        <v>363</v>
      </c>
      <c r="C148" s="279">
        <v>5000</v>
      </c>
      <c r="D148" s="131"/>
      <c r="E148" s="267"/>
      <c r="F148" s="135"/>
      <c r="G148" s="135"/>
      <c r="H148" s="135"/>
      <c r="I148" s="131"/>
      <c r="J148" s="131"/>
      <c r="K148" s="131"/>
      <c r="L148" s="131"/>
      <c r="M148" s="135"/>
      <c r="N148" s="131"/>
      <c r="O148" s="131"/>
      <c r="P148" s="131"/>
      <c r="Q148" s="131"/>
      <c r="R148" s="217"/>
      <c r="S148" s="219"/>
      <c r="T148" s="219"/>
      <c r="U148" s="217"/>
      <c r="V148" s="217"/>
    </row>
    <row r="149" spans="1:22" ht="25.5" customHeight="1">
      <c r="A149" s="9"/>
      <c r="B149" s="187" t="s">
        <v>364</v>
      </c>
      <c r="C149" s="279">
        <v>5000</v>
      </c>
      <c r="D149" s="131"/>
      <c r="E149" s="267"/>
      <c r="F149" s="135"/>
      <c r="G149" s="135"/>
      <c r="H149" s="135"/>
      <c r="I149" s="131"/>
      <c r="J149" s="131"/>
      <c r="K149" s="131"/>
      <c r="L149" s="131"/>
      <c r="M149" s="135"/>
      <c r="N149" s="131"/>
      <c r="O149" s="131"/>
      <c r="P149" s="131"/>
      <c r="Q149" s="131"/>
      <c r="R149" s="217"/>
      <c r="S149" s="219"/>
      <c r="T149" s="219"/>
      <c r="U149" s="217"/>
      <c r="V149" s="217"/>
    </row>
    <row r="150" spans="1:22" ht="25.5" customHeight="1">
      <c r="A150" s="9"/>
      <c r="B150" s="187" t="s">
        <v>365</v>
      </c>
      <c r="C150" s="279">
        <v>5000</v>
      </c>
      <c r="D150" s="131"/>
      <c r="E150" s="267"/>
      <c r="F150" s="135"/>
      <c r="G150" s="135"/>
      <c r="H150" s="135"/>
      <c r="I150" s="131"/>
      <c r="J150" s="131"/>
      <c r="K150" s="131"/>
      <c r="L150" s="131"/>
      <c r="M150" s="135"/>
      <c r="N150" s="131"/>
      <c r="O150" s="131"/>
      <c r="P150" s="131"/>
      <c r="Q150" s="131"/>
      <c r="R150" s="217"/>
      <c r="S150" s="219"/>
      <c r="T150" s="219"/>
      <c r="U150" s="217"/>
      <c r="V150" s="217"/>
    </row>
    <row r="151" spans="1:22" ht="25.5" customHeight="1">
      <c r="A151" s="9"/>
      <c r="B151" s="187" t="s">
        <v>366</v>
      </c>
      <c r="C151" s="279">
        <v>5000</v>
      </c>
      <c r="D151" s="131"/>
      <c r="E151" s="267"/>
      <c r="F151" s="135"/>
      <c r="G151" s="135"/>
      <c r="H151" s="135"/>
      <c r="I151" s="131"/>
      <c r="J151" s="131"/>
      <c r="K151" s="131"/>
      <c r="L151" s="131"/>
      <c r="M151" s="135"/>
      <c r="N151" s="131"/>
      <c r="O151" s="131"/>
      <c r="P151" s="131"/>
      <c r="Q151" s="131"/>
      <c r="R151" s="217"/>
      <c r="S151" s="219"/>
      <c r="T151" s="219"/>
      <c r="U151" s="217"/>
      <c r="V151" s="217"/>
    </row>
    <row r="152" spans="1:22" ht="25.5" customHeight="1">
      <c r="A152" s="9"/>
      <c r="B152" s="187" t="s">
        <v>367</v>
      </c>
      <c r="C152" s="279">
        <v>5000</v>
      </c>
      <c r="D152" s="131"/>
      <c r="E152" s="267"/>
      <c r="F152" s="135"/>
      <c r="G152" s="135"/>
      <c r="H152" s="135"/>
      <c r="I152" s="131"/>
      <c r="J152" s="131"/>
      <c r="K152" s="131"/>
      <c r="L152" s="131"/>
      <c r="M152" s="135"/>
      <c r="N152" s="131"/>
      <c r="O152" s="131"/>
      <c r="P152" s="131"/>
      <c r="Q152" s="131"/>
      <c r="R152" s="217"/>
      <c r="S152" s="219"/>
      <c r="T152" s="219"/>
      <c r="U152" s="217"/>
      <c r="V152" s="217"/>
    </row>
    <row r="153" spans="1:22" ht="25.5" customHeight="1">
      <c r="A153" s="9"/>
      <c r="B153" s="187" t="s">
        <v>368</v>
      </c>
      <c r="C153" s="279">
        <v>5000</v>
      </c>
      <c r="D153" s="131"/>
      <c r="E153" s="267"/>
      <c r="F153" s="135"/>
      <c r="G153" s="135"/>
      <c r="H153" s="135"/>
      <c r="I153" s="131"/>
      <c r="J153" s="131"/>
      <c r="K153" s="131"/>
      <c r="L153" s="131"/>
      <c r="M153" s="135"/>
      <c r="N153" s="131"/>
      <c r="O153" s="131"/>
      <c r="P153" s="131"/>
      <c r="Q153" s="131"/>
      <c r="R153" s="217"/>
      <c r="S153" s="219"/>
      <c r="T153" s="219"/>
      <c r="U153" s="217"/>
      <c r="V153" s="217"/>
    </row>
    <row r="154" spans="1:22" ht="25.5" customHeight="1">
      <c r="A154" s="9"/>
      <c r="B154" s="187" t="s">
        <v>369</v>
      </c>
      <c r="C154" s="279">
        <v>10000</v>
      </c>
      <c r="D154" s="131"/>
      <c r="E154" s="267"/>
      <c r="F154" s="135"/>
      <c r="G154" s="135"/>
      <c r="H154" s="135"/>
      <c r="I154" s="131"/>
      <c r="J154" s="131"/>
      <c r="K154" s="131"/>
      <c r="L154" s="131"/>
      <c r="M154" s="135"/>
      <c r="N154" s="131"/>
      <c r="O154" s="131"/>
      <c r="P154" s="131"/>
      <c r="Q154" s="131"/>
      <c r="R154" s="217"/>
      <c r="S154" s="219"/>
      <c r="T154" s="219"/>
      <c r="U154" s="217"/>
      <c r="V154" s="217"/>
    </row>
    <row r="155" spans="1:22" ht="25.5" customHeight="1">
      <c r="A155" s="9"/>
      <c r="B155" s="187" t="s">
        <v>370</v>
      </c>
      <c r="C155" s="279">
        <v>10000</v>
      </c>
      <c r="D155" s="131"/>
      <c r="E155" s="267"/>
      <c r="F155" s="135"/>
      <c r="G155" s="135"/>
      <c r="H155" s="135"/>
      <c r="I155" s="131"/>
      <c r="J155" s="131"/>
      <c r="K155" s="131"/>
      <c r="L155" s="131"/>
      <c r="M155" s="135"/>
      <c r="N155" s="131"/>
      <c r="O155" s="131"/>
      <c r="P155" s="131"/>
      <c r="Q155" s="131"/>
      <c r="R155" s="217"/>
      <c r="S155" s="219"/>
      <c r="T155" s="219"/>
      <c r="U155" s="217"/>
      <c r="V155" s="217"/>
    </row>
    <row r="156" spans="1:22" ht="25.5" customHeight="1">
      <c r="A156" s="9"/>
      <c r="B156" s="187" t="s">
        <v>163</v>
      </c>
      <c r="C156" s="279">
        <v>350000</v>
      </c>
      <c r="D156" s="131"/>
      <c r="E156" s="267"/>
      <c r="F156" s="135"/>
      <c r="G156" s="135"/>
      <c r="H156" s="135"/>
      <c r="I156" s="131"/>
      <c r="J156" s="131"/>
      <c r="K156" s="131"/>
      <c r="L156" s="131"/>
      <c r="M156" s="135"/>
      <c r="N156" s="131"/>
      <c r="O156" s="131"/>
      <c r="P156" s="131"/>
      <c r="Q156" s="131"/>
      <c r="R156" s="217"/>
      <c r="S156" s="219"/>
      <c r="T156" s="219"/>
      <c r="U156" s="217"/>
      <c r="V156" s="217"/>
    </row>
    <row r="157" spans="1:22" ht="25.5" customHeight="1">
      <c r="A157" s="9"/>
      <c r="B157" s="187" t="s">
        <v>214</v>
      </c>
      <c r="C157" s="279">
        <v>25000</v>
      </c>
      <c r="D157" s="131"/>
      <c r="E157" s="267"/>
      <c r="F157" s="135"/>
      <c r="G157" s="135"/>
      <c r="H157" s="135"/>
      <c r="I157" s="131"/>
      <c r="J157" s="131"/>
      <c r="K157" s="131"/>
      <c r="L157" s="131"/>
      <c r="M157" s="135"/>
      <c r="N157" s="131"/>
      <c r="O157" s="131"/>
      <c r="P157" s="131"/>
      <c r="Q157" s="131"/>
      <c r="R157" s="217"/>
      <c r="S157" s="219"/>
      <c r="T157" s="219"/>
      <c r="U157" s="217"/>
      <c r="V157" s="217"/>
    </row>
    <row r="158" spans="1:22" ht="25.5" customHeight="1">
      <c r="A158" s="9"/>
      <c r="B158" s="187" t="s">
        <v>167</v>
      </c>
      <c r="C158" s="279">
        <v>30000</v>
      </c>
      <c r="D158" s="131"/>
      <c r="E158" s="267"/>
      <c r="F158" s="135"/>
      <c r="G158" s="135"/>
      <c r="H158" s="135"/>
      <c r="I158" s="131"/>
      <c r="J158" s="131"/>
      <c r="K158" s="131"/>
      <c r="L158" s="131"/>
      <c r="M158" s="135"/>
      <c r="N158" s="131"/>
      <c r="O158" s="131"/>
      <c r="P158" s="131"/>
      <c r="Q158" s="131"/>
      <c r="R158" s="217"/>
      <c r="S158" s="219"/>
      <c r="T158" s="219"/>
      <c r="U158" s="217"/>
      <c r="V158" s="217"/>
    </row>
    <row r="159" spans="1:22" ht="25.5" customHeight="1">
      <c r="A159" s="9"/>
      <c r="B159" s="187" t="s">
        <v>371</v>
      </c>
      <c r="C159" s="279">
        <v>30000</v>
      </c>
      <c r="D159" s="131"/>
      <c r="E159" s="267"/>
      <c r="F159" s="135"/>
      <c r="G159" s="135"/>
      <c r="H159" s="135"/>
      <c r="I159" s="131"/>
      <c r="J159" s="131"/>
      <c r="K159" s="131"/>
      <c r="L159" s="131"/>
      <c r="M159" s="135"/>
      <c r="N159" s="131"/>
      <c r="O159" s="131"/>
      <c r="P159" s="131"/>
      <c r="Q159" s="131"/>
      <c r="R159" s="217"/>
      <c r="S159" s="219"/>
      <c r="T159" s="219"/>
      <c r="U159" s="217"/>
      <c r="V159" s="217"/>
    </row>
    <row r="160" spans="1:22" ht="25.5" customHeight="1">
      <c r="A160" s="9"/>
      <c r="B160" s="187" t="s">
        <v>170</v>
      </c>
      <c r="C160" s="279">
        <v>40000</v>
      </c>
      <c r="D160" s="131"/>
      <c r="E160" s="267"/>
      <c r="F160" s="135"/>
      <c r="G160" s="135"/>
      <c r="H160" s="135"/>
      <c r="I160" s="131"/>
      <c r="J160" s="131"/>
      <c r="K160" s="131"/>
      <c r="L160" s="131"/>
      <c r="M160" s="135"/>
      <c r="N160" s="131"/>
      <c r="O160" s="131"/>
      <c r="P160" s="131"/>
      <c r="Q160" s="131"/>
      <c r="R160" s="217"/>
      <c r="S160" s="219"/>
      <c r="T160" s="219"/>
      <c r="U160" s="217"/>
      <c r="V160" s="217"/>
    </row>
    <row r="161" spans="1:23" ht="25.5" customHeight="1">
      <c r="A161" s="9"/>
      <c r="B161" s="187" t="s">
        <v>266</v>
      </c>
      <c r="C161" s="279">
        <v>15000</v>
      </c>
      <c r="D161" s="131"/>
      <c r="E161" s="267"/>
      <c r="F161" s="135"/>
      <c r="G161" s="135"/>
      <c r="H161" s="135"/>
      <c r="I161" s="131"/>
      <c r="J161" s="131"/>
      <c r="K161" s="131"/>
      <c r="L161" s="131"/>
      <c r="M161" s="135"/>
      <c r="N161" s="131"/>
      <c r="O161" s="131"/>
      <c r="P161" s="131"/>
      <c r="Q161" s="131"/>
      <c r="R161" s="217"/>
      <c r="S161" s="219"/>
      <c r="T161" s="219"/>
      <c r="U161" s="217"/>
      <c r="V161" s="217"/>
    </row>
    <row r="162" spans="1:23" ht="25.5" customHeight="1">
      <c r="A162" s="9"/>
      <c r="B162" s="187" t="s">
        <v>372</v>
      </c>
      <c r="C162" s="279">
        <v>65000</v>
      </c>
      <c r="D162" s="131"/>
      <c r="E162" s="267"/>
      <c r="F162" s="135"/>
      <c r="G162" s="135"/>
      <c r="H162" s="135"/>
      <c r="I162" s="131"/>
      <c r="J162" s="131"/>
      <c r="K162" s="131"/>
      <c r="L162" s="131"/>
      <c r="M162" s="135"/>
      <c r="N162" s="131"/>
      <c r="O162" s="131"/>
      <c r="P162" s="131"/>
      <c r="Q162" s="131"/>
      <c r="R162" s="217"/>
      <c r="S162" s="219"/>
      <c r="T162" s="219"/>
      <c r="U162" s="217"/>
      <c r="V162" s="217"/>
    </row>
    <row r="163" spans="1:23" ht="25.5" customHeight="1">
      <c r="A163" s="9"/>
      <c r="B163" s="187" t="s">
        <v>373</v>
      </c>
      <c r="C163" s="279">
        <v>65000</v>
      </c>
      <c r="D163" s="131"/>
      <c r="E163" s="267"/>
      <c r="F163" s="135"/>
      <c r="G163" s="135"/>
      <c r="H163" s="135"/>
      <c r="I163" s="131"/>
      <c r="J163" s="131"/>
      <c r="K163" s="131"/>
      <c r="L163" s="131"/>
      <c r="M163" s="135"/>
      <c r="N163" s="131"/>
      <c r="O163" s="131"/>
      <c r="P163" s="131"/>
      <c r="Q163" s="131"/>
      <c r="R163" s="217"/>
      <c r="S163" s="219"/>
      <c r="T163" s="219"/>
      <c r="U163" s="217"/>
      <c r="V163" s="217"/>
    </row>
    <row r="164" spans="1:23" ht="25.5" customHeight="1">
      <c r="A164" s="9"/>
      <c r="B164" s="187" t="s">
        <v>374</v>
      </c>
      <c r="C164" s="279">
        <v>20000</v>
      </c>
      <c r="D164" s="131"/>
      <c r="E164" s="267"/>
      <c r="F164" s="135"/>
      <c r="G164" s="135"/>
      <c r="H164" s="135"/>
      <c r="I164" s="131"/>
      <c r="J164" s="131"/>
      <c r="K164" s="131"/>
      <c r="L164" s="131"/>
      <c r="M164" s="135"/>
      <c r="N164" s="131"/>
      <c r="O164" s="131"/>
      <c r="P164" s="131"/>
      <c r="Q164" s="131"/>
      <c r="R164" s="217"/>
      <c r="S164" s="219"/>
      <c r="T164" s="219"/>
      <c r="U164" s="217"/>
      <c r="V164" s="217"/>
    </row>
    <row r="165" spans="1:23" ht="25.5" customHeight="1">
      <c r="A165" s="9"/>
      <c r="B165" s="187" t="s">
        <v>375</v>
      </c>
      <c r="C165" s="279">
        <v>20000</v>
      </c>
      <c r="D165" s="131"/>
      <c r="E165" s="267"/>
      <c r="F165" s="135"/>
      <c r="G165" s="135"/>
      <c r="H165" s="135"/>
      <c r="I165" s="131"/>
      <c r="J165" s="131"/>
      <c r="K165" s="131"/>
      <c r="L165" s="131"/>
      <c r="M165" s="135"/>
      <c r="N165" s="131"/>
      <c r="O165" s="131"/>
      <c r="P165" s="131"/>
      <c r="Q165" s="131"/>
      <c r="R165" s="217"/>
      <c r="S165" s="219"/>
      <c r="T165" s="219"/>
      <c r="U165" s="217"/>
      <c r="V165" s="217"/>
    </row>
    <row r="166" spans="1:23" ht="25.5" customHeight="1">
      <c r="A166" s="9"/>
      <c r="B166" s="187" t="s">
        <v>376</v>
      </c>
      <c r="C166" s="279">
        <v>25000</v>
      </c>
      <c r="D166" s="131"/>
      <c r="E166" s="267"/>
      <c r="F166" s="135"/>
      <c r="G166" s="135"/>
      <c r="H166" s="135"/>
      <c r="I166" s="131"/>
      <c r="J166" s="131"/>
      <c r="K166" s="131"/>
      <c r="L166" s="131"/>
      <c r="M166" s="135"/>
      <c r="N166" s="131"/>
      <c r="O166" s="131"/>
      <c r="P166" s="131"/>
      <c r="Q166" s="131"/>
      <c r="R166" s="217"/>
      <c r="S166" s="219"/>
      <c r="T166" s="219"/>
      <c r="U166" s="217"/>
      <c r="V166" s="217"/>
    </row>
    <row r="167" spans="1:23" ht="25.5" customHeight="1">
      <c r="A167" s="9"/>
      <c r="B167" s="187" t="s">
        <v>377</v>
      </c>
      <c r="C167" s="279">
        <v>20000</v>
      </c>
      <c r="D167" s="131"/>
      <c r="E167" s="267"/>
      <c r="F167" s="135"/>
      <c r="G167" s="135"/>
      <c r="H167" s="135"/>
      <c r="I167" s="131"/>
      <c r="J167" s="131"/>
      <c r="K167" s="131"/>
      <c r="L167" s="131"/>
      <c r="M167" s="135"/>
      <c r="N167" s="131"/>
      <c r="O167" s="131"/>
      <c r="P167" s="131"/>
      <c r="Q167" s="131"/>
      <c r="R167" s="217"/>
      <c r="S167" s="219"/>
      <c r="T167" s="219"/>
      <c r="U167" s="217"/>
      <c r="V167" s="217"/>
    </row>
    <row r="168" spans="1:23" ht="25.5" customHeight="1">
      <c r="A168" s="9"/>
      <c r="B168" s="187" t="s">
        <v>267</v>
      </c>
      <c r="C168" s="279">
        <v>15000</v>
      </c>
      <c r="D168" s="131"/>
      <c r="E168" s="267"/>
      <c r="F168" s="135"/>
      <c r="G168" s="135"/>
      <c r="H168" s="135"/>
      <c r="I168" s="131"/>
      <c r="J168" s="131"/>
      <c r="K168" s="131"/>
      <c r="L168" s="131"/>
      <c r="M168" s="135"/>
      <c r="N168" s="131"/>
      <c r="O168" s="131"/>
      <c r="P168" s="131"/>
      <c r="Q168" s="131"/>
      <c r="R168" s="217"/>
      <c r="S168" s="219"/>
      <c r="T168" s="219"/>
      <c r="U168" s="217"/>
      <c r="V168" s="217"/>
    </row>
    <row r="169" spans="1:23" ht="25.5" customHeight="1">
      <c r="A169" s="9"/>
      <c r="B169" s="187" t="s">
        <v>215</v>
      </c>
      <c r="C169" s="279">
        <v>10000</v>
      </c>
      <c r="D169" s="131"/>
      <c r="E169" s="267"/>
      <c r="F169" s="135"/>
      <c r="G169" s="135"/>
      <c r="H169" s="135"/>
      <c r="I169" s="131"/>
      <c r="J169" s="131"/>
      <c r="K169" s="131"/>
      <c r="L169" s="131"/>
      <c r="M169" s="135"/>
      <c r="N169" s="131"/>
      <c r="O169" s="131"/>
      <c r="P169" s="131"/>
      <c r="Q169" s="131"/>
      <c r="R169" s="217"/>
      <c r="S169" s="219"/>
      <c r="T169" s="219"/>
      <c r="U169" s="217"/>
      <c r="V169" s="217"/>
    </row>
    <row r="170" spans="1:23" ht="25.5" customHeight="1">
      <c r="A170" s="9"/>
      <c r="B170" s="187" t="s">
        <v>268</v>
      </c>
      <c r="C170" s="279">
        <v>5000</v>
      </c>
      <c r="D170" s="131"/>
      <c r="E170" s="267"/>
      <c r="F170" s="135"/>
      <c r="G170" s="135"/>
      <c r="H170" s="135"/>
      <c r="I170" s="131"/>
      <c r="J170" s="131"/>
      <c r="K170" s="131"/>
      <c r="L170" s="131"/>
      <c r="M170" s="135"/>
      <c r="N170" s="131"/>
      <c r="O170" s="131"/>
      <c r="P170" s="131"/>
      <c r="Q170" s="131"/>
      <c r="R170" s="217"/>
      <c r="S170" s="219"/>
      <c r="T170" s="219"/>
      <c r="U170" s="217"/>
      <c r="V170" s="217"/>
    </row>
    <row r="171" spans="1:23" ht="25.5" customHeight="1">
      <c r="A171" s="9"/>
      <c r="B171" s="187"/>
      <c r="C171" s="279"/>
      <c r="D171" s="131"/>
      <c r="E171" s="267"/>
      <c r="F171" s="135"/>
      <c r="G171" s="135"/>
      <c r="H171" s="135"/>
      <c r="I171" s="131"/>
      <c r="J171" s="131"/>
      <c r="K171" s="131"/>
      <c r="L171" s="131"/>
      <c r="M171" s="135"/>
      <c r="N171" s="131"/>
      <c r="O171" s="131"/>
      <c r="P171" s="131"/>
      <c r="Q171" s="131"/>
      <c r="R171" s="217"/>
      <c r="S171" s="219"/>
      <c r="T171" s="219"/>
      <c r="U171" s="217"/>
      <c r="V171" s="217"/>
    </row>
    <row r="172" spans="1:23" ht="25.5" customHeight="1">
      <c r="A172" s="9"/>
      <c r="B172" s="187"/>
      <c r="C172" s="279"/>
      <c r="D172" s="131"/>
      <c r="E172" s="267"/>
      <c r="F172" s="135"/>
      <c r="G172" s="135"/>
      <c r="H172" s="135"/>
      <c r="I172" s="131"/>
      <c r="J172" s="131"/>
      <c r="K172" s="131"/>
      <c r="L172" s="131"/>
      <c r="M172" s="135"/>
      <c r="N172" s="131"/>
      <c r="O172" s="131"/>
      <c r="P172" s="131"/>
      <c r="Q172" s="131"/>
      <c r="R172" s="217"/>
      <c r="S172" s="219"/>
      <c r="T172" s="219"/>
      <c r="U172" s="217"/>
      <c r="V172" s="217"/>
    </row>
    <row r="173" spans="1:23" ht="25.5" customHeight="1">
      <c r="A173" s="9"/>
      <c r="B173" s="187"/>
      <c r="C173" s="279"/>
      <c r="D173" s="131"/>
      <c r="E173" s="267"/>
      <c r="F173" s="135"/>
      <c r="G173" s="135"/>
      <c r="H173" s="135"/>
      <c r="I173" s="131"/>
      <c r="J173" s="131"/>
      <c r="K173" s="131"/>
      <c r="L173" s="131"/>
      <c r="M173" s="135"/>
      <c r="N173" s="131"/>
      <c r="O173" s="131"/>
      <c r="P173" s="131"/>
      <c r="Q173" s="131"/>
      <c r="R173" s="217"/>
      <c r="S173" s="219"/>
      <c r="T173" s="219"/>
      <c r="U173" s="217"/>
      <c r="V173" s="217"/>
    </row>
    <row r="174" spans="1:23" ht="25.5" customHeight="1">
      <c r="A174" s="9"/>
      <c r="B174" s="187"/>
      <c r="C174" s="279"/>
      <c r="D174" s="131"/>
      <c r="E174" s="267"/>
      <c r="F174" s="135"/>
      <c r="G174" s="135"/>
      <c r="H174" s="135"/>
      <c r="I174" s="131"/>
      <c r="J174" s="131"/>
      <c r="K174" s="131"/>
      <c r="L174" s="131"/>
      <c r="M174" s="135"/>
      <c r="N174" s="131"/>
      <c r="O174" s="131"/>
      <c r="P174" s="131"/>
      <c r="Q174" s="131"/>
      <c r="R174" s="217"/>
      <c r="S174" s="219"/>
      <c r="T174" s="219"/>
      <c r="U174" s="217"/>
      <c r="V174" s="217"/>
    </row>
    <row r="175" spans="1:23" ht="25.5" customHeight="1">
      <c r="A175" s="9"/>
      <c r="B175" s="187"/>
      <c r="C175" s="279"/>
      <c r="D175" s="131"/>
      <c r="E175" s="267"/>
      <c r="F175" s="135"/>
      <c r="G175" s="135"/>
      <c r="H175" s="135"/>
      <c r="I175" s="131"/>
      <c r="J175" s="131"/>
      <c r="K175" s="131"/>
      <c r="L175" s="131"/>
      <c r="M175" s="135"/>
      <c r="N175" s="131"/>
      <c r="O175" s="131"/>
      <c r="P175" s="131"/>
      <c r="Q175" s="131"/>
      <c r="R175" s="217"/>
      <c r="S175" s="219"/>
      <c r="T175" s="219"/>
      <c r="U175" s="217"/>
      <c r="V175" s="217"/>
    </row>
    <row r="176" spans="1:23" ht="25.5" customHeight="1" thickBot="1">
      <c r="A176" s="15"/>
      <c r="B176" s="14" t="s">
        <v>5</v>
      </c>
      <c r="C176" s="170">
        <f>SUM(C51:C175)</f>
        <v>5935800</v>
      </c>
      <c r="D176" s="255">
        <f>SUM(D51:D175)</f>
        <v>0</v>
      </c>
      <c r="E176" s="255">
        <f>SUM(E51:E175)</f>
        <v>9994.99</v>
      </c>
      <c r="F176" s="255">
        <f t="shared" ref="F176:V176" si="4">SUM(F51:F175)</f>
        <v>4800</v>
      </c>
      <c r="G176" s="255">
        <f t="shared" si="4"/>
        <v>0</v>
      </c>
      <c r="H176" s="255">
        <f t="shared" si="4"/>
        <v>1548</v>
      </c>
      <c r="I176" s="255">
        <f t="shared" si="4"/>
        <v>0</v>
      </c>
      <c r="J176" s="255">
        <f t="shared" si="4"/>
        <v>0</v>
      </c>
      <c r="K176" s="255">
        <f t="shared" si="4"/>
        <v>0</v>
      </c>
      <c r="L176" s="255">
        <f t="shared" si="4"/>
        <v>0</v>
      </c>
      <c r="M176" s="255">
        <f t="shared" si="4"/>
        <v>0</v>
      </c>
      <c r="N176" s="255">
        <f t="shared" si="4"/>
        <v>0</v>
      </c>
      <c r="O176" s="255">
        <f t="shared" si="4"/>
        <v>0</v>
      </c>
      <c r="P176" s="255">
        <f t="shared" si="4"/>
        <v>0</v>
      </c>
      <c r="Q176" s="255">
        <f t="shared" si="4"/>
        <v>0</v>
      </c>
      <c r="R176" s="255">
        <f t="shared" si="4"/>
        <v>0</v>
      </c>
      <c r="S176" s="255">
        <f t="shared" si="4"/>
        <v>0</v>
      </c>
      <c r="T176" s="255"/>
      <c r="U176" s="255">
        <f t="shared" si="4"/>
        <v>0</v>
      </c>
      <c r="V176" s="255">
        <f t="shared" si="4"/>
        <v>0</v>
      </c>
      <c r="W176" s="314">
        <f>SUM(D176:V176)</f>
        <v>16342.99</v>
      </c>
    </row>
    <row r="177" spans="1:23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3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3" ht="25.5" customHeight="1">
      <c r="A178" s="9"/>
      <c r="B178" s="130" t="s">
        <v>111</v>
      </c>
      <c r="C178" s="216">
        <f>50000+25000+5000+25000+10000</f>
        <v>115000</v>
      </c>
      <c r="D178" s="131"/>
      <c r="E178" s="267"/>
      <c r="F178" s="135"/>
      <c r="G178" s="135"/>
      <c r="H178" s="135"/>
      <c r="I178" s="131"/>
      <c r="J178" s="131"/>
      <c r="K178" s="131"/>
      <c r="L178" s="131"/>
      <c r="M178" s="135"/>
      <c r="N178" s="131"/>
      <c r="O178" s="131"/>
      <c r="P178" s="131"/>
      <c r="Q178" s="131"/>
      <c r="R178" s="217"/>
      <c r="S178" s="219"/>
      <c r="T178" s="219"/>
      <c r="U178" s="217"/>
      <c r="V178" s="217"/>
    </row>
    <row r="179" spans="1:23" s="67" customFormat="1" ht="25.5" customHeight="1">
      <c r="A179" s="9"/>
      <c r="B179" s="130" t="s">
        <v>302</v>
      </c>
      <c r="C179" s="216">
        <v>10000</v>
      </c>
      <c r="D179" s="131"/>
      <c r="E179" s="267"/>
      <c r="F179" s="135"/>
      <c r="G179" s="135"/>
      <c r="H179" s="135"/>
      <c r="I179" s="131"/>
      <c r="J179" s="131"/>
      <c r="K179" s="131"/>
      <c r="L179" s="131"/>
      <c r="M179" s="135"/>
      <c r="N179" s="131"/>
      <c r="O179" s="131"/>
      <c r="P179" s="131"/>
      <c r="Q179" s="131"/>
      <c r="R179" s="217"/>
      <c r="S179" s="219"/>
      <c r="T179" s="219"/>
      <c r="U179" s="217"/>
      <c r="V179" s="217"/>
      <c r="W179" s="312"/>
    </row>
    <row r="180" spans="1:23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/>
      <c r="F180" s="135"/>
      <c r="G180" s="135"/>
      <c r="H180" s="135"/>
      <c r="I180" s="131"/>
      <c r="J180" s="131"/>
      <c r="K180" s="131"/>
      <c r="L180" s="131"/>
      <c r="M180" s="135"/>
      <c r="N180" s="131"/>
      <c r="O180" s="131"/>
      <c r="P180" s="131"/>
      <c r="Q180" s="131"/>
      <c r="R180" s="217"/>
      <c r="S180" s="219"/>
      <c r="T180" s="219"/>
      <c r="U180" s="217"/>
      <c r="V180" s="217"/>
      <c r="W180" s="312"/>
    </row>
    <row r="181" spans="1:23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/>
      <c r="F181" s="135"/>
      <c r="G181" s="135"/>
      <c r="H181" s="135"/>
      <c r="I181" s="131"/>
      <c r="J181" s="131"/>
      <c r="K181" s="131"/>
      <c r="L181" s="131"/>
      <c r="M181" s="135"/>
      <c r="N181" s="131"/>
      <c r="O181" s="131"/>
      <c r="P181" s="131"/>
      <c r="Q181" s="131"/>
      <c r="R181" s="217"/>
      <c r="S181" s="219"/>
      <c r="T181" s="219"/>
      <c r="U181" s="217"/>
      <c r="V181" s="217"/>
      <c r="W181" s="312"/>
    </row>
    <row r="182" spans="1:23" ht="25.5" customHeight="1">
      <c r="A182" s="9"/>
      <c r="B182" s="130" t="s">
        <v>17</v>
      </c>
      <c r="C182" s="216">
        <f>15000+25000+20000</f>
        <v>60000</v>
      </c>
      <c r="D182" s="133"/>
      <c r="E182" s="269"/>
      <c r="F182" s="136"/>
      <c r="G182" s="136"/>
      <c r="H182" s="136"/>
      <c r="I182" s="133"/>
      <c r="J182" s="133"/>
      <c r="K182" s="133"/>
      <c r="L182" s="133"/>
      <c r="M182" s="136"/>
      <c r="N182" s="133"/>
      <c r="O182" s="133"/>
      <c r="P182" s="133"/>
      <c r="Q182" s="133"/>
      <c r="R182" s="217"/>
      <c r="S182" s="219"/>
      <c r="T182" s="259"/>
      <c r="U182" s="258"/>
      <c r="V182" s="258"/>
    </row>
    <row r="183" spans="1:23" ht="25.5" customHeight="1">
      <c r="A183" s="9"/>
      <c r="B183" s="130" t="s">
        <v>13</v>
      </c>
      <c r="C183" s="216">
        <v>15000</v>
      </c>
      <c r="D183" s="131"/>
      <c r="E183" s="267"/>
      <c r="F183" s="135"/>
      <c r="G183" s="135"/>
      <c r="H183" s="135"/>
      <c r="I183" s="131"/>
      <c r="J183" s="131"/>
      <c r="K183" s="131"/>
      <c r="L183" s="131"/>
      <c r="M183" s="135"/>
      <c r="N183" s="131"/>
      <c r="O183" s="131"/>
      <c r="P183" s="131"/>
      <c r="Q183" s="131"/>
      <c r="R183" s="217"/>
      <c r="S183" s="219"/>
      <c r="T183" s="219"/>
      <c r="U183" s="217"/>
      <c r="V183" s="217"/>
    </row>
    <row r="184" spans="1:23" ht="25.5" customHeight="1">
      <c r="A184" s="9"/>
      <c r="B184" s="130" t="s">
        <v>14</v>
      </c>
      <c r="C184" s="216">
        <f>240000+5000+20000+10000</f>
        <v>275000</v>
      </c>
      <c r="D184" s="133"/>
      <c r="E184" s="269"/>
      <c r="F184" s="136"/>
      <c r="G184" s="136"/>
      <c r="H184" s="136"/>
      <c r="I184" s="133"/>
      <c r="J184" s="133"/>
      <c r="K184" s="133"/>
      <c r="L184" s="133"/>
      <c r="M184" s="136"/>
      <c r="N184" s="133"/>
      <c r="O184" s="133"/>
      <c r="P184" s="133"/>
      <c r="Q184" s="133"/>
      <c r="R184" s="217"/>
      <c r="S184" s="219"/>
      <c r="T184" s="219"/>
      <c r="U184" s="217"/>
      <c r="V184" s="217"/>
    </row>
    <row r="185" spans="1:23" ht="25.5" customHeight="1">
      <c r="A185" s="9"/>
      <c r="B185" s="130" t="s">
        <v>112</v>
      </c>
      <c r="C185" s="216">
        <f>5000+5000+5000</f>
        <v>15000</v>
      </c>
      <c r="D185" s="133"/>
      <c r="E185" s="269"/>
      <c r="F185" s="136"/>
      <c r="G185" s="136"/>
      <c r="H185" s="136"/>
      <c r="I185" s="133"/>
      <c r="J185" s="133"/>
      <c r="K185" s="133"/>
      <c r="L185" s="133"/>
      <c r="M185" s="136"/>
      <c r="N185" s="133"/>
      <c r="O185" s="133"/>
      <c r="P185" s="133"/>
      <c r="Q185" s="133"/>
      <c r="R185" s="217"/>
      <c r="S185" s="219"/>
      <c r="T185" s="219"/>
      <c r="U185" s="217"/>
      <c r="V185" s="217"/>
    </row>
    <row r="186" spans="1:23" ht="25.5" customHeight="1">
      <c r="A186" s="9"/>
      <c r="B186" s="130" t="s">
        <v>208</v>
      </c>
      <c r="C186" s="216">
        <v>5000</v>
      </c>
      <c r="D186" s="133"/>
      <c r="E186" s="269"/>
      <c r="F186" s="136"/>
      <c r="G186" s="136"/>
      <c r="H186" s="136"/>
      <c r="I186" s="133"/>
      <c r="J186" s="133"/>
      <c r="K186" s="133"/>
      <c r="L186" s="133"/>
      <c r="M186" s="136"/>
      <c r="N186" s="133"/>
      <c r="O186" s="133"/>
      <c r="P186" s="133"/>
      <c r="Q186" s="133"/>
      <c r="R186" s="217"/>
      <c r="S186" s="219"/>
      <c r="T186" s="219"/>
      <c r="U186" s="217"/>
      <c r="V186" s="217"/>
    </row>
    <row r="187" spans="1:23" ht="25.5" customHeight="1">
      <c r="A187" s="9"/>
      <c r="B187" s="130" t="s">
        <v>15</v>
      </c>
      <c r="C187" s="216">
        <f>40000+15000+15000+40000</f>
        <v>110000</v>
      </c>
      <c r="D187" s="195"/>
      <c r="E187" s="270"/>
      <c r="F187" s="196"/>
      <c r="G187" s="196"/>
      <c r="H187" s="196"/>
      <c r="I187" s="195"/>
      <c r="J187" s="195"/>
      <c r="K187" s="195"/>
      <c r="L187" s="195"/>
      <c r="M187" s="196"/>
      <c r="N187" s="195"/>
      <c r="O187" s="195"/>
      <c r="P187" s="195"/>
      <c r="Q187" s="195"/>
      <c r="R187" s="218"/>
      <c r="S187" s="220"/>
      <c r="T187" s="220"/>
      <c r="U187" s="218"/>
      <c r="V187" s="218"/>
    </row>
    <row r="188" spans="1:23" ht="25.5" customHeight="1">
      <c r="A188" s="9"/>
      <c r="B188" s="130" t="s">
        <v>303</v>
      </c>
      <c r="C188" s="216">
        <v>10000</v>
      </c>
      <c r="D188" s="195"/>
      <c r="E188" s="270"/>
      <c r="F188" s="196"/>
      <c r="G188" s="196"/>
      <c r="H188" s="196"/>
      <c r="I188" s="195"/>
      <c r="J188" s="195"/>
      <c r="K188" s="195"/>
      <c r="L188" s="195"/>
      <c r="M188" s="196"/>
      <c r="N188" s="195"/>
      <c r="O188" s="195"/>
      <c r="P188" s="195"/>
      <c r="Q188" s="195"/>
      <c r="R188" s="218"/>
      <c r="S188" s="220"/>
      <c r="T188" s="220"/>
      <c r="U188" s="218"/>
      <c r="V188" s="218"/>
    </row>
    <row r="189" spans="1:23" ht="25.5" customHeight="1">
      <c r="A189" s="9"/>
      <c r="B189" s="130" t="s">
        <v>304</v>
      </c>
      <c r="C189" s="216">
        <f>5000+20000</f>
        <v>25000</v>
      </c>
      <c r="D189" s="195"/>
      <c r="E189" s="270"/>
      <c r="F189" s="196"/>
      <c r="G189" s="196"/>
      <c r="H189" s="196"/>
      <c r="I189" s="195"/>
      <c r="J189" s="195"/>
      <c r="K189" s="195"/>
      <c r="L189" s="195"/>
      <c r="M189" s="196"/>
      <c r="N189" s="195"/>
      <c r="O189" s="195"/>
      <c r="P189" s="195"/>
      <c r="Q189" s="195"/>
      <c r="R189" s="218"/>
      <c r="S189" s="220"/>
      <c r="T189" s="220"/>
      <c r="U189" s="218"/>
      <c r="V189" s="218"/>
    </row>
    <row r="190" spans="1:23" ht="25.5" customHeight="1">
      <c r="A190" s="9"/>
      <c r="B190" s="130" t="s">
        <v>332</v>
      </c>
      <c r="C190" s="216">
        <v>10000</v>
      </c>
      <c r="D190" s="195"/>
      <c r="E190" s="270"/>
      <c r="F190" s="196"/>
      <c r="G190" s="196"/>
      <c r="H190" s="196"/>
      <c r="I190" s="195"/>
      <c r="J190" s="195"/>
      <c r="K190" s="195"/>
      <c r="L190" s="195"/>
      <c r="M190" s="196"/>
      <c r="N190" s="195"/>
      <c r="O190" s="195"/>
      <c r="P190" s="195"/>
      <c r="Q190" s="195"/>
      <c r="R190" s="218"/>
      <c r="S190" s="220"/>
      <c r="T190" s="220"/>
      <c r="U190" s="218"/>
      <c r="V190" s="218"/>
    </row>
    <row r="191" spans="1:23" ht="25.5" customHeight="1">
      <c r="A191" s="9"/>
      <c r="B191" s="130" t="s">
        <v>46</v>
      </c>
      <c r="C191" s="216">
        <v>80000</v>
      </c>
      <c r="D191" s="195"/>
      <c r="E191" s="270"/>
      <c r="F191" s="196"/>
      <c r="G191" s="196"/>
      <c r="H191" s="196"/>
      <c r="I191" s="195"/>
      <c r="J191" s="195"/>
      <c r="K191" s="195"/>
      <c r="L191" s="195"/>
      <c r="M191" s="196"/>
      <c r="N191" s="195"/>
      <c r="O191" s="195"/>
      <c r="P191" s="195"/>
      <c r="Q191" s="195"/>
      <c r="R191" s="218"/>
      <c r="S191" s="220"/>
      <c r="T191" s="220"/>
      <c r="U191" s="218"/>
      <c r="V191" s="218"/>
    </row>
    <row r="192" spans="1:23" ht="25.5" customHeight="1">
      <c r="A192" s="9"/>
      <c r="B192" s="130" t="s">
        <v>316</v>
      </c>
      <c r="C192" s="216">
        <v>413900</v>
      </c>
      <c r="D192" s="195"/>
      <c r="E192" s="270"/>
      <c r="F192" s="196"/>
      <c r="G192" s="196"/>
      <c r="H192" s="196"/>
      <c r="I192" s="195"/>
      <c r="J192" s="195"/>
      <c r="K192" s="195"/>
      <c r="L192" s="195"/>
      <c r="M192" s="196"/>
      <c r="N192" s="195"/>
      <c r="O192" s="195"/>
      <c r="P192" s="195"/>
      <c r="Q192" s="195"/>
      <c r="R192" s="218"/>
      <c r="S192" s="220"/>
      <c r="T192" s="220"/>
      <c r="U192" s="218"/>
      <c r="V192" s="218"/>
    </row>
    <row r="193" spans="1:23" ht="25.5" customHeight="1">
      <c r="A193" s="9"/>
      <c r="B193" s="130" t="s">
        <v>317</v>
      </c>
      <c r="C193" s="290">
        <v>525039</v>
      </c>
      <c r="D193" s="133"/>
      <c r="E193" s="269"/>
      <c r="F193" s="136"/>
      <c r="G193" s="136"/>
      <c r="H193" s="136"/>
      <c r="I193" s="133"/>
      <c r="J193" s="133"/>
      <c r="K193" s="133"/>
      <c r="L193" s="133"/>
      <c r="M193" s="136"/>
      <c r="N193" s="133"/>
      <c r="O193" s="133"/>
      <c r="P193" s="133"/>
      <c r="Q193" s="133"/>
      <c r="R193" s="217"/>
      <c r="S193" s="219"/>
      <c r="T193" s="219"/>
      <c r="U193" s="217"/>
      <c r="V193" s="217"/>
    </row>
    <row r="194" spans="1:23" ht="25.5" customHeight="1">
      <c r="A194" s="9"/>
      <c r="B194" s="130" t="s">
        <v>318</v>
      </c>
      <c r="C194" s="216">
        <v>277849</v>
      </c>
      <c r="D194" s="133"/>
      <c r="E194" s="269"/>
      <c r="F194" s="136"/>
      <c r="G194" s="136"/>
      <c r="H194" s="136"/>
      <c r="I194" s="133"/>
      <c r="J194" s="133"/>
      <c r="K194" s="133"/>
      <c r="L194" s="133"/>
      <c r="M194" s="136"/>
      <c r="N194" s="133"/>
      <c r="O194" s="133"/>
      <c r="P194" s="133"/>
      <c r="Q194" s="133"/>
      <c r="R194" s="217"/>
      <c r="S194" s="219"/>
      <c r="T194" s="219"/>
      <c r="U194" s="217"/>
      <c r="V194" s="217"/>
    </row>
    <row r="195" spans="1:23" ht="25.5" customHeight="1">
      <c r="A195" s="9"/>
      <c r="B195" s="185" t="s">
        <v>319</v>
      </c>
      <c r="C195" s="216">
        <v>153296</v>
      </c>
      <c r="D195" s="133"/>
      <c r="E195" s="269"/>
      <c r="F195" s="136"/>
      <c r="G195" s="136"/>
      <c r="H195" s="136"/>
      <c r="I195" s="133"/>
      <c r="J195" s="133"/>
      <c r="K195" s="133"/>
      <c r="L195" s="133"/>
      <c r="M195" s="136"/>
      <c r="N195" s="133"/>
      <c r="O195" s="133"/>
      <c r="P195" s="133"/>
      <c r="Q195" s="133"/>
      <c r="R195" s="217"/>
      <c r="S195" s="219"/>
      <c r="T195" s="219"/>
      <c r="U195" s="217"/>
      <c r="V195" s="217"/>
    </row>
    <row r="196" spans="1:23" ht="25.5" customHeight="1">
      <c r="A196" s="9"/>
      <c r="B196" s="185" t="s">
        <v>320</v>
      </c>
      <c r="C196" s="216">
        <v>78565</v>
      </c>
      <c r="D196" s="133"/>
      <c r="E196" s="269"/>
      <c r="F196" s="136"/>
      <c r="G196" s="136"/>
      <c r="H196" s="136"/>
      <c r="I196" s="133"/>
      <c r="J196" s="133"/>
      <c r="K196" s="133"/>
      <c r="L196" s="133"/>
      <c r="M196" s="136"/>
      <c r="N196" s="133"/>
      <c r="O196" s="133"/>
      <c r="P196" s="133"/>
      <c r="Q196" s="133"/>
      <c r="R196" s="217"/>
      <c r="S196" s="219"/>
      <c r="T196" s="219"/>
      <c r="U196" s="217"/>
      <c r="V196" s="217"/>
    </row>
    <row r="197" spans="1:23" ht="25.5" customHeight="1">
      <c r="A197" s="9"/>
      <c r="B197" s="185" t="s">
        <v>321</v>
      </c>
      <c r="C197" s="216">
        <v>90062</v>
      </c>
      <c r="D197" s="133"/>
      <c r="E197" s="269"/>
      <c r="F197" s="136"/>
      <c r="G197" s="136"/>
      <c r="H197" s="136"/>
      <c r="I197" s="133"/>
      <c r="J197" s="133"/>
      <c r="K197" s="133"/>
      <c r="L197" s="133"/>
      <c r="M197" s="136"/>
      <c r="N197" s="133"/>
      <c r="O197" s="133"/>
      <c r="P197" s="133"/>
      <c r="Q197" s="133"/>
      <c r="R197" s="217"/>
      <c r="S197" s="219"/>
      <c r="T197" s="219"/>
      <c r="U197" s="217"/>
      <c r="V197" s="217"/>
    </row>
    <row r="198" spans="1:23" ht="25.5" customHeight="1">
      <c r="A198" s="165"/>
      <c r="B198" s="185" t="s">
        <v>322</v>
      </c>
      <c r="C198" s="216">
        <v>67067</v>
      </c>
      <c r="D198" s="133"/>
      <c r="E198" s="269"/>
      <c r="F198" s="136"/>
      <c r="G198" s="136"/>
      <c r="H198" s="136"/>
      <c r="I198" s="133"/>
      <c r="J198" s="133"/>
      <c r="K198" s="133"/>
      <c r="L198" s="133"/>
      <c r="M198" s="136"/>
      <c r="N198" s="133"/>
      <c r="O198" s="133"/>
      <c r="P198" s="133"/>
      <c r="Q198" s="133"/>
      <c r="R198" s="217"/>
      <c r="S198" s="219"/>
      <c r="T198" s="219"/>
      <c r="U198" s="217"/>
      <c r="V198" s="217"/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85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9"/>
      <c r="B202" s="130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>
      <c r="A203" s="197"/>
      <c r="B203" s="198"/>
      <c r="C203" s="216"/>
      <c r="D203" s="133"/>
      <c r="E203" s="269"/>
      <c r="F203" s="136"/>
      <c r="G203" s="136"/>
      <c r="H203" s="136"/>
      <c r="I203" s="133"/>
      <c r="J203" s="133"/>
      <c r="K203" s="133"/>
      <c r="L203" s="133"/>
      <c r="M203" s="136"/>
      <c r="N203" s="133"/>
      <c r="O203" s="133"/>
      <c r="P203" s="133"/>
      <c r="Q203" s="133"/>
      <c r="R203" s="217"/>
      <c r="S203" s="219"/>
      <c r="T203" s="219"/>
      <c r="U203" s="217"/>
      <c r="V203" s="217"/>
    </row>
    <row r="204" spans="1:23" ht="25.5" customHeight="1" thickBot="1">
      <c r="A204" s="46"/>
      <c r="B204" s="47" t="s">
        <v>5</v>
      </c>
      <c r="C204" s="170">
        <f>SUM(C178:C203)</f>
        <v>2573778</v>
      </c>
      <c r="D204" s="255">
        <f>SUM(D178:D203)</f>
        <v>0</v>
      </c>
      <c r="E204" s="255">
        <f t="shared" ref="E204:V204" si="5">SUM(E178:E203)</f>
        <v>0</v>
      </c>
      <c r="F204" s="255">
        <f t="shared" si="5"/>
        <v>0</v>
      </c>
      <c r="G204" s="255">
        <f t="shared" si="5"/>
        <v>0</v>
      </c>
      <c r="H204" s="255">
        <f t="shared" si="5"/>
        <v>0</v>
      </c>
      <c r="I204" s="255">
        <f t="shared" si="5"/>
        <v>0</v>
      </c>
      <c r="J204" s="255">
        <f t="shared" si="5"/>
        <v>0</v>
      </c>
      <c r="K204" s="255">
        <f t="shared" si="5"/>
        <v>0</v>
      </c>
      <c r="L204" s="255">
        <f t="shared" si="5"/>
        <v>0</v>
      </c>
      <c r="M204" s="255">
        <f t="shared" si="5"/>
        <v>0</v>
      </c>
      <c r="N204" s="255">
        <f t="shared" si="5"/>
        <v>0</v>
      </c>
      <c r="O204" s="255">
        <f t="shared" si="5"/>
        <v>0</v>
      </c>
      <c r="P204" s="255">
        <f t="shared" si="5"/>
        <v>0</v>
      </c>
      <c r="Q204" s="255">
        <f t="shared" si="5"/>
        <v>0</v>
      </c>
      <c r="R204" s="255">
        <f t="shared" si="5"/>
        <v>0</v>
      </c>
      <c r="S204" s="255">
        <f t="shared" si="5"/>
        <v>0</v>
      </c>
      <c r="T204" s="255"/>
      <c r="U204" s="255">
        <f t="shared" si="5"/>
        <v>0</v>
      </c>
      <c r="V204" s="255">
        <f t="shared" si="5"/>
        <v>0</v>
      </c>
      <c r="W204" s="314">
        <f>SUM(D204:V204)</f>
        <v>0</v>
      </c>
    </row>
    <row r="205" spans="1:23" ht="25.5" customHeight="1" thickTop="1">
      <c r="A205" s="5" t="s">
        <v>114</v>
      </c>
      <c r="B205" s="6"/>
      <c r="C205" s="190"/>
      <c r="D205" s="133"/>
      <c r="E205" s="269"/>
      <c r="F205" s="136"/>
      <c r="G205" s="136"/>
      <c r="H205" s="136"/>
      <c r="I205" s="133"/>
      <c r="J205" s="133"/>
      <c r="K205" s="133"/>
      <c r="L205" s="133"/>
      <c r="M205" s="136"/>
      <c r="N205" s="133"/>
      <c r="O205" s="133"/>
      <c r="P205" s="133"/>
      <c r="Q205" s="133"/>
      <c r="R205" s="258"/>
      <c r="S205" s="259"/>
      <c r="T205" s="259"/>
      <c r="U205" s="258"/>
      <c r="V205" s="258"/>
    </row>
    <row r="206" spans="1:23" ht="25.5" customHeight="1">
      <c r="A206" s="9"/>
      <c r="B206" s="130" t="s">
        <v>20</v>
      </c>
      <c r="C206" s="216">
        <f>240000+35000</f>
        <v>275000</v>
      </c>
      <c r="D206" s="261"/>
      <c r="E206" s="269"/>
      <c r="F206" s="136"/>
      <c r="G206" s="136"/>
      <c r="H206" s="136">
        <v>2319.14</v>
      </c>
      <c r="I206" s="261"/>
      <c r="J206" s="261"/>
      <c r="K206" s="261"/>
      <c r="L206" s="261"/>
      <c r="M206" s="262"/>
      <c r="N206" s="261"/>
      <c r="O206" s="261"/>
      <c r="P206" s="261"/>
      <c r="Q206" s="261"/>
      <c r="R206" s="263"/>
      <c r="S206" s="264"/>
      <c r="T206" s="264"/>
      <c r="U206" s="263"/>
      <c r="V206" s="218"/>
    </row>
    <row r="207" spans="1:23" ht="25.5" customHeight="1">
      <c r="A207" s="9"/>
      <c r="B207" s="130" t="s">
        <v>283</v>
      </c>
      <c r="C207" s="216">
        <f>100000+12000</f>
        <v>112000</v>
      </c>
      <c r="D207" s="261"/>
      <c r="E207" s="269">
        <v>752.8</v>
      </c>
      <c r="F207" s="136"/>
      <c r="G207" s="136"/>
      <c r="H207" s="136">
        <v>1000</v>
      </c>
      <c r="I207" s="261"/>
      <c r="J207" s="261"/>
      <c r="K207" s="261"/>
      <c r="L207" s="261"/>
      <c r="M207" s="262"/>
      <c r="N207" s="261"/>
      <c r="O207" s="261"/>
      <c r="P207" s="261"/>
      <c r="Q207" s="261"/>
      <c r="R207" s="263"/>
      <c r="S207" s="264"/>
      <c r="T207" s="264"/>
      <c r="U207" s="263"/>
      <c r="V207" s="218"/>
    </row>
    <row r="208" spans="1:23" ht="25.5" customHeight="1">
      <c r="A208" s="9"/>
      <c r="B208" s="130" t="s">
        <v>284</v>
      </c>
      <c r="C208" s="216">
        <v>15000</v>
      </c>
      <c r="D208" s="131"/>
      <c r="E208" s="267">
        <v>1104</v>
      </c>
      <c r="F208" s="135"/>
      <c r="G208" s="135"/>
      <c r="H208" s="135"/>
      <c r="I208" s="131"/>
      <c r="J208" s="131"/>
      <c r="K208" s="131"/>
      <c r="L208" s="131"/>
      <c r="M208" s="135"/>
      <c r="N208" s="131"/>
      <c r="O208" s="131"/>
      <c r="P208" s="131"/>
      <c r="Q208" s="131"/>
      <c r="R208" s="217"/>
      <c r="S208" s="219"/>
      <c r="T208" s="219"/>
      <c r="U208" s="217"/>
      <c r="V208" s="218"/>
    </row>
    <row r="209" spans="1:23" ht="25.5" customHeight="1">
      <c r="A209" s="9"/>
      <c r="B209" s="130" t="s">
        <v>285</v>
      </c>
      <c r="C209" s="216">
        <f>72000+32000</f>
        <v>104000</v>
      </c>
      <c r="D209" s="131"/>
      <c r="E209" s="267">
        <v>21961.75</v>
      </c>
      <c r="F209" s="135"/>
      <c r="G209" s="135"/>
      <c r="H209" s="135">
        <v>2632.2</v>
      </c>
      <c r="I209" s="131"/>
      <c r="J209" s="131"/>
      <c r="K209" s="131"/>
      <c r="L209" s="131"/>
      <c r="M209" s="135"/>
      <c r="N209" s="131"/>
      <c r="O209" s="131"/>
      <c r="P209" s="131"/>
      <c r="Q209" s="131"/>
      <c r="R209" s="217"/>
      <c r="S209" s="219"/>
      <c r="T209" s="219"/>
      <c r="U209" s="217"/>
      <c r="V209" s="218"/>
    </row>
    <row r="210" spans="1:23" ht="25.5" customHeight="1" thickBot="1">
      <c r="A210" s="15"/>
      <c r="B210" s="14" t="s">
        <v>5</v>
      </c>
      <c r="C210" s="170">
        <f>SUM(C206:C209)</f>
        <v>506000</v>
      </c>
      <c r="D210" s="132"/>
      <c r="E210" s="268">
        <f>SUM(E206:E209)</f>
        <v>23818.55</v>
      </c>
      <c r="F210" s="137"/>
      <c r="G210" s="137"/>
      <c r="H210" s="137">
        <f>SUM(H206:H209)</f>
        <v>5951.34</v>
      </c>
      <c r="I210" s="132"/>
      <c r="J210" s="132"/>
      <c r="K210" s="132"/>
      <c r="L210" s="132"/>
      <c r="M210" s="137"/>
      <c r="N210" s="132"/>
      <c r="O210" s="132"/>
      <c r="P210" s="132"/>
      <c r="Q210" s="132"/>
      <c r="R210" s="307"/>
      <c r="S210" s="308"/>
      <c r="T210" s="308"/>
      <c r="U210" s="307"/>
      <c r="V210" s="307"/>
      <c r="W210" s="318">
        <f>SUM(D210:V210)</f>
        <v>29769.89</v>
      </c>
    </row>
    <row r="211" spans="1:23" ht="25.5" customHeight="1" thickTop="1">
      <c r="A211" s="3" t="s">
        <v>122</v>
      </c>
      <c r="B211" s="4"/>
      <c r="C211" s="287"/>
      <c r="D211" s="133"/>
      <c r="E211" s="305"/>
      <c r="F211" s="306"/>
      <c r="G211" s="306"/>
      <c r="H211" s="306"/>
      <c r="I211" s="133"/>
      <c r="J211" s="133"/>
      <c r="K211" s="133"/>
      <c r="L211" s="133"/>
      <c r="M211" s="136"/>
      <c r="N211" s="133"/>
      <c r="O211" s="133"/>
      <c r="P211" s="133"/>
      <c r="Q211" s="133"/>
      <c r="R211" s="258"/>
      <c r="S211" s="259"/>
      <c r="T211" s="259"/>
      <c r="U211" s="258"/>
      <c r="V211" s="258"/>
    </row>
    <row r="212" spans="1:23" ht="25.5" customHeight="1">
      <c r="A212" s="169"/>
      <c r="B212" s="185" t="s">
        <v>323</v>
      </c>
      <c r="C212" s="190">
        <v>864000</v>
      </c>
      <c r="D212" s="131"/>
      <c r="E212" s="267"/>
      <c r="F212" s="135"/>
      <c r="G212" s="135"/>
      <c r="H212" s="135"/>
      <c r="I212" s="131"/>
      <c r="J212" s="131"/>
      <c r="K212" s="131"/>
      <c r="L212" s="131"/>
      <c r="M212" s="135"/>
      <c r="N212" s="133"/>
      <c r="O212" s="133"/>
      <c r="P212" s="133"/>
      <c r="Q212" s="133"/>
      <c r="R212" s="217"/>
      <c r="S212" s="219"/>
      <c r="T212" s="219"/>
      <c r="U212" s="217"/>
      <c r="V212" s="217"/>
    </row>
    <row r="213" spans="1:23" ht="25.5" customHeight="1">
      <c r="A213" s="169"/>
      <c r="B213" s="185" t="s">
        <v>324</v>
      </c>
      <c r="C213" s="190">
        <v>1096000</v>
      </c>
      <c r="D213" s="131"/>
      <c r="E213" s="267"/>
      <c r="F213" s="135"/>
      <c r="G213" s="135"/>
      <c r="H213" s="135"/>
      <c r="I213" s="131"/>
      <c r="J213" s="131"/>
      <c r="K213" s="131"/>
      <c r="L213" s="131"/>
      <c r="M213" s="135"/>
      <c r="N213" s="133"/>
      <c r="O213" s="133"/>
      <c r="P213" s="133"/>
      <c r="Q213" s="133"/>
      <c r="R213" s="217"/>
      <c r="S213" s="219"/>
      <c r="T213" s="219"/>
      <c r="U213" s="217"/>
      <c r="V213" s="217"/>
    </row>
    <row r="214" spans="1:23" ht="25.5" customHeight="1">
      <c r="A214" s="169"/>
      <c r="B214" s="185" t="s">
        <v>325</v>
      </c>
      <c r="C214" s="190">
        <v>580000</v>
      </c>
      <c r="D214" s="133"/>
      <c r="E214" s="269"/>
      <c r="F214" s="136"/>
      <c r="G214" s="136"/>
      <c r="H214" s="136"/>
      <c r="I214" s="133"/>
      <c r="J214" s="133"/>
      <c r="K214" s="133"/>
      <c r="L214" s="133"/>
      <c r="M214" s="135"/>
      <c r="N214" s="133"/>
      <c r="O214" s="133"/>
      <c r="P214" s="133"/>
      <c r="Q214" s="133"/>
      <c r="R214" s="217"/>
      <c r="S214" s="219"/>
      <c r="T214" s="219"/>
      <c r="U214" s="217"/>
      <c r="V214" s="217"/>
    </row>
    <row r="215" spans="1:23" ht="25.5" customHeight="1">
      <c r="A215" s="169"/>
      <c r="B215" s="185" t="s">
        <v>351</v>
      </c>
      <c r="C215" s="190">
        <v>223000</v>
      </c>
      <c r="D215" s="133"/>
      <c r="E215" s="269"/>
      <c r="F215" s="136"/>
      <c r="G215" s="136"/>
      <c r="H215" s="136"/>
      <c r="I215" s="133"/>
      <c r="J215" s="133"/>
      <c r="K215" s="133"/>
      <c r="L215" s="133"/>
      <c r="M215" s="135"/>
      <c r="N215" s="133"/>
      <c r="O215" s="133"/>
      <c r="P215" s="133"/>
      <c r="Q215" s="133"/>
      <c r="R215" s="217"/>
      <c r="S215" s="219"/>
      <c r="T215" s="219"/>
      <c r="U215" s="217"/>
      <c r="V215" s="217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3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</row>
    <row r="220" spans="1:23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1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</row>
    <row r="221" spans="1:23" ht="25.5" customHeight="1" thickBot="1">
      <c r="A221" s="15"/>
      <c r="B221" s="14" t="s">
        <v>5</v>
      </c>
      <c r="C221" s="170">
        <f>SUM(C212:C220)</f>
        <v>2763000</v>
      </c>
      <c r="D221" s="255">
        <f>SUM(D212:D220)</f>
        <v>0</v>
      </c>
      <c r="E221" s="255">
        <f t="shared" ref="E221:V221" si="6">SUM(E212:E220)</f>
        <v>0</v>
      </c>
      <c r="F221" s="255">
        <f t="shared" si="6"/>
        <v>0</v>
      </c>
      <c r="G221" s="255">
        <f t="shared" si="6"/>
        <v>0</v>
      </c>
      <c r="H221" s="255">
        <f t="shared" si="6"/>
        <v>0</v>
      </c>
      <c r="I221" s="255">
        <f t="shared" si="6"/>
        <v>0</v>
      </c>
      <c r="J221" s="255">
        <f t="shared" si="6"/>
        <v>0</v>
      </c>
      <c r="K221" s="255">
        <f t="shared" si="6"/>
        <v>0</v>
      </c>
      <c r="L221" s="255">
        <f t="shared" si="6"/>
        <v>0</v>
      </c>
      <c r="M221" s="255">
        <f t="shared" si="6"/>
        <v>0</v>
      </c>
      <c r="N221" s="255">
        <f t="shared" si="6"/>
        <v>0</v>
      </c>
      <c r="O221" s="255">
        <f t="shared" si="6"/>
        <v>0</v>
      </c>
      <c r="P221" s="255">
        <f t="shared" si="6"/>
        <v>0</v>
      </c>
      <c r="Q221" s="255">
        <f t="shared" si="6"/>
        <v>0</v>
      </c>
      <c r="R221" s="255">
        <f t="shared" si="6"/>
        <v>0</v>
      </c>
      <c r="S221" s="255">
        <f t="shared" si="6"/>
        <v>0</v>
      </c>
      <c r="T221" s="255"/>
      <c r="U221" s="255">
        <f t="shared" si="6"/>
        <v>0</v>
      </c>
      <c r="V221" s="255">
        <f t="shared" si="6"/>
        <v>0</v>
      </c>
      <c r="W221" s="314">
        <f>SUM(D221:V221)</f>
        <v>0</v>
      </c>
    </row>
    <row r="222" spans="1:23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3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</row>
    <row r="223" spans="1:23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1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</row>
    <row r="224" spans="1:23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5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</row>
    <row r="225" spans="1:22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3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</row>
    <row r="226" spans="1:22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1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2" ht="25.5" customHeight="1">
      <c r="A227" s="20"/>
      <c r="B227" s="186" t="s">
        <v>286</v>
      </c>
      <c r="C227" s="294">
        <v>10000</v>
      </c>
      <c r="D227" s="131"/>
      <c r="E227" s="267"/>
      <c r="F227" s="135"/>
      <c r="G227" s="135"/>
      <c r="H227" s="135"/>
      <c r="I227" s="131"/>
      <c r="J227" s="131"/>
      <c r="K227" s="131"/>
      <c r="L227" s="131"/>
      <c r="M227" s="135"/>
      <c r="N227" s="131"/>
      <c r="O227" s="131"/>
      <c r="P227" s="131"/>
      <c r="Q227" s="131"/>
      <c r="R227" s="217"/>
      <c r="S227" s="219"/>
      <c r="T227" s="219"/>
      <c r="U227" s="217"/>
      <c r="V227" s="217"/>
    </row>
    <row r="228" spans="1:22" ht="25.5" customHeight="1">
      <c r="A228" s="20"/>
      <c r="B228" s="186" t="s">
        <v>287</v>
      </c>
      <c r="C228" s="294">
        <v>4500</v>
      </c>
      <c r="D228" s="131"/>
      <c r="E228" s="267"/>
      <c r="F228" s="135"/>
      <c r="G228" s="135"/>
      <c r="H228" s="135"/>
      <c r="I228" s="131"/>
      <c r="J228" s="131"/>
      <c r="K228" s="131"/>
      <c r="L228" s="131"/>
      <c r="M228" s="135"/>
      <c r="N228" s="131"/>
      <c r="O228" s="131"/>
      <c r="P228" s="131"/>
      <c r="Q228" s="131"/>
      <c r="R228" s="217"/>
      <c r="S228" s="219"/>
      <c r="T228" s="219"/>
      <c r="U228" s="217"/>
      <c r="V228" s="217"/>
    </row>
    <row r="229" spans="1:22" ht="25.5" customHeight="1">
      <c r="A229" s="20"/>
      <c r="B229" s="186" t="s">
        <v>288</v>
      </c>
      <c r="C229" s="294">
        <v>3000</v>
      </c>
      <c r="D229" s="131"/>
      <c r="E229" s="267"/>
      <c r="F229" s="135"/>
      <c r="G229" s="135"/>
      <c r="H229" s="135"/>
      <c r="I229" s="131"/>
      <c r="J229" s="131"/>
      <c r="K229" s="131"/>
      <c r="L229" s="131"/>
      <c r="M229" s="135"/>
      <c r="N229" s="131"/>
      <c r="O229" s="131"/>
      <c r="P229" s="131"/>
      <c r="Q229" s="131"/>
      <c r="R229" s="217"/>
      <c r="S229" s="219"/>
      <c r="T229" s="219"/>
      <c r="U229" s="217"/>
      <c r="V229" s="217"/>
    </row>
    <row r="230" spans="1:22" ht="25.5" customHeight="1">
      <c r="A230" s="20"/>
      <c r="B230" s="186" t="s">
        <v>289</v>
      </c>
      <c r="C230" s="294">
        <v>20000</v>
      </c>
      <c r="D230" s="131"/>
      <c r="E230" s="267"/>
      <c r="F230" s="135"/>
      <c r="G230" s="135"/>
      <c r="H230" s="135"/>
      <c r="I230" s="131"/>
      <c r="J230" s="131"/>
      <c r="K230" s="131"/>
      <c r="L230" s="131"/>
      <c r="M230" s="135"/>
      <c r="N230" s="131"/>
      <c r="O230" s="131"/>
      <c r="P230" s="131"/>
      <c r="Q230" s="131"/>
      <c r="R230" s="217"/>
      <c r="S230" s="219"/>
      <c r="T230" s="219"/>
      <c r="U230" s="217"/>
      <c r="V230" s="217"/>
    </row>
    <row r="231" spans="1:22" ht="25.5" customHeight="1">
      <c r="A231" s="20"/>
      <c r="B231" s="186" t="s">
        <v>290</v>
      </c>
      <c r="C231" s="295">
        <f>5500+5500</f>
        <v>11000</v>
      </c>
      <c r="D231" s="131"/>
      <c r="E231" s="267"/>
      <c r="F231" s="135"/>
      <c r="G231" s="135"/>
      <c r="H231" s="135"/>
      <c r="I231" s="131"/>
      <c r="J231" s="131"/>
      <c r="K231" s="131"/>
      <c r="L231" s="131"/>
      <c r="M231" s="135"/>
      <c r="N231" s="131"/>
      <c r="O231" s="131"/>
      <c r="P231" s="131"/>
      <c r="Q231" s="131"/>
      <c r="R231" s="217"/>
      <c r="S231" s="219"/>
      <c r="T231" s="219"/>
      <c r="U231" s="217"/>
      <c r="V231" s="217"/>
    </row>
    <row r="232" spans="1:22" ht="25.5" customHeight="1">
      <c r="A232" s="20"/>
      <c r="B232" s="186" t="s">
        <v>305</v>
      </c>
      <c r="C232" s="295">
        <v>16000</v>
      </c>
      <c r="D232" s="131"/>
      <c r="E232" s="267"/>
      <c r="F232" s="135"/>
      <c r="G232" s="135"/>
      <c r="H232" s="135"/>
      <c r="I232" s="131"/>
      <c r="J232" s="131"/>
      <c r="K232" s="131"/>
      <c r="L232" s="131"/>
      <c r="M232" s="135"/>
      <c r="N232" s="131"/>
      <c r="O232" s="131"/>
      <c r="P232" s="131"/>
      <c r="Q232" s="131"/>
      <c r="R232" s="217"/>
      <c r="S232" s="219"/>
      <c r="T232" s="219"/>
      <c r="U232" s="217"/>
      <c r="V232" s="217"/>
    </row>
    <row r="233" spans="1:22" ht="25.5" customHeight="1">
      <c r="A233" s="20"/>
      <c r="B233" s="186" t="s">
        <v>334</v>
      </c>
      <c r="C233" s="295">
        <v>4500</v>
      </c>
      <c r="D233" s="131"/>
      <c r="E233" s="267"/>
      <c r="F233" s="135"/>
      <c r="G233" s="135"/>
      <c r="H233" s="135"/>
      <c r="I233" s="131"/>
      <c r="J233" s="131"/>
      <c r="K233" s="131"/>
      <c r="L233" s="131"/>
      <c r="M233" s="135"/>
      <c r="N233" s="131"/>
      <c r="O233" s="131"/>
      <c r="P233" s="131"/>
      <c r="Q233" s="131"/>
      <c r="R233" s="217"/>
      <c r="S233" s="219"/>
      <c r="T233" s="219"/>
      <c r="U233" s="217"/>
      <c r="V233" s="217"/>
    </row>
    <row r="234" spans="1:22" ht="25.5" customHeight="1">
      <c r="A234" s="20"/>
      <c r="B234" s="186" t="s">
        <v>335</v>
      </c>
      <c r="C234" s="295">
        <v>4500</v>
      </c>
      <c r="D234" s="131"/>
      <c r="E234" s="267"/>
      <c r="F234" s="135"/>
      <c r="G234" s="135"/>
      <c r="H234" s="135"/>
      <c r="I234" s="131"/>
      <c r="J234" s="131"/>
      <c r="K234" s="131"/>
      <c r="L234" s="131"/>
      <c r="M234" s="135"/>
      <c r="N234" s="131"/>
      <c r="O234" s="131"/>
      <c r="P234" s="131"/>
      <c r="Q234" s="131"/>
      <c r="R234" s="217"/>
      <c r="S234" s="219"/>
      <c r="T234" s="219"/>
      <c r="U234" s="217"/>
      <c r="V234" s="217"/>
    </row>
    <row r="235" spans="1:22" ht="25.5" customHeight="1">
      <c r="A235" s="20"/>
      <c r="B235" s="186"/>
      <c r="C235" s="295"/>
      <c r="D235" s="131"/>
      <c r="E235" s="267"/>
      <c r="F235" s="135"/>
      <c r="G235" s="135"/>
      <c r="H235" s="135"/>
      <c r="I235" s="131"/>
      <c r="J235" s="131"/>
      <c r="K235" s="131"/>
      <c r="L235" s="131"/>
      <c r="M235" s="135"/>
      <c r="N235" s="131"/>
      <c r="O235" s="131"/>
      <c r="P235" s="131"/>
      <c r="Q235" s="131"/>
      <c r="R235" s="217"/>
      <c r="S235" s="219"/>
      <c r="T235" s="219"/>
      <c r="U235" s="217"/>
      <c r="V235" s="217"/>
    </row>
    <row r="236" spans="1:22" ht="25.5" customHeight="1">
      <c r="A236" s="20"/>
      <c r="B236" s="252" t="s">
        <v>292</v>
      </c>
      <c r="C236" s="295"/>
      <c r="D236" s="131"/>
      <c r="E236" s="267"/>
      <c r="F236" s="135"/>
      <c r="G236" s="135"/>
      <c r="H236" s="135"/>
      <c r="I236" s="131"/>
      <c r="J236" s="131"/>
      <c r="K236" s="131"/>
      <c r="L236" s="131"/>
      <c r="M236" s="135"/>
      <c r="N236" s="131"/>
      <c r="O236" s="131"/>
      <c r="P236" s="131"/>
      <c r="Q236" s="131"/>
      <c r="R236" s="217"/>
      <c r="S236" s="219"/>
      <c r="T236" s="219"/>
      <c r="U236" s="217"/>
      <c r="V236" s="217"/>
    </row>
    <row r="237" spans="1:22" ht="25.5" customHeight="1">
      <c r="A237" s="20"/>
      <c r="B237" s="186" t="s">
        <v>293</v>
      </c>
      <c r="C237" s="295">
        <v>32000</v>
      </c>
      <c r="D237" s="131"/>
      <c r="E237" s="267"/>
      <c r="F237" s="135"/>
      <c r="G237" s="135"/>
      <c r="H237" s="135"/>
      <c r="I237" s="131"/>
      <c r="J237" s="131"/>
      <c r="K237" s="131"/>
      <c r="L237" s="131"/>
      <c r="M237" s="135"/>
      <c r="N237" s="131"/>
      <c r="O237" s="131"/>
      <c r="P237" s="131"/>
      <c r="Q237" s="131"/>
      <c r="R237" s="217"/>
      <c r="S237" s="219"/>
      <c r="T237" s="219"/>
      <c r="U237" s="217"/>
      <c r="V237" s="217"/>
    </row>
    <row r="238" spans="1:22" ht="25.5" customHeight="1">
      <c r="A238" s="20"/>
      <c r="B238" s="186" t="s">
        <v>125</v>
      </c>
      <c r="C238" s="295">
        <f>2800+2800+2300</f>
        <v>7900</v>
      </c>
      <c r="D238" s="131"/>
      <c r="E238" s="267"/>
      <c r="F238" s="135"/>
      <c r="G238" s="135"/>
      <c r="H238" s="135"/>
      <c r="I238" s="131"/>
      <c r="J238" s="131"/>
      <c r="K238" s="131"/>
      <c r="L238" s="131"/>
      <c r="M238" s="135"/>
      <c r="N238" s="131"/>
      <c r="O238" s="131"/>
      <c r="P238" s="131"/>
      <c r="Q238" s="131"/>
      <c r="R238" s="217"/>
      <c r="S238" s="219"/>
      <c r="T238" s="219"/>
      <c r="U238" s="217"/>
      <c r="V238" s="217"/>
    </row>
    <row r="239" spans="1:22" ht="25.5" customHeight="1">
      <c r="A239" s="20"/>
      <c r="B239" s="186" t="s">
        <v>294</v>
      </c>
      <c r="C239" s="295">
        <v>21000</v>
      </c>
      <c r="D239" s="131"/>
      <c r="E239" s="267"/>
      <c r="F239" s="135"/>
      <c r="G239" s="135"/>
      <c r="H239" s="135"/>
      <c r="I239" s="131"/>
      <c r="J239" s="131"/>
      <c r="K239" s="131"/>
      <c r="L239" s="131"/>
      <c r="M239" s="135"/>
      <c r="N239" s="131"/>
      <c r="O239" s="131"/>
      <c r="P239" s="131"/>
      <c r="Q239" s="131"/>
      <c r="R239" s="217"/>
      <c r="S239" s="219"/>
      <c r="T239" s="219"/>
      <c r="U239" s="217"/>
      <c r="V239" s="217"/>
    </row>
    <row r="240" spans="1:22" ht="25.5" customHeight="1">
      <c r="A240" s="20"/>
      <c r="B240" s="186" t="s">
        <v>293</v>
      </c>
      <c r="C240" s="295">
        <v>16000</v>
      </c>
      <c r="D240" s="131"/>
      <c r="E240" s="267"/>
      <c r="F240" s="135"/>
      <c r="G240" s="135"/>
      <c r="H240" s="135"/>
      <c r="I240" s="131"/>
      <c r="J240" s="131"/>
      <c r="K240" s="131"/>
      <c r="L240" s="131"/>
      <c r="M240" s="135"/>
      <c r="N240" s="131"/>
      <c r="O240" s="131"/>
      <c r="P240" s="131"/>
      <c r="Q240" s="131"/>
      <c r="R240" s="217"/>
      <c r="S240" s="219"/>
      <c r="T240" s="219"/>
      <c r="U240" s="217"/>
      <c r="V240" s="217"/>
    </row>
    <row r="241" spans="1:22" ht="25.5" customHeight="1">
      <c r="A241" s="20"/>
      <c r="B241" s="186" t="s">
        <v>306</v>
      </c>
      <c r="C241" s="295">
        <v>7700</v>
      </c>
      <c r="D241" s="131"/>
      <c r="E241" s="267"/>
      <c r="F241" s="135"/>
      <c r="G241" s="135"/>
      <c r="H241" s="135"/>
      <c r="I241" s="131"/>
      <c r="J241" s="131"/>
      <c r="K241" s="131"/>
      <c r="L241" s="131"/>
      <c r="M241" s="135"/>
      <c r="N241" s="131"/>
      <c r="O241" s="131"/>
      <c r="P241" s="131"/>
      <c r="Q241" s="131"/>
      <c r="R241" s="217"/>
      <c r="S241" s="219"/>
      <c r="T241" s="219"/>
      <c r="U241" s="217"/>
      <c r="V241" s="217"/>
    </row>
    <row r="242" spans="1:22" ht="25.5" customHeight="1">
      <c r="A242" s="20"/>
      <c r="B242" s="186"/>
      <c r="C242" s="295"/>
      <c r="D242" s="131"/>
      <c r="E242" s="267"/>
      <c r="F242" s="135"/>
      <c r="G242" s="135"/>
      <c r="H242" s="135"/>
      <c r="I242" s="131"/>
      <c r="J242" s="131"/>
      <c r="K242" s="131"/>
      <c r="L242" s="131"/>
      <c r="M242" s="135"/>
      <c r="N242" s="131"/>
      <c r="O242" s="131"/>
      <c r="P242" s="131"/>
      <c r="Q242" s="131"/>
      <c r="R242" s="217"/>
      <c r="S242" s="219"/>
      <c r="T242" s="219"/>
      <c r="U242" s="217"/>
      <c r="V242" s="217"/>
    </row>
    <row r="243" spans="1:22" ht="25.5" customHeight="1">
      <c r="A243" s="20"/>
      <c r="B243" s="252" t="s">
        <v>336</v>
      </c>
      <c r="C243" s="295"/>
      <c r="D243" s="131"/>
      <c r="E243" s="267"/>
      <c r="F243" s="135"/>
      <c r="G243" s="135"/>
      <c r="H243" s="135"/>
      <c r="I243" s="131"/>
      <c r="J243" s="131"/>
      <c r="K243" s="131"/>
      <c r="L243" s="131"/>
      <c r="M243" s="135"/>
      <c r="N243" s="131"/>
      <c r="O243" s="131"/>
      <c r="P243" s="131"/>
      <c r="Q243" s="131"/>
      <c r="R243" s="217"/>
      <c r="S243" s="219"/>
      <c r="T243" s="219"/>
      <c r="U243" s="217"/>
      <c r="V243" s="217"/>
    </row>
    <row r="244" spans="1:22" ht="25.5" customHeight="1">
      <c r="A244" s="20"/>
      <c r="B244" s="186" t="s">
        <v>337</v>
      </c>
      <c r="C244" s="295">
        <v>9000</v>
      </c>
      <c r="D244" s="131"/>
      <c r="E244" s="267"/>
      <c r="F244" s="135"/>
      <c r="G244" s="135"/>
      <c r="H244" s="135"/>
      <c r="I244" s="131"/>
      <c r="J244" s="131"/>
      <c r="K244" s="131"/>
      <c r="L244" s="131"/>
      <c r="M244" s="135"/>
      <c r="N244" s="131"/>
      <c r="O244" s="131"/>
      <c r="P244" s="131"/>
      <c r="Q244" s="131"/>
      <c r="R244" s="217"/>
      <c r="S244" s="219"/>
      <c r="T244" s="219"/>
      <c r="U244" s="217"/>
      <c r="V244" s="217"/>
    </row>
    <row r="245" spans="1:22" ht="25.5" customHeight="1">
      <c r="A245" s="20"/>
      <c r="B245" s="186"/>
      <c r="C245" s="295"/>
      <c r="D245" s="131"/>
      <c r="E245" s="267"/>
      <c r="F245" s="135"/>
      <c r="G245" s="135"/>
      <c r="H245" s="135"/>
      <c r="I245" s="131"/>
      <c r="J245" s="131"/>
      <c r="K245" s="131"/>
      <c r="L245" s="131"/>
      <c r="M245" s="135"/>
      <c r="N245" s="131"/>
      <c r="O245" s="131"/>
      <c r="P245" s="131"/>
      <c r="Q245" s="131"/>
      <c r="R245" s="217"/>
      <c r="S245" s="219"/>
      <c r="T245" s="219"/>
      <c r="U245" s="217"/>
      <c r="V245" s="217"/>
    </row>
    <row r="246" spans="1:22" ht="25.5" customHeight="1">
      <c r="A246" s="20"/>
      <c r="B246" s="252" t="s">
        <v>338</v>
      </c>
      <c r="C246" s="295"/>
      <c r="D246" s="131"/>
      <c r="E246" s="267"/>
      <c r="F246" s="135"/>
      <c r="G246" s="135"/>
      <c r="H246" s="135"/>
      <c r="I246" s="131"/>
      <c r="J246" s="131"/>
      <c r="K246" s="131"/>
      <c r="L246" s="131"/>
      <c r="M246" s="135"/>
      <c r="N246" s="131"/>
      <c r="O246" s="131"/>
      <c r="P246" s="131"/>
      <c r="Q246" s="131"/>
      <c r="R246" s="217"/>
      <c r="S246" s="219"/>
      <c r="T246" s="219"/>
      <c r="U246" s="217"/>
      <c r="V246" s="217"/>
    </row>
    <row r="247" spans="1:22" ht="25.5" customHeight="1">
      <c r="A247" s="20"/>
      <c r="B247" s="186" t="s">
        <v>339</v>
      </c>
      <c r="C247" s="295">
        <v>8000</v>
      </c>
      <c r="D247" s="131"/>
      <c r="E247" s="267"/>
      <c r="F247" s="135"/>
      <c r="G247" s="135"/>
      <c r="H247" s="135"/>
      <c r="I247" s="131"/>
      <c r="J247" s="131"/>
      <c r="K247" s="131"/>
      <c r="L247" s="131"/>
      <c r="M247" s="135"/>
      <c r="N247" s="131"/>
      <c r="O247" s="131"/>
      <c r="P247" s="131"/>
      <c r="Q247" s="131"/>
      <c r="R247" s="217"/>
      <c r="S247" s="219"/>
      <c r="T247" s="219"/>
      <c r="U247" s="217"/>
      <c r="V247" s="217"/>
    </row>
    <row r="248" spans="1:22" ht="25.5" customHeight="1">
      <c r="A248" s="20"/>
      <c r="B248" s="186" t="s">
        <v>340</v>
      </c>
      <c r="C248" s="295">
        <v>6000</v>
      </c>
      <c r="D248" s="131"/>
      <c r="E248" s="267"/>
      <c r="F248" s="135"/>
      <c r="G248" s="135"/>
      <c r="H248" s="135"/>
      <c r="I248" s="131"/>
      <c r="J248" s="131"/>
      <c r="K248" s="131"/>
      <c r="L248" s="131"/>
      <c r="M248" s="135"/>
      <c r="N248" s="131"/>
      <c r="O248" s="131"/>
      <c r="P248" s="131"/>
      <c r="Q248" s="131"/>
      <c r="R248" s="217"/>
      <c r="S248" s="219"/>
      <c r="T248" s="219"/>
      <c r="U248" s="217"/>
      <c r="V248" s="217"/>
    </row>
    <row r="249" spans="1:22" ht="25.5" customHeight="1">
      <c r="A249" s="20"/>
      <c r="B249" s="186"/>
      <c r="C249" s="295"/>
      <c r="D249" s="131"/>
      <c r="E249" s="267"/>
      <c r="F249" s="135"/>
      <c r="G249" s="135"/>
      <c r="H249" s="135"/>
      <c r="I249" s="131"/>
      <c r="J249" s="131"/>
      <c r="K249" s="131"/>
      <c r="L249" s="131"/>
      <c r="M249" s="135"/>
      <c r="N249" s="131"/>
      <c r="O249" s="131"/>
      <c r="P249" s="131"/>
      <c r="Q249" s="131"/>
      <c r="R249" s="217"/>
      <c r="S249" s="219"/>
      <c r="T249" s="219"/>
      <c r="U249" s="217"/>
      <c r="V249" s="217"/>
    </row>
    <row r="250" spans="1:22" ht="25.5" customHeight="1">
      <c r="A250" s="20"/>
      <c r="B250" s="252" t="s">
        <v>341</v>
      </c>
      <c r="C250" s="295"/>
      <c r="D250" s="131"/>
      <c r="E250" s="267"/>
      <c r="F250" s="135"/>
      <c r="G250" s="135"/>
      <c r="H250" s="135"/>
      <c r="I250" s="131"/>
      <c r="J250" s="131"/>
      <c r="K250" s="131"/>
      <c r="L250" s="131"/>
      <c r="M250" s="135"/>
      <c r="N250" s="131"/>
      <c r="O250" s="131"/>
      <c r="P250" s="131"/>
      <c r="Q250" s="131"/>
      <c r="R250" s="217"/>
      <c r="S250" s="219"/>
      <c r="T250" s="219"/>
      <c r="U250" s="217"/>
      <c r="V250" s="217"/>
    </row>
    <row r="251" spans="1:22" ht="25.5" customHeight="1">
      <c r="A251" s="20"/>
      <c r="B251" s="186" t="s">
        <v>342</v>
      </c>
      <c r="C251" s="295">
        <v>45300</v>
      </c>
      <c r="D251" s="131"/>
      <c r="E251" s="267"/>
      <c r="F251" s="135"/>
      <c r="G251" s="135"/>
      <c r="H251" s="135"/>
      <c r="I251" s="131"/>
      <c r="J251" s="131"/>
      <c r="K251" s="131"/>
      <c r="L251" s="131"/>
      <c r="M251" s="135"/>
      <c r="N251" s="131"/>
      <c r="O251" s="131"/>
      <c r="P251" s="131"/>
      <c r="Q251" s="131"/>
      <c r="R251" s="217"/>
      <c r="S251" s="219"/>
      <c r="T251" s="219"/>
      <c r="U251" s="217"/>
      <c r="V251" s="217"/>
    </row>
    <row r="252" spans="1:22" ht="25.5" customHeight="1">
      <c r="A252" s="20"/>
      <c r="B252" s="186" t="s">
        <v>343</v>
      </c>
      <c r="C252" s="295">
        <v>128000</v>
      </c>
      <c r="D252" s="131"/>
      <c r="E252" s="267"/>
      <c r="F252" s="135"/>
      <c r="G252" s="135"/>
      <c r="H252" s="135"/>
      <c r="I252" s="131"/>
      <c r="J252" s="131"/>
      <c r="K252" s="131"/>
      <c r="L252" s="131"/>
      <c r="M252" s="135"/>
      <c r="N252" s="131"/>
      <c r="O252" s="131"/>
      <c r="P252" s="131"/>
      <c r="Q252" s="131"/>
      <c r="R252" s="217"/>
      <c r="S252" s="219"/>
      <c r="T252" s="219"/>
      <c r="U252" s="217"/>
      <c r="V252" s="217"/>
    </row>
    <row r="253" spans="1:22" ht="25.5" customHeight="1">
      <c r="A253" s="20"/>
      <c r="B253" s="186" t="s">
        <v>264</v>
      </c>
      <c r="C253" s="295">
        <v>204000</v>
      </c>
      <c r="D253" s="131"/>
      <c r="E253" s="267"/>
      <c r="F253" s="135"/>
      <c r="G253" s="135"/>
      <c r="H253" s="135"/>
      <c r="I253" s="131"/>
      <c r="J253" s="131"/>
      <c r="K253" s="131"/>
      <c r="L253" s="131"/>
      <c r="M253" s="135"/>
      <c r="N253" s="131"/>
      <c r="O253" s="131"/>
      <c r="P253" s="131"/>
      <c r="Q253" s="131"/>
      <c r="R253" s="217"/>
      <c r="S253" s="219"/>
      <c r="T253" s="219"/>
      <c r="U253" s="217"/>
      <c r="V253" s="217"/>
    </row>
    <row r="254" spans="1:22" ht="25.5" customHeight="1">
      <c r="A254" s="20"/>
      <c r="B254" s="186" t="s">
        <v>381</v>
      </c>
      <c r="C254" s="295">
        <v>204000</v>
      </c>
      <c r="D254" s="131"/>
      <c r="E254" s="267"/>
      <c r="F254" s="135"/>
      <c r="G254" s="135"/>
      <c r="H254" s="135"/>
      <c r="I254" s="131"/>
      <c r="J254" s="131"/>
      <c r="K254" s="131"/>
      <c r="L254" s="131"/>
      <c r="M254" s="135"/>
      <c r="N254" s="131"/>
      <c r="O254" s="131"/>
      <c r="P254" s="131"/>
      <c r="Q254" s="131"/>
      <c r="R254" s="217"/>
      <c r="S254" s="219"/>
      <c r="T254" s="219"/>
      <c r="U254" s="217"/>
      <c r="V254" s="217"/>
    </row>
    <row r="255" spans="1:22" ht="25.5" customHeight="1">
      <c r="A255" s="20"/>
      <c r="B255" s="186" t="s">
        <v>344</v>
      </c>
      <c r="C255" s="295">
        <v>204000</v>
      </c>
      <c r="D255" s="131"/>
      <c r="E255" s="267"/>
      <c r="F255" s="135"/>
      <c r="G255" s="135"/>
      <c r="H255" s="135"/>
      <c r="I255" s="131"/>
      <c r="J255" s="131"/>
      <c r="K255" s="131"/>
      <c r="L255" s="131"/>
      <c r="M255" s="135"/>
      <c r="N255" s="131"/>
      <c r="O255" s="131"/>
      <c r="P255" s="131"/>
      <c r="Q255" s="131"/>
      <c r="R255" s="217"/>
      <c r="S255" s="219"/>
      <c r="T255" s="219"/>
      <c r="U255" s="217"/>
      <c r="V255" s="217"/>
    </row>
    <row r="256" spans="1:22" ht="25.5" customHeight="1">
      <c r="A256" s="20"/>
      <c r="B256" s="186" t="s">
        <v>345</v>
      </c>
      <c r="C256" s="295">
        <v>217000</v>
      </c>
      <c r="D256" s="131"/>
      <c r="E256" s="267"/>
      <c r="F256" s="135"/>
      <c r="G256" s="135"/>
      <c r="H256" s="135"/>
      <c r="I256" s="131"/>
      <c r="J256" s="131"/>
      <c r="K256" s="131"/>
      <c r="L256" s="131"/>
      <c r="M256" s="135"/>
      <c r="N256" s="131"/>
      <c r="O256" s="131"/>
      <c r="P256" s="131"/>
      <c r="Q256" s="131"/>
      <c r="R256" s="217"/>
      <c r="S256" s="219"/>
      <c r="T256" s="219"/>
      <c r="U256" s="217"/>
      <c r="V256" s="217"/>
    </row>
    <row r="257" spans="1:23" ht="25.5" customHeight="1">
      <c r="A257" s="20"/>
      <c r="B257" s="186" t="s">
        <v>346</v>
      </c>
      <c r="C257" s="295">
        <v>27000</v>
      </c>
      <c r="D257" s="131"/>
      <c r="E257" s="267"/>
      <c r="F257" s="135"/>
      <c r="G257" s="135"/>
      <c r="H257" s="135"/>
      <c r="I257" s="131"/>
      <c r="J257" s="131"/>
      <c r="K257" s="131"/>
      <c r="L257" s="131"/>
      <c r="M257" s="135"/>
      <c r="N257" s="131"/>
      <c r="O257" s="131"/>
      <c r="P257" s="131"/>
      <c r="Q257" s="131"/>
      <c r="R257" s="217"/>
      <c r="S257" s="219"/>
      <c r="T257" s="219"/>
      <c r="U257" s="217"/>
      <c r="V257" s="217"/>
    </row>
    <row r="258" spans="1:23" ht="25.5" customHeight="1">
      <c r="A258" s="20"/>
      <c r="B258" s="186" t="s">
        <v>347</v>
      </c>
      <c r="C258" s="295">
        <v>211000</v>
      </c>
      <c r="D258" s="131"/>
      <c r="E258" s="267"/>
      <c r="F258" s="135"/>
      <c r="G258" s="135"/>
      <c r="H258" s="135"/>
      <c r="I258" s="131"/>
      <c r="J258" s="131"/>
      <c r="K258" s="131"/>
      <c r="L258" s="131"/>
      <c r="M258" s="135"/>
      <c r="N258" s="131"/>
      <c r="O258" s="131"/>
      <c r="P258" s="131"/>
      <c r="Q258" s="131"/>
      <c r="R258" s="217"/>
      <c r="S258" s="219"/>
      <c r="T258" s="219"/>
      <c r="U258" s="217"/>
      <c r="V258" s="217"/>
    </row>
    <row r="259" spans="1:23" ht="25.5" customHeight="1">
      <c r="A259" s="20"/>
      <c r="B259" s="186" t="s">
        <v>348</v>
      </c>
      <c r="C259" s="295">
        <v>211000</v>
      </c>
      <c r="D259" s="131"/>
      <c r="E259" s="267"/>
      <c r="F259" s="135"/>
      <c r="G259" s="135"/>
      <c r="H259" s="135"/>
      <c r="I259" s="131"/>
      <c r="J259" s="131"/>
      <c r="K259" s="131"/>
      <c r="L259" s="131"/>
      <c r="M259" s="135"/>
      <c r="N259" s="131"/>
      <c r="O259" s="131"/>
      <c r="P259" s="131"/>
      <c r="Q259" s="131"/>
      <c r="R259" s="217"/>
      <c r="S259" s="219"/>
      <c r="T259" s="219"/>
      <c r="U259" s="217"/>
      <c r="V259" s="217"/>
    </row>
    <row r="260" spans="1:23" ht="25.5" customHeight="1">
      <c r="A260" s="20"/>
      <c r="B260" s="186" t="s">
        <v>349</v>
      </c>
      <c r="C260" s="296">
        <v>688700</v>
      </c>
      <c r="D260" s="131"/>
      <c r="E260" s="267"/>
      <c r="F260" s="135"/>
      <c r="G260" s="135"/>
      <c r="H260" s="135"/>
      <c r="I260" s="131"/>
      <c r="J260" s="131"/>
      <c r="K260" s="131"/>
      <c r="L260" s="131"/>
      <c r="M260" s="135"/>
      <c r="N260" s="131"/>
      <c r="O260" s="131"/>
      <c r="P260" s="131"/>
      <c r="Q260" s="131"/>
      <c r="R260" s="217"/>
      <c r="S260" s="219"/>
      <c r="T260" s="219"/>
      <c r="U260" s="217"/>
      <c r="V260" s="217"/>
    </row>
    <row r="261" spans="1:23" ht="25.5" customHeight="1">
      <c r="A261" s="20"/>
      <c r="B261" s="186" t="s">
        <v>350</v>
      </c>
      <c r="C261" s="297">
        <v>62000</v>
      </c>
      <c r="D261" s="131"/>
      <c r="E261" s="267"/>
      <c r="F261" s="135"/>
      <c r="G261" s="135"/>
      <c r="H261" s="135"/>
      <c r="I261" s="131"/>
      <c r="J261" s="131"/>
      <c r="K261" s="131"/>
      <c r="L261" s="131"/>
      <c r="M261" s="135"/>
      <c r="N261" s="131"/>
      <c r="O261" s="131"/>
      <c r="P261" s="131"/>
      <c r="Q261" s="131"/>
      <c r="R261" s="217"/>
      <c r="S261" s="219"/>
      <c r="T261" s="219"/>
      <c r="U261" s="217"/>
      <c r="V261" s="217"/>
    </row>
    <row r="262" spans="1:23" ht="25.5" customHeight="1" thickBot="1">
      <c r="A262" s="24"/>
      <c r="B262" s="45" t="s">
        <v>5</v>
      </c>
      <c r="C262" s="170">
        <f>SUM(C227:C261)</f>
        <v>2383100</v>
      </c>
      <c r="D262" s="255">
        <f>SUM(D227:D261)</f>
        <v>0</v>
      </c>
      <c r="E262" s="255">
        <f t="shared" ref="E262:V262" si="7">SUM(E227:E261)</f>
        <v>0</v>
      </c>
      <c r="F262" s="255">
        <f t="shared" si="7"/>
        <v>0</v>
      </c>
      <c r="G262" s="255">
        <f t="shared" si="7"/>
        <v>0</v>
      </c>
      <c r="H262" s="255">
        <f t="shared" si="7"/>
        <v>0</v>
      </c>
      <c r="I262" s="255">
        <f t="shared" si="7"/>
        <v>0</v>
      </c>
      <c r="J262" s="255">
        <f t="shared" si="7"/>
        <v>0</v>
      </c>
      <c r="K262" s="255">
        <f t="shared" si="7"/>
        <v>0</v>
      </c>
      <c r="L262" s="255">
        <f t="shared" si="7"/>
        <v>0</v>
      </c>
      <c r="M262" s="255">
        <f t="shared" si="7"/>
        <v>0</v>
      </c>
      <c r="N262" s="255">
        <f t="shared" si="7"/>
        <v>0</v>
      </c>
      <c r="O262" s="255">
        <f t="shared" si="7"/>
        <v>0</v>
      </c>
      <c r="P262" s="255">
        <f t="shared" si="7"/>
        <v>0</v>
      </c>
      <c r="Q262" s="255">
        <f t="shared" si="7"/>
        <v>0</v>
      </c>
      <c r="R262" s="255">
        <f t="shared" si="7"/>
        <v>0</v>
      </c>
      <c r="S262" s="255">
        <f t="shared" si="7"/>
        <v>0</v>
      </c>
      <c r="T262" s="255"/>
      <c r="U262" s="255">
        <f t="shared" si="7"/>
        <v>0</v>
      </c>
      <c r="V262" s="255">
        <f t="shared" si="7"/>
        <v>0</v>
      </c>
      <c r="W262" s="314">
        <f>SUM(D262:V262)</f>
        <v>0</v>
      </c>
    </row>
    <row r="263" spans="1:23" ht="25.5" customHeight="1" thickTop="1">
      <c r="A263" s="50" t="s">
        <v>149</v>
      </c>
      <c r="B263" s="4"/>
      <c r="C263" s="193"/>
      <c r="D263" s="133"/>
      <c r="E263" s="269"/>
      <c r="F263" s="136"/>
      <c r="G263" s="136"/>
      <c r="H263" s="136"/>
      <c r="I263" s="133"/>
      <c r="J263" s="133"/>
      <c r="K263" s="133"/>
      <c r="L263" s="133"/>
      <c r="M263" s="136"/>
      <c r="N263" s="133"/>
      <c r="O263" s="133"/>
      <c r="P263" s="133"/>
      <c r="Q263" s="133"/>
      <c r="R263" s="258"/>
      <c r="S263" s="259"/>
      <c r="T263" s="259"/>
      <c r="U263" s="258"/>
      <c r="V263" s="258"/>
    </row>
    <row r="264" spans="1:23" ht="25.5" customHeight="1">
      <c r="A264" s="9"/>
      <c r="B264" s="186"/>
      <c r="C264" s="296"/>
      <c r="D264" s="133"/>
      <c r="E264" s="269"/>
      <c r="F264" s="136"/>
      <c r="G264" s="136"/>
      <c r="H264" s="136"/>
      <c r="I264" s="133"/>
      <c r="J264" s="133"/>
      <c r="K264" s="133"/>
      <c r="L264" s="133"/>
      <c r="M264" s="136"/>
      <c r="N264" s="133"/>
      <c r="O264" s="133"/>
      <c r="P264" s="133"/>
      <c r="Q264" s="133"/>
      <c r="R264" s="258"/>
      <c r="S264" s="259"/>
      <c r="T264" s="259"/>
      <c r="U264" s="258"/>
      <c r="V264" s="258"/>
    </row>
    <row r="265" spans="1:23" ht="25.5" customHeight="1">
      <c r="A265" s="9"/>
      <c r="B265" s="186"/>
      <c r="C265" s="296"/>
      <c r="D265" s="133"/>
      <c r="E265" s="269"/>
      <c r="F265" s="136"/>
      <c r="G265" s="136"/>
      <c r="H265" s="136"/>
      <c r="I265" s="133"/>
      <c r="J265" s="133"/>
      <c r="K265" s="133"/>
      <c r="L265" s="133"/>
      <c r="M265" s="136"/>
      <c r="N265" s="133"/>
      <c r="O265" s="133"/>
      <c r="P265" s="133"/>
      <c r="Q265" s="133"/>
      <c r="R265" s="258"/>
      <c r="S265" s="259"/>
      <c r="T265" s="259"/>
      <c r="U265" s="258"/>
      <c r="V265" s="258"/>
    </row>
    <row r="266" spans="1:23" ht="25.5" customHeight="1">
      <c r="A266" s="9"/>
      <c r="B266" s="186"/>
      <c r="C266" s="296"/>
      <c r="D266" s="133"/>
      <c r="E266" s="269"/>
      <c r="F266" s="136"/>
      <c r="G266" s="136"/>
      <c r="H266" s="136"/>
      <c r="I266" s="133"/>
      <c r="J266" s="133"/>
      <c r="K266" s="133"/>
      <c r="L266" s="133"/>
      <c r="M266" s="136"/>
      <c r="N266" s="133"/>
      <c r="O266" s="133"/>
      <c r="P266" s="133"/>
      <c r="Q266" s="133"/>
      <c r="R266" s="258"/>
      <c r="S266" s="259"/>
      <c r="T266" s="259"/>
      <c r="U266" s="258"/>
      <c r="V266" s="258"/>
    </row>
    <row r="267" spans="1:23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1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</row>
    <row r="268" spans="1:23" ht="25.5" customHeight="1">
      <c r="A268" s="9"/>
      <c r="B268" s="186"/>
      <c r="C268" s="296"/>
      <c r="D268" s="131"/>
      <c r="E268" s="267"/>
      <c r="F268" s="135"/>
      <c r="G268" s="135"/>
      <c r="H268" s="135"/>
      <c r="I268" s="131"/>
      <c r="J268" s="131"/>
      <c r="K268" s="131"/>
      <c r="L268" s="131"/>
      <c r="M268" s="135"/>
      <c r="N268" s="131"/>
      <c r="O268" s="131"/>
      <c r="P268" s="131"/>
      <c r="Q268" s="131"/>
      <c r="R268" s="217"/>
      <c r="S268" s="219"/>
      <c r="T268" s="219"/>
      <c r="U268" s="217"/>
      <c r="V268" s="217"/>
    </row>
    <row r="269" spans="1:23" ht="25.5" customHeight="1">
      <c r="A269" s="9"/>
      <c r="B269" s="186"/>
      <c r="C269" s="296"/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9"/>
      <c r="B270" s="186"/>
      <c r="C270" s="296"/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>
      <c r="A271" s="9"/>
      <c r="B271" s="186"/>
      <c r="C271" s="296"/>
      <c r="D271" s="131"/>
      <c r="E271" s="267"/>
      <c r="F271" s="135"/>
      <c r="G271" s="135"/>
      <c r="H271" s="135"/>
      <c r="I271" s="131"/>
      <c r="J271" s="131"/>
      <c r="K271" s="131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</row>
    <row r="272" spans="1:23" ht="25.5" customHeight="1" thickBot="1">
      <c r="A272" s="15"/>
      <c r="B272" s="14" t="s">
        <v>5</v>
      </c>
      <c r="C272" s="170">
        <f>SUM(C264:C271)</f>
        <v>0</v>
      </c>
      <c r="D272" s="255">
        <f>SUM(D264:D271)</f>
        <v>0</v>
      </c>
      <c r="E272" s="255">
        <f t="shared" ref="E272:V272" si="8">SUM(E264:E271)</f>
        <v>0</v>
      </c>
      <c r="F272" s="255">
        <f t="shared" si="8"/>
        <v>0</v>
      </c>
      <c r="G272" s="255">
        <f t="shared" si="8"/>
        <v>0</v>
      </c>
      <c r="H272" s="255">
        <f t="shared" si="8"/>
        <v>0</v>
      </c>
      <c r="I272" s="255">
        <f t="shared" si="8"/>
        <v>0</v>
      </c>
      <c r="J272" s="255">
        <f t="shared" si="8"/>
        <v>0</v>
      </c>
      <c r="K272" s="255">
        <f t="shared" si="8"/>
        <v>0</v>
      </c>
      <c r="L272" s="255">
        <f t="shared" si="8"/>
        <v>0</v>
      </c>
      <c r="M272" s="255">
        <f t="shared" si="8"/>
        <v>0</v>
      </c>
      <c r="N272" s="255">
        <f t="shared" si="8"/>
        <v>0</v>
      </c>
      <c r="O272" s="255">
        <f t="shared" si="8"/>
        <v>0</v>
      </c>
      <c r="P272" s="255">
        <f t="shared" si="8"/>
        <v>0</v>
      </c>
      <c r="Q272" s="255">
        <f t="shared" si="8"/>
        <v>0</v>
      </c>
      <c r="R272" s="255">
        <f t="shared" si="8"/>
        <v>0</v>
      </c>
      <c r="S272" s="255">
        <f t="shared" si="8"/>
        <v>0</v>
      </c>
      <c r="T272" s="255"/>
      <c r="U272" s="255">
        <f t="shared" si="8"/>
        <v>0</v>
      </c>
      <c r="V272" s="255">
        <f t="shared" si="8"/>
        <v>0</v>
      </c>
      <c r="W272" s="314">
        <f>SUM(D272:V272)</f>
        <v>0</v>
      </c>
    </row>
    <row r="273" spans="1:23" ht="25.5" customHeight="1" thickTop="1">
      <c r="A273" s="20" t="s">
        <v>24</v>
      </c>
      <c r="B273" s="23"/>
      <c r="C273" s="190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30"/>
      <c r="C274" s="192"/>
      <c r="D274" s="131"/>
      <c r="E274" s="267"/>
      <c r="F274" s="135"/>
      <c r="G274" s="135"/>
      <c r="H274" s="135"/>
      <c r="I274" s="131"/>
      <c r="J274" s="131"/>
      <c r="K274" s="131"/>
      <c r="L274" s="131"/>
      <c r="M274" s="135"/>
      <c r="N274" s="131"/>
      <c r="O274" s="131"/>
      <c r="P274" s="131"/>
      <c r="Q274" s="131"/>
      <c r="R274" s="217"/>
      <c r="S274" s="219"/>
      <c r="T274" s="219"/>
      <c r="U274" s="217"/>
      <c r="V274" s="217"/>
    </row>
    <row r="275" spans="1:23" ht="25.5" customHeight="1">
      <c r="A275" s="20"/>
      <c r="B275" s="130"/>
      <c r="C275" s="192"/>
      <c r="D275" s="131"/>
      <c r="E275" s="267"/>
      <c r="F275" s="135"/>
      <c r="G275" s="135"/>
      <c r="H275" s="135"/>
      <c r="I275" s="131"/>
      <c r="J275" s="131"/>
      <c r="K275" s="131"/>
      <c r="L275" s="131"/>
      <c r="M275" s="135"/>
      <c r="N275" s="131"/>
      <c r="O275" s="131"/>
      <c r="P275" s="131"/>
      <c r="Q275" s="131"/>
      <c r="R275" s="217"/>
      <c r="S275" s="219"/>
      <c r="T275" s="219"/>
      <c r="U275" s="217"/>
      <c r="V275" s="217"/>
    </row>
    <row r="276" spans="1:23" ht="25.5" customHeight="1" thickBot="1">
      <c r="A276" s="15"/>
      <c r="B276" s="14" t="s">
        <v>5</v>
      </c>
      <c r="C276" s="298">
        <f>SUM(C274:C275)</f>
        <v>0</v>
      </c>
      <c r="D276" s="255">
        <f>SUM(D274:D275)</f>
        <v>0</v>
      </c>
      <c r="E276" s="255">
        <f t="shared" ref="E276:V276" si="9">SUM(E274:E275)</f>
        <v>0</v>
      </c>
      <c r="F276" s="255">
        <f t="shared" si="9"/>
        <v>0</v>
      </c>
      <c r="G276" s="255">
        <f t="shared" si="9"/>
        <v>0</v>
      </c>
      <c r="H276" s="255">
        <f t="shared" si="9"/>
        <v>0</v>
      </c>
      <c r="I276" s="255">
        <f t="shared" si="9"/>
        <v>0</v>
      </c>
      <c r="J276" s="255">
        <f t="shared" si="9"/>
        <v>0</v>
      </c>
      <c r="K276" s="255">
        <f t="shared" si="9"/>
        <v>0</v>
      </c>
      <c r="L276" s="255">
        <f t="shared" si="9"/>
        <v>0</v>
      </c>
      <c r="M276" s="255">
        <f t="shared" si="9"/>
        <v>0</v>
      </c>
      <c r="N276" s="255">
        <f t="shared" si="9"/>
        <v>0</v>
      </c>
      <c r="O276" s="255">
        <f t="shared" si="9"/>
        <v>0</v>
      </c>
      <c r="P276" s="255">
        <f t="shared" si="9"/>
        <v>0</v>
      </c>
      <c r="Q276" s="255">
        <f t="shared" si="9"/>
        <v>0</v>
      </c>
      <c r="R276" s="255">
        <f t="shared" si="9"/>
        <v>0</v>
      </c>
      <c r="S276" s="255">
        <f t="shared" si="9"/>
        <v>0</v>
      </c>
      <c r="T276" s="255"/>
      <c r="U276" s="255">
        <f t="shared" si="9"/>
        <v>0</v>
      </c>
      <c r="V276" s="255">
        <f t="shared" si="9"/>
        <v>0</v>
      </c>
      <c r="W276" s="314">
        <f>SUM(D276:V276)</f>
        <v>0</v>
      </c>
    </row>
    <row r="277" spans="1:23" ht="25.5" customHeight="1" thickTop="1">
      <c r="A277" s="20" t="s">
        <v>44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</row>
    <row r="278" spans="1:23" ht="25.5" customHeight="1">
      <c r="A278" s="20"/>
      <c r="B278" s="185"/>
      <c r="C278" s="192"/>
      <c r="D278" s="133"/>
      <c r="E278" s="269"/>
      <c r="F278" s="136"/>
      <c r="G278" s="136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258"/>
      <c r="S278" s="259"/>
      <c r="T278" s="259"/>
      <c r="U278" s="258"/>
      <c r="V278" s="258"/>
    </row>
    <row r="279" spans="1:23" ht="25.5" customHeight="1">
      <c r="A279" s="20"/>
      <c r="B279" s="185"/>
      <c r="C279" s="190"/>
      <c r="D279" s="133"/>
      <c r="E279" s="269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258"/>
      <c r="S279" s="259"/>
      <c r="T279" s="259"/>
      <c r="U279" s="258"/>
      <c r="V279" s="258"/>
    </row>
    <row r="280" spans="1:23" ht="25.5" customHeight="1" thickBot="1">
      <c r="A280" s="15"/>
      <c r="B280" s="53" t="s">
        <v>5</v>
      </c>
      <c r="C280" s="105">
        <f>SUM(C278:C279)</f>
        <v>0</v>
      </c>
      <c r="D280" s="255">
        <f>SUM(D278:D279)</f>
        <v>0</v>
      </c>
      <c r="E280" s="255">
        <f t="shared" ref="E280:V280" si="10">SUM(E278:E279)</f>
        <v>0</v>
      </c>
      <c r="F280" s="255">
        <f t="shared" si="10"/>
        <v>0</v>
      </c>
      <c r="G280" s="255">
        <f t="shared" si="10"/>
        <v>0</v>
      </c>
      <c r="H280" s="255">
        <f t="shared" si="10"/>
        <v>0</v>
      </c>
      <c r="I280" s="255">
        <f t="shared" si="10"/>
        <v>0</v>
      </c>
      <c r="J280" s="255">
        <f t="shared" si="10"/>
        <v>0</v>
      </c>
      <c r="K280" s="255">
        <f t="shared" si="10"/>
        <v>0</v>
      </c>
      <c r="L280" s="255">
        <f t="shared" si="10"/>
        <v>0</v>
      </c>
      <c r="M280" s="255">
        <f t="shared" si="10"/>
        <v>0</v>
      </c>
      <c r="N280" s="255">
        <f t="shared" si="10"/>
        <v>0</v>
      </c>
      <c r="O280" s="255">
        <f t="shared" si="10"/>
        <v>0</v>
      </c>
      <c r="P280" s="255">
        <f t="shared" si="10"/>
        <v>0</v>
      </c>
      <c r="Q280" s="255">
        <f t="shared" si="10"/>
        <v>0</v>
      </c>
      <c r="R280" s="255">
        <f t="shared" si="10"/>
        <v>0</v>
      </c>
      <c r="S280" s="255">
        <f t="shared" si="10"/>
        <v>0</v>
      </c>
      <c r="T280" s="255"/>
      <c r="U280" s="255">
        <f t="shared" si="10"/>
        <v>0</v>
      </c>
      <c r="V280" s="255">
        <f t="shared" si="10"/>
        <v>0</v>
      </c>
      <c r="W280" s="314">
        <f>SUM(D280:V280)</f>
        <v>0</v>
      </c>
    </row>
    <row r="281" spans="1:23" ht="25.5" customHeight="1" thickTop="1">
      <c r="A281" s="20" t="s">
        <v>276</v>
      </c>
      <c r="B281" s="23"/>
      <c r="C281" s="193"/>
      <c r="D281" s="133"/>
      <c r="E281" s="269"/>
      <c r="F281" s="136"/>
      <c r="G281" s="136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258"/>
      <c r="S281" s="259"/>
      <c r="T281" s="259"/>
      <c r="U281" s="258"/>
      <c r="V281" s="258"/>
    </row>
    <row r="282" spans="1:23" ht="25.5" customHeight="1">
      <c r="A282" s="20"/>
      <c r="B282" s="185" t="s">
        <v>226</v>
      </c>
      <c r="C282" s="192">
        <f>+E282+M282+F282+H282</f>
        <v>236250</v>
      </c>
      <c r="D282" s="133"/>
      <c r="E282" s="267">
        <v>128250</v>
      </c>
      <c r="F282" s="135">
        <v>15500</v>
      </c>
      <c r="G282" s="135"/>
      <c r="H282" s="135">
        <v>56000</v>
      </c>
      <c r="I282" s="131"/>
      <c r="J282" s="131"/>
      <c r="K282" s="131"/>
      <c r="L282" s="131"/>
      <c r="M282" s="135">
        <v>36500</v>
      </c>
      <c r="N282" s="133"/>
      <c r="O282" s="133"/>
      <c r="P282" s="133"/>
      <c r="Q282" s="133"/>
      <c r="R282" s="258"/>
      <c r="S282" s="259"/>
      <c r="T282" s="259"/>
      <c r="U282" s="258"/>
      <c r="V282" s="258"/>
    </row>
    <row r="283" spans="1:23" ht="25.5" customHeight="1">
      <c r="A283" s="20"/>
      <c r="B283" s="185" t="s">
        <v>233</v>
      </c>
      <c r="C283" s="299">
        <v>7500</v>
      </c>
      <c r="D283" s="133"/>
      <c r="E283" s="267">
        <v>7500</v>
      </c>
      <c r="F283" s="135"/>
      <c r="G283" s="135"/>
      <c r="H283" s="135"/>
      <c r="I283" s="131"/>
      <c r="J283" s="131"/>
      <c r="K283" s="131"/>
      <c r="L283" s="131"/>
      <c r="M283" s="135"/>
      <c r="N283" s="133"/>
      <c r="O283" s="133"/>
      <c r="P283" s="133"/>
      <c r="Q283" s="133"/>
      <c r="R283" s="258"/>
      <c r="S283" s="259"/>
      <c r="T283" s="259"/>
      <c r="U283" s="258"/>
      <c r="V283" s="258"/>
    </row>
    <row r="284" spans="1:23" ht="25.5" customHeight="1">
      <c r="A284" s="20"/>
      <c r="B284" s="274" t="s">
        <v>378</v>
      </c>
      <c r="C284" s="299">
        <v>37500</v>
      </c>
      <c r="D284" s="131"/>
      <c r="E284" s="267">
        <v>37500</v>
      </c>
      <c r="F284" s="135"/>
      <c r="G284" s="135"/>
      <c r="H284" s="135"/>
      <c r="I284" s="131"/>
      <c r="J284" s="131"/>
      <c r="K284" s="131"/>
      <c r="L284" s="131"/>
      <c r="M284" s="135"/>
      <c r="N284" s="131"/>
      <c r="O284" s="131"/>
      <c r="P284" s="131"/>
      <c r="Q284" s="131"/>
      <c r="R284" s="217"/>
      <c r="S284" s="219"/>
      <c r="T284" s="219"/>
      <c r="U284" s="217"/>
      <c r="V284" s="217"/>
    </row>
    <row r="285" spans="1:23" ht="25.5" customHeight="1">
      <c r="A285" s="20"/>
      <c r="B285" s="185" t="s">
        <v>379</v>
      </c>
      <c r="C285" s="299">
        <v>10000</v>
      </c>
      <c r="D285" s="131"/>
      <c r="E285" s="267">
        <v>10000</v>
      </c>
      <c r="F285" s="135"/>
      <c r="G285" s="135"/>
      <c r="H285" s="135"/>
      <c r="I285" s="131"/>
      <c r="J285" s="131"/>
      <c r="K285" s="131"/>
      <c r="L285" s="131"/>
      <c r="M285" s="135"/>
      <c r="N285" s="131"/>
      <c r="O285" s="131"/>
      <c r="P285" s="131"/>
      <c r="Q285" s="131"/>
      <c r="R285" s="217"/>
      <c r="S285" s="219"/>
      <c r="T285" s="219"/>
      <c r="U285" s="217"/>
      <c r="V285" s="217"/>
    </row>
    <row r="286" spans="1:23" ht="25.5" customHeight="1">
      <c r="A286" s="20"/>
      <c r="B286" s="185" t="s">
        <v>382</v>
      </c>
      <c r="C286" s="299">
        <v>1950</v>
      </c>
      <c r="D286" s="131"/>
      <c r="E286" s="267">
        <v>1950</v>
      </c>
      <c r="F286" s="135"/>
      <c r="G286" s="135"/>
      <c r="H286" s="135"/>
      <c r="I286" s="131"/>
      <c r="J286" s="131"/>
      <c r="K286" s="131"/>
      <c r="L286" s="131"/>
      <c r="M286" s="135"/>
      <c r="N286" s="131"/>
      <c r="O286" s="131"/>
      <c r="P286" s="131"/>
      <c r="Q286" s="131"/>
      <c r="R286" s="217"/>
      <c r="S286" s="219"/>
      <c r="T286" s="219"/>
      <c r="U286" s="217"/>
      <c r="V286" s="217"/>
    </row>
    <row r="287" spans="1:23" ht="25.5" customHeight="1">
      <c r="A287" s="20"/>
      <c r="B287" s="185" t="s">
        <v>380</v>
      </c>
      <c r="C287" s="299">
        <v>4550</v>
      </c>
      <c r="D287" s="131"/>
      <c r="E287" s="267">
        <v>4550</v>
      </c>
      <c r="F287" s="135"/>
      <c r="G287" s="135"/>
      <c r="H287" s="135"/>
      <c r="I287" s="131"/>
      <c r="J287" s="131"/>
      <c r="K287" s="131"/>
      <c r="L287" s="131"/>
      <c r="M287" s="135"/>
      <c r="N287" s="131"/>
      <c r="O287" s="131"/>
      <c r="P287" s="131"/>
      <c r="Q287" s="131"/>
      <c r="R287" s="217"/>
      <c r="S287" s="219"/>
      <c r="T287" s="219"/>
      <c r="U287" s="217"/>
      <c r="V287" s="217"/>
    </row>
    <row r="288" spans="1:23" ht="25.5" customHeight="1">
      <c r="A288" s="20"/>
      <c r="B288" s="185"/>
      <c r="C288" s="299"/>
      <c r="D288" s="131"/>
      <c r="E288" s="267"/>
      <c r="F288" s="135"/>
      <c r="G288" s="135"/>
      <c r="H288" s="135"/>
      <c r="I288" s="131"/>
      <c r="J288" s="131"/>
      <c r="K288" s="131"/>
      <c r="L288" s="131"/>
      <c r="M288" s="135"/>
      <c r="N288" s="131"/>
      <c r="O288" s="131"/>
      <c r="P288" s="131"/>
      <c r="Q288" s="131"/>
      <c r="R288" s="217"/>
      <c r="S288" s="219"/>
      <c r="T288" s="219"/>
      <c r="U288" s="217"/>
      <c r="V288" s="217"/>
    </row>
    <row r="289" spans="1:23" ht="25.5" customHeight="1">
      <c r="A289" s="20"/>
      <c r="B289" s="185"/>
      <c r="C289" s="299"/>
      <c r="D289" s="131"/>
      <c r="E289" s="267"/>
      <c r="F289" s="135"/>
      <c r="G289" s="135"/>
      <c r="H289" s="135"/>
      <c r="I289" s="131"/>
      <c r="J289" s="131"/>
      <c r="K289" s="131"/>
      <c r="L289" s="131"/>
      <c r="M289" s="135"/>
      <c r="N289" s="131"/>
      <c r="O289" s="131"/>
      <c r="P289" s="131"/>
      <c r="Q289" s="131"/>
      <c r="R289" s="217"/>
      <c r="S289" s="219"/>
      <c r="T289" s="219"/>
      <c r="U289" s="217"/>
      <c r="V289" s="217"/>
    </row>
    <row r="290" spans="1:23" ht="25.5" customHeight="1">
      <c r="A290" s="20"/>
      <c r="B290" s="185"/>
      <c r="C290" s="192"/>
      <c r="D290" s="131"/>
      <c r="E290" s="267"/>
      <c r="F290" s="135"/>
      <c r="G290" s="135"/>
      <c r="H290" s="135"/>
      <c r="I290" s="131"/>
      <c r="J290" s="131"/>
      <c r="K290" s="131"/>
      <c r="L290" s="131"/>
      <c r="M290" s="135"/>
      <c r="N290" s="131"/>
      <c r="O290" s="131"/>
      <c r="P290" s="131"/>
      <c r="Q290" s="131"/>
      <c r="R290" s="217"/>
      <c r="S290" s="219"/>
      <c r="T290" s="219"/>
      <c r="U290" s="217"/>
      <c r="V290" s="217"/>
    </row>
    <row r="291" spans="1:23" ht="25.5" customHeight="1">
      <c r="A291" s="20"/>
      <c r="B291" s="185"/>
      <c r="C291" s="192"/>
      <c r="D291" s="131"/>
      <c r="E291" s="267"/>
      <c r="F291" s="135"/>
      <c r="G291" s="135"/>
      <c r="H291" s="135"/>
      <c r="I291" s="131"/>
      <c r="J291" s="131"/>
      <c r="K291" s="131"/>
      <c r="L291" s="131"/>
      <c r="M291" s="135"/>
      <c r="N291" s="131"/>
      <c r="O291" s="131"/>
      <c r="P291" s="131"/>
      <c r="Q291" s="131"/>
      <c r="R291" s="217"/>
      <c r="S291" s="219"/>
      <c r="T291" s="219"/>
      <c r="U291" s="217"/>
      <c r="V291" s="217"/>
    </row>
    <row r="292" spans="1:23" ht="25.5" customHeight="1" thickBot="1">
      <c r="A292" s="15"/>
      <c r="B292" s="53" t="s">
        <v>5</v>
      </c>
      <c r="C292" s="105">
        <f>SUM(C282:C291)</f>
        <v>297750</v>
      </c>
      <c r="D292" s="132">
        <f>SUM(D282:D291)</f>
        <v>0</v>
      </c>
      <c r="E292" s="132">
        <f>SUM(E282:E291)</f>
        <v>189750</v>
      </c>
      <c r="F292" s="132">
        <f>SUM(F282:F291)</f>
        <v>15500</v>
      </c>
      <c r="G292" s="132">
        <f t="shared" ref="G292:V292" si="11">SUM(G282:G291)</f>
        <v>0</v>
      </c>
      <c r="H292" s="132">
        <f>SUM(H282:H291)</f>
        <v>56000</v>
      </c>
      <c r="I292" s="132">
        <f t="shared" si="11"/>
        <v>0</v>
      </c>
      <c r="J292" s="132">
        <f t="shared" si="11"/>
        <v>0</v>
      </c>
      <c r="K292" s="132">
        <f t="shared" si="11"/>
        <v>0</v>
      </c>
      <c r="L292" s="132">
        <f t="shared" si="11"/>
        <v>0</v>
      </c>
      <c r="M292" s="132">
        <f>SUM(M282:M291)</f>
        <v>36500</v>
      </c>
      <c r="N292" s="132">
        <f t="shared" si="11"/>
        <v>0</v>
      </c>
      <c r="O292" s="132">
        <f t="shared" si="11"/>
        <v>0</v>
      </c>
      <c r="P292" s="132">
        <f t="shared" si="11"/>
        <v>0</v>
      </c>
      <c r="Q292" s="132">
        <f t="shared" si="11"/>
        <v>0</v>
      </c>
      <c r="R292" s="132">
        <f t="shared" si="11"/>
        <v>0</v>
      </c>
      <c r="S292" s="132">
        <f t="shared" si="11"/>
        <v>0</v>
      </c>
      <c r="T292" s="132"/>
      <c r="U292" s="132">
        <f t="shared" si="11"/>
        <v>0</v>
      </c>
      <c r="V292" s="132">
        <f t="shared" si="11"/>
        <v>0</v>
      </c>
      <c r="W292" s="318">
        <f>SUM(D292:V292)</f>
        <v>297750</v>
      </c>
    </row>
    <row r="293" spans="1:23" ht="25.5" customHeight="1" thickTop="1" thickBot="1">
      <c r="A293" s="16"/>
      <c r="B293" s="52" t="s">
        <v>49</v>
      </c>
      <c r="C293" s="229">
        <f>+C272+C262+C221+C210+C204++C49+C38+C21+C176+C28+C224</f>
        <v>39148280</v>
      </c>
      <c r="D293" s="229">
        <f>+D272+D262+D221+D210+D204++D49+D38+D21+D176+D28+D224</f>
        <v>731900</v>
      </c>
      <c r="E293" s="229">
        <f t="shared" ref="E293:V293" si="12">+E272+E262+E221+E210+E204++E49+E38+E21+E176+E28+E224</f>
        <v>464753.54</v>
      </c>
      <c r="F293" s="229">
        <f t="shared" si="12"/>
        <v>113490</v>
      </c>
      <c r="G293" s="229">
        <f t="shared" si="12"/>
        <v>0</v>
      </c>
      <c r="H293" s="229">
        <f t="shared" si="12"/>
        <v>236249.34</v>
      </c>
      <c r="I293" s="229">
        <f t="shared" si="12"/>
        <v>0</v>
      </c>
      <c r="J293" s="229">
        <f t="shared" si="12"/>
        <v>0</v>
      </c>
      <c r="K293" s="229">
        <f t="shared" si="12"/>
        <v>0</v>
      </c>
      <c r="L293" s="229">
        <f t="shared" si="12"/>
        <v>0</v>
      </c>
      <c r="M293" s="229">
        <f t="shared" si="12"/>
        <v>114280</v>
      </c>
      <c r="N293" s="229">
        <f t="shared" si="12"/>
        <v>0</v>
      </c>
      <c r="O293" s="229">
        <f t="shared" si="12"/>
        <v>0</v>
      </c>
      <c r="P293" s="229">
        <f t="shared" si="12"/>
        <v>0</v>
      </c>
      <c r="Q293" s="229">
        <f t="shared" si="12"/>
        <v>0</v>
      </c>
      <c r="R293" s="229">
        <f t="shared" si="12"/>
        <v>0</v>
      </c>
      <c r="S293" s="229">
        <f t="shared" si="12"/>
        <v>0</v>
      </c>
      <c r="T293" s="229"/>
      <c r="U293" s="229">
        <f t="shared" si="12"/>
        <v>0</v>
      </c>
      <c r="V293" s="51">
        <f t="shared" si="12"/>
        <v>0</v>
      </c>
    </row>
    <row r="294" spans="1:23" ht="25.5" customHeight="1" thickTop="1" thickBot="1">
      <c r="A294" s="16"/>
      <c r="B294" s="41" t="s">
        <v>25</v>
      </c>
      <c r="C294" s="260">
        <f>+C292+C280+C276+C272+C262+C224+C221+C210+C176+C49+C28+C21+C38++C204</f>
        <v>39446030</v>
      </c>
      <c r="D294" s="260">
        <f>+D292+D280+D276+D272+D262+D224+D221+D210+D176+D49+D28+D21+D38++D204</f>
        <v>731900</v>
      </c>
      <c r="E294" s="260">
        <f>+E292+E280+E276+E272+E262+E224+E221+E210+E176+E49+E28+E21+E38++E204</f>
        <v>654503.54</v>
      </c>
      <c r="F294" s="260">
        <f>+F292+F280+F276+F272+F262+F224+F221+F210+F176+F49+F28+F21+F38++F204</f>
        <v>128990</v>
      </c>
      <c r="G294" s="260">
        <f t="shared" ref="G294:V294" si="13">+G292+G280+G276+G272+G262+G224+G221+G210+G176+G49+G28+G21+G38++G204</f>
        <v>0</v>
      </c>
      <c r="H294" s="260">
        <f>+H292+H280+H276+H272+H262+H224+H221+H210+H176+H49+H28+H21+H38++H204</f>
        <v>292249.33999999997</v>
      </c>
      <c r="I294" s="260">
        <f t="shared" si="13"/>
        <v>0</v>
      </c>
      <c r="J294" s="260">
        <f t="shared" si="13"/>
        <v>0</v>
      </c>
      <c r="K294" s="260">
        <f t="shared" si="13"/>
        <v>0</v>
      </c>
      <c r="L294" s="260">
        <f t="shared" si="13"/>
        <v>0</v>
      </c>
      <c r="M294" s="260">
        <f>+M292+M280+M276+M272+M262+M224+M221+M210+M176+M49+M28+M21+M38++M204</f>
        <v>150780</v>
      </c>
      <c r="N294" s="260">
        <f t="shared" si="13"/>
        <v>0</v>
      </c>
      <c r="O294" s="260">
        <f t="shared" si="13"/>
        <v>0</v>
      </c>
      <c r="P294" s="260">
        <f t="shared" si="13"/>
        <v>0</v>
      </c>
      <c r="Q294" s="260">
        <f t="shared" si="13"/>
        <v>0</v>
      </c>
      <c r="R294" s="260">
        <f t="shared" si="13"/>
        <v>0</v>
      </c>
      <c r="S294" s="260">
        <f t="shared" si="13"/>
        <v>0</v>
      </c>
      <c r="T294" s="260"/>
      <c r="U294" s="260">
        <f t="shared" si="13"/>
        <v>0</v>
      </c>
      <c r="V294" s="309">
        <f t="shared" si="13"/>
        <v>0</v>
      </c>
      <c r="W294" s="319">
        <f>SUM(W5:W292)</f>
        <v>1958422.88</v>
      </c>
    </row>
    <row r="295" spans="1:23" ht="25.5" customHeight="1" thickTop="1">
      <c r="B295" s="246" t="s">
        <v>384</v>
      </c>
      <c r="C295" s="249"/>
      <c r="D295" s="300"/>
      <c r="E295" s="301"/>
      <c r="F295" s="302"/>
      <c r="G295" s="302"/>
      <c r="H295" s="302"/>
      <c r="I295" s="300"/>
      <c r="J295" s="300"/>
      <c r="K295" s="300"/>
      <c r="L295" s="300"/>
      <c r="M295" s="302"/>
      <c r="N295" s="300"/>
      <c r="O295" s="300"/>
      <c r="P295" s="300"/>
      <c r="Q295" s="300"/>
      <c r="R295" s="303"/>
      <c r="S295" s="304"/>
      <c r="T295" s="304"/>
      <c r="U295" s="303"/>
      <c r="V295" s="303"/>
      <c r="W295" s="246" t="s">
        <v>384</v>
      </c>
    </row>
    <row r="296" spans="1:23" ht="25.5" customHeight="1">
      <c r="C296" s="249"/>
      <c r="D296" s="35"/>
      <c r="E296" s="266"/>
      <c r="F296" s="134"/>
      <c r="G296" s="134"/>
      <c r="H296" s="134"/>
      <c r="I296" s="35"/>
      <c r="J296" s="35"/>
      <c r="K296" s="35"/>
      <c r="L296" s="35"/>
      <c r="M296" s="134"/>
      <c r="N296" s="35"/>
      <c r="O296" s="35"/>
      <c r="P296" s="35"/>
      <c r="Q296" s="35"/>
      <c r="R296" s="34"/>
      <c r="S296" s="171"/>
      <c r="T296" s="171"/>
      <c r="U296" s="34"/>
      <c r="V296" s="34"/>
      <c r="W296"/>
    </row>
    <row r="297" spans="1:23" ht="25.5" customHeight="1">
      <c r="C297" s="249"/>
      <c r="D297" s="35"/>
      <c r="E297" s="266"/>
      <c r="F297" s="134"/>
      <c r="G297" s="134"/>
      <c r="H297" s="134"/>
      <c r="I297" s="35"/>
      <c r="J297" s="35"/>
      <c r="K297" s="35"/>
      <c r="L297" s="35"/>
      <c r="M297" s="134"/>
      <c r="N297" s="35"/>
      <c r="O297" s="35"/>
      <c r="P297" s="35"/>
      <c r="Q297" s="35"/>
      <c r="R297" s="34"/>
      <c r="S297" s="171"/>
      <c r="T297" s="171"/>
      <c r="U297" s="34"/>
      <c r="V297" s="34"/>
      <c r="W297" s="253">
        <f>39148280-C293</f>
        <v>0</v>
      </c>
    </row>
    <row r="298" spans="1:23" ht="25.5" customHeight="1">
      <c r="C298" s="182"/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</row>
    <row r="299" spans="1:23" ht="25.5" customHeight="1">
      <c r="C299" s="182"/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</row>
    <row r="300" spans="1:23" ht="25.5" customHeight="1">
      <c r="C300" s="182"/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</row>
    <row r="301" spans="1:23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</row>
    <row r="302" spans="1:23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3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3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4:22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4:22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4:22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4:22" ht="25.5" customHeight="1"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</row>
    <row r="309" spans="4:22" ht="25.5" customHeight="1"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</row>
    <row r="310" spans="4:22" ht="25.5" customHeight="1"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</row>
    <row r="311" spans="4:22" ht="25.5" customHeight="1"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</row>
    <row r="312" spans="4:22" ht="25.5" customHeight="1"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</row>
    <row r="313" spans="4:22" ht="25.5" customHeight="1"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</row>
    <row r="314" spans="4:22" ht="25.5" customHeight="1"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</row>
    <row r="315" spans="4:22" ht="25.5" customHeight="1"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</row>
    <row r="316" spans="4:22" ht="25.5" customHeight="1"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</row>
    <row r="317" spans="4:22" ht="25.5" customHeight="1"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</row>
    <row r="318" spans="4:22" ht="25.5" customHeight="1"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</row>
    <row r="319" spans="4:22" ht="25.5" customHeight="1"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</row>
    <row r="320" spans="4:22" ht="25.5" customHeight="1"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</row>
    <row r="321" spans="4:22" ht="25.5" customHeight="1"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</row>
    <row r="322" spans="4:22" ht="25.5" customHeight="1"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</row>
    <row r="323" spans="4:22" ht="25.5" customHeight="1"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</row>
    <row r="324" spans="4:22" ht="25.5" customHeight="1"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</row>
    <row r="325" spans="4:22" ht="25.5" customHeight="1"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</row>
    <row r="326" spans="4:22" ht="25.5" customHeight="1"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</row>
    <row r="327" spans="4:22" ht="25.5" customHeight="1"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</row>
    <row r="328" spans="4:22" ht="25.5" customHeight="1"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</row>
    <row r="329" spans="4:22" ht="25.5" customHeight="1"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</row>
    <row r="330" spans="4:22" ht="25.5" customHeight="1"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</row>
    <row r="331" spans="4:22" ht="25.5" customHeight="1"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</row>
    <row r="332" spans="4:22" ht="25.5" customHeight="1"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</row>
    <row r="333" spans="4:22" ht="25.5" customHeight="1"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</row>
    <row r="334" spans="4:22" ht="25.5" customHeight="1"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</row>
    <row r="335" spans="4:22" ht="25.5" customHeight="1"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</row>
    <row r="336" spans="4:22" ht="25.5" customHeight="1"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</row>
    <row r="337" spans="4:22" ht="25.5" customHeight="1"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</row>
    <row r="338" spans="4:22" ht="25.5" customHeight="1"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</row>
    <row r="339" spans="4:22" ht="25.5" customHeight="1"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</row>
    <row r="340" spans="4:22" ht="25.5" customHeight="1"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</row>
    <row r="341" spans="4:22" ht="25.5" customHeight="1"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</row>
    <row r="342" spans="4:22" ht="25.5" customHeight="1"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</row>
    <row r="343" spans="4:22" ht="25.5" customHeight="1"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</row>
    <row r="344" spans="4:22" ht="25.5" customHeight="1"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</row>
    <row r="345" spans="4:22" ht="25.5" customHeight="1"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</row>
    <row r="346" spans="4:22" ht="25.5" customHeight="1"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</row>
    <row r="347" spans="4:22" ht="25.5" customHeight="1"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</row>
    <row r="348" spans="4:22" ht="25.5" customHeight="1"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</row>
    <row r="349" spans="4:22" ht="25.5" customHeight="1"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</row>
    <row r="350" spans="4:22" ht="25.5" customHeight="1"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</row>
    <row r="351" spans="4:22" ht="25.5" customHeight="1"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</row>
    <row r="352" spans="4:22" ht="25.5" customHeight="1"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</row>
    <row r="353" spans="4:22" ht="25.5" customHeight="1"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</row>
    <row r="354" spans="4:22" ht="25.5" customHeight="1"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</row>
    <row r="355" spans="4:22" ht="25.5" customHeight="1"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</row>
    <row r="356" spans="4:22" ht="25.5" customHeight="1"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</row>
    <row r="357" spans="4:22" ht="25.5" customHeight="1"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</row>
    <row r="358" spans="4:22" ht="25.5" customHeight="1"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</row>
    <row r="359" spans="4:22" ht="25.5" customHeight="1"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</row>
    <row r="360" spans="4:22" ht="25.5" customHeight="1"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</row>
    <row r="361" spans="4:22" ht="25.5" customHeight="1"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</row>
    <row r="362" spans="4:22" ht="25.5" customHeight="1"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</row>
    <row r="363" spans="4:22" ht="25.5" customHeight="1"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</row>
    <row r="364" spans="4:22" ht="25.5" customHeight="1"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</row>
    <row r="365" spans="4:22" ht="25.5" customHeight="1"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</row>
    <row r="366" spans="4:22" ht="25.5" customHeight="1"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</row>
    <row r="367" spans="4:22" ht="25.5" customHeight="1"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</row>
    <row r="368" spans="4:22" ht="25.5" customHeight="1"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</row>
    <row r="369" spans="4:22" ht="25.5" customHeight="1"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</row>
    <row r="370" spans="4:22" ht="25.5" customHeight="1"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</row>
    <row r="371" spans="4:22" ht="25.5" customHeight="1"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</row>
    <row r="372" spans="4:22" ht="25.5" customHeight="1"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</row>
    <row r="373" spans="4:22" ht="25.5" customHeight="1"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</row>
    <row r="374" spans="4:22" ht="25.5" customHeight="1"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</row>
    <row r="375" spans="4:22" ht="25.5" customHeight="1"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</row>
    <row r="376" spans="4:22" ht="25.5" customHeight="1"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</row>
    <row r="377" spans="4:22" ht="25.5" customHeight="1"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</row>
    <row r="378" spans="4:22" ht="25.5" customHeight="1">
      <c r="D378" s="181"/>
      <c r="E378" s="272"/>
      <c r="F378" s="265"/>
      <c r="G378" s="265"/>
      <c r="H378" s="265"/>
      <c r="I378" s="181"/>
      <c r="J378" s="181"/>
      <c r="K378" s="181"/>
      <c r="L378" s="181"/>
      <c r="M378" s="265"/>
      <c r="N378" s="181"/>
      <c r="O378" s="181"/>
      <c r="P378" s="181"/>
      <c r="Q378" s="181"/>
      <c r="R378" s="221"/>
      <c r="S378" s="234"/>
      <c r="T378" s="234"/>
      <c r="U378" s="221"/>
      <c r="V378" s="221"/>
    </row>
    <row r="379" spans="4:22" ht="25.5" customHeight="1">
      <c r="D379" s="181"/>
      <c r="E379" s="272"/>
      <c r="F379" s="265"/>
      <c r="G379" s="265"/>
      <c r="H379" s="265"/>
      <c r="I379" s="181"/>
      <c r="J379" s="181"/>
      <c r="K379" s="181"/>
      <c r="L379" s="181"/>
      <c r="M379" s="265"/>
      <c r="N379" s="181"/>
      <c r="O379" s="181"/>
      <c r="P379" s="181"/>
      <c r="Q379" s="181"/>
      <c r="R379" s="221"/>
      <c r="S379" s="234"/>
      <c r="T379" s="234"/>
      <c r="U379" s="221"/>
      <c r="V379" s="221"/>
    </row>
    <row r="380" spans="4:22" ht="25.5" customHeight="1">
      <c r="D380" s="181"/>
      <c r="E380" s="272"/>
      <c r="F380" s="265"/>
      <c r="G380" s="265"/>
      <c r="H380" s="265"/>
      <c r="I380" s="181"/>
      <c r="J380" s="181"/>
      <c r="K380" s="181"/>
      <c r="L380" s="181"/>
      <c r="M380" s="265"/>
      <c r="N380" s="181"/>
      <c r="O380" s="181"/>
      <c r="P380" s="181"/>
      <c r="Q380" s="181"/>
      <c r="R380" s="221"/>
      <c r="S380" s="234"/>
      <c r="T380" s="234"/>
      <c r="U380" s="221"/>
      <c r="V380" s="221"/>
    </row>
    <row r="381" spans="4:22" ht="25.5" customHeight="1">
      <c r="D381" s="181"/>
      <c r="E381" s="272"/>
      <c r="F381" s="265"/>
      <c r="G381" s="265"/>
      <c r="H381" s="265"/>
      <c r="I381" s="181"/>
      <c r="J381" s="181"/>
      <c r="K381" s="181"/>
      <c r="L381" s="181"/>
      <c r="M381" s="265"/>
      <c r="N381" s="181"/>
      <c r="O381" s="181"/>
      <c r="P381" s="181"/>
      <c r="Q381" s="181"/>
      <c r="R381" s="221"/>
      <c r="S381" s="234"/>
      <c r="T381" s="234"/>
      <c r="U381" s="221"/>
      <c r="V381" s="221"/>
    </row>
  </sheetData>
  <mergeCells count="32">
    <mergeCell ref="N7:N8"/>
    <mergeCell ref="Q5:Q6"/>
    <mergeCell ref="U5:U6"/>
    <mergeCell ref="R5:S6"/>
    <mergeCell ref="M5:P6"/>
    <mergeCell ref="M7:M8"/>
    <mergeCell ref="K5:K6"/>
    <mergeCell ref="F7:F8"/>
    <mergeCell ref="A1:V1"/>
    <mergeCell ref="A2:V2"/>
    <mergeCell ref="A3:V3"/>
    <mergeCell ref="A5:B8"/>
    <mergeCell ref="P7:P8"/>
    <mergeCell ref="H5:J6"/>
    <mergeCell ref="O7:O8"/>
    <mergeCell ref="J7:J8"/>
    <mergeCell ref="D7:D8"/>
    <mergeCell ref="D5:D6"/>
    <mergeCell ref="E7:E8"/>
    <mergeCell ref="E5:F6"/>
    <mergeCell ref="I7:I8"/>
    <mergeCell ref="H7:H8"/>
    <mergeCell ref="V5:V6"/>
    <mergeCell ref="Q7:Q8"/>
    <mergeCell ref="G7:G8"/>
    <mergeCell ref="K7:K8"/>
    <mergeCell ref="R7:R8"/>
    <mergeCell ref="V7:V8"/>
    <mergeCell ref="G5:G6"/>
    <mergeCell ref="L5:L6"/>
    <mergeCell ref="U7:U8"/>
    <mergeCell ref="S7:S8"/>
  </mergeCells>
  <pageMargins left="0.15748031496062992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4"/>
  </sheetPr>
  <dimension ref="A1:W381"/>
  <sheetViews>
    <sheetView workbookViewId="0">
      <pane ySplit="8" topLeftCell="A136" activePane="bottomLeft" state="frozen"/>
      <selection activeCell="J212" sqref="J212"/>
      <selection pane="bottomLeft" activeCell="B142" sqref="B142"/>
    </sheetView>
  </sheetViews>
  <sheetFormatPr defaultRowHeight="25.5" customHeight="1"/>
  <cols>
    <col min="1" max="1" width="1.140625" style="60" customWidth="1"/>
    <col min="2" max="2" width="17.140625" style="60" customWidth="1"/>
    <col min="3" max="3" width="10.42578125" style="64" customWidth="1"/>
    <col min="4" max="4" width="8.85546875" style="64" customWidth="1"/>
    <col min="5" max="5" width="9.5703125" style="488" customWidth="1"/>
    <col min="6" max="6" width="9.140625" style="434" customWidth="1"/>
    <col min="7" max="7" width="8" style="434" customWidth="1"/>
    <col min="8" max="8" width="9.28515625" style="434" customWidth="1"/>
    <col min="9" max="9" width="10" style="64" customWidth="1"/>
    <col min="10" max="10" width="7.5703125" style="64" customWidth="1"/>
    <col min="11" max="11" width="7.42578125" style="64" customWidth="1"/>
    <col min="12" max="12" width="0.5703125" style="64" customWidth="1"/>
    <col min="13" max="13" width="8.85546875" style="434" customWidth="1"/>
    <col min="14" max="14" width="9" style="64" customWidth="1"/>
    <col min="15" max="15" width="0.7109375" style="64" customWidth="1"/>
    <col min="16" max="16" width="7.28515625" style="64" customWidth="1"/>
    <col min="17" max="17" width="0.42578125" style="64" customWidth="1"/>
    <col min="18" max="18" width="7.140625" style="60" customWidth="1"/>
    <col min="19" max="19" width="8" style="487" customWidth="1"/>
    <col min="20" max="20" width="0.5703125" style="60" customWidth="1"/>
    <col min="21" max="21" width="6.42578125" style="60" customWidth="1"/>
    <col min="22" max="22" width="20.85546875" style="310" customWidth="1"/>
  </cols>
  <sheetData>
    <row r="1" spans="1:23" s="1" customFormat="1" ht="21.75" customHeight="1">
      <c r="A1" s="710" t="s">
        <v>274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  <c r="T1" s="710"/>
      <c r="U1" s="710"/>
      <c r="V1" s="310"/>
    </row>
    <row r="2" spans="1:23" s="1" customFormat="1" ht="21.75" customHeight="1">
      <c r="A2" s="711" t="s">
        <v>207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1"/>
      <c r="Q2" s="711"/>
      <c r="R2" s="711"/>
      <c r="S2" s="711"/>
      <c r="T2" s="711"/>
      <c r="U2" s="711"/>
      <c r="V2" s="310"/>
    </row>
    <row r="3" spans="1:23" s="1" customFormat="1" ht="21.75" customHeight="1">
      <c r="A3" s="712" t="s">
        <v>430</v>
      </c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712"/>
      <c r="S3" s="712"/>
      <c r="T3" s="712"/>
      <c r="U3" s="712"/>
      <c r="V3" s="310"/>
    </row>
    <row r="4" spans="1:23" s="34" customFormat="1" ht="4.5" customHeight="1">
      <c r="A4" s="59"/>
      <c r="B4" s="59"/>
      <c r="C4" s="433"/>
      <c r="D4" s="433"/>
      <c r="E4" s="436"/>
      <c r="F4" s="437"/>
      <c r="G4" s="437"/>
      <c r="H4" s="437"/>
      <c r="I4" s="433"/>
      <c r="J4" s="433"/>
      <c r="K4" s="433"/>
      <c r="L4" s="433"/>
      <c r="M4" s="437"/>
      <c r="N4" s="433"/>
      <c r="O4" s="433"/>
      <c r="P4" s="433"/>
      <c r="Q4" s="433"/>
      <c r="R4" s="59"/>
      <c r="S4" s="438"/>
      <c r="T4" s="59"/>
      <c r="U4" s="59"/>
      <c r="V4" s="311"/>
    </row>
    <row r="5" spans="1:23" s="2" customFormat="1" ht="25.5" customHeight="1">
      <c r="A5" s="713" t="s">
        <v>1</v>
      </c>
      <c r="B5" s="714"/>
      <c r="C5" s="404"/>
      <c r="D5" s="697" t="s">
        <v>26</v>
      </c>
      <c r="E5" s="697" t="s">
        <v>27</v>
      </c>
      <c r="F5" s="697"/>
      <c r="G5" s="698" t="s">
        <v>425</v>
      </c>
      <c r="H5" s="699" t="s">
        <v>29</v>
      </c>
      <c r="I5" s="700"/>
      <c r="J5" s="701"/>
      <c r="K5" s="697" t="s">
        <v>30</v>
      </c>
      <c r="L5" s="705" t="s">
        <v>216</v>
      </c>
      <c r="M5" s="699" t="s">
        <v>31</v>
      </c>
      <c r="N5" s="700"/>
      <c r="O5" s="700"/>
      <c r="P5" s="701"/>
      <c r="Q5" s="705" t="s">
        <v>32</v>
      </c>
      <c r="R5" s="699" t="s">
        <v>62</v>
      </c>
      <c r="S5" s="701"/>
      <c r="T5" s="705" t="s">
        <v>63</v>
      </c>
      <c r="U5" s="705" t="s">
        <v>64</v>
      </c>
      <c r="V5" s="312"/>
    </row>
    <row r="6" spans="1:23" s="2" customFormat="1" ht="33.75" customHeight="1">
      <c r="A6" s="715"/>
      <c r="B6" s="716"/>
      <c r="C6" s="405"/>
      <c r="D6" s="697"/>
      <c r="E6" s="697"/>
      <c r="F6" s="697"/>
      <c r="G6" s="698"/>
      <c r="H6" s="702"/>
      <c r="I6" s="703"/>
      <c r="J6" s="704"/>
      <c r="K6" s="697"/>
      <c r="L6" s="706"/>
      <c r="M6" s="702"/>
      <c r="N6" s="703"/>
      <c r="O6" s="703"/>
      <c r="P6" s="704"/>
      <c r="Q6" s="706"/>
      <c r="R6" s="702"/>
      <c r="S6" s="704"/>
      <c r="T6" s="706"/>
      <c r="U6" s="706"/>
      <c r="V6" s="312"/>
    </row>
    <row r="7" spans="1:23" s="2" customFormat="1" ht="25.5" customHeight="1">
      <c r="A7" s="715"/>
      <c r="B7" s="716"/>
      <c r="C7" s="405"/>
      <c r="D7" s="697" t="s">
        <v>33</v>
      </c>
      <c r="E7" s="707" t="s">
        <v>34</v>
      </c>
      <c r="F7" s="698" t="s">
        <v>35</v>
      </c>
      <c r="G7" s="698" t="s">
        <v>36</v>
      </c>
      <c r="H7" s="698" t="s">
        <v>37</v>
      </c>
      <c r="I7" s="705" t="s">
        <v>38</v>
      </c>
      <c r="J7" s="705" t="s">
        <v>39</v>
      </c>
      <c r="K7" s="697" t="s">
        <v>40</v>
      </c>
      <c r="L7" s="439" t="s">
        <v>217</v>
      </c>
      <c r="M7" s="709" t="s">
        <v>37</v>
      </c>
      <c r="N7" s="697" t="s">
        <v>41</v>
      </c>
      <c r="O7" s="705" t="s">
        <v>219</v>
      </c>
      <c r="P7" s="705" t="s">
        <v>42</v>
      </c>
      <c r="Q7" s="705" t="s">
        <v>43</v>
      </c>
      <c r="R7" s="697" t="s">
        <v>410</v>
      </c>
      <c r="S7" s="698" t="s">
        <v>66</v>
      </c>
      <c r="T7" s="697" t="s">
        <v>67</v>
      </c>
      <c r="U7" s="697" t="s">
        <v>68</v>
      </c>
      <c r="V7" s="312"/>
    </row>
    <row r="8" spans="1:23" s="2" customFormat="1" ht="26.25" customHeight="1">
      <c r="A8" s="717"/>
      <c r="B8" s="718"/>
      <c r="C8" s="406"/>
      <c r="D8" s="697"/>
      <c r="E8" s="708"/>
      <c r="F8" s="698"/>
      <c r="G8" s="698"/>
      <c r="H8" s="698"/>
      <c r="I8" s="706"/>
      <c r="J8" s="706"/>
      <c r="K8" s="697"/>
      <c r="L8" s="440" t="s">
        <v>218</v>
      </c>
      <c r="M8" s="709"/>
      <c r="N8" s="697"/>
      <c r="O8" s="706"/>
      <c r="P8" s="706"/>
      <c r="Q8" s="706"/>
      <c r="R8" s="697"/>
      <c r="S8" s="698"/>
      <c r="T8" s="697"/>
      <c r="U8" s="697"/>
      <c r="V8" s="313"/>
      <c r="W8" s="166"/>
    </row>
    <row r="9" spans="1:23" ht="25.5" customHeight="1">
      <c r="A9" s="441" t="s">
        <v>3</v>
      </c>
      <c r="B9" s="382"/>
      <c r="C9" s="407"/>
      <c r="D9" s="442"/>
      <c r="E9" s="443"/>
      <c r="F9" s="444"/>
      <c r="G9" s="444"/>
      <c r="H9" s="444"/>
      <c r="I9" s="442"/>
      <c r="J9" s="442"/>
      <c r="K9" s="442"/>
      <c r="L9" s="442"/>
      <c r="M9" s="444"/>
      <c r="N9" s="442"/>
      <c r="O9" s="442"/>
      <c r="P9" s="442"/>
      <c r="Q9" s="442"/>
      <c r="R9" s="445"/>
      <c r="S9" s="446"/>
      <c r="T9" s="445"/>
      <c r="U9" s="445"/>
    </row>
    <row r="10" spans="1:23" ht="25.5" customHeight="1">
      <c r="A10" s="447"/>
      <c r="B10" s="383" t="s">
        <v>4</v>
      </c>
      <c r="C10" s="408">
        <v>130062</v>
      </c>
      <c r="D10" s="442">
        <f>+'ต.ค.-ธ.ค.'!D10+'ม.ค.-มี.ค.'!D10+'เม.ย.-มิ.ย.'!D10</f>
        <v>92240</v>
      </c>
      <c r="E10" s="443"/>
      <c r="F10" s="444"/>
      <c r="G10" s="444"/>
      <c r="H10" s="444"/>
      <c r="I10" s="442"/>
      <c r="J10" s="442"/>
      <c r="K10" s="442"/>
      <c r="L10" s="442"/>
      <c r="M10" s="444"/>
      <c r="N10" s="442"/>
      <c r="O10" s="442"/>
      <c r="P10" s="442"/>
      <c r="Q10" s="442"/>
      <c r="R10" s="445"/>
      <c r="S10" s="446"/>
      <c r="T10" s="445"/>
      <c r="U10" s="445"/>
    </row>
    <row r="11" spans="1:23" ht="25.5" customHeight="1">
      <c r="A11" s="447"/>
      <c r="B11" s="383" t="s">
        <v>221</v>
      </c>
      <c r="C11" s="408">
        <v>13680</v>
      </c>
      <c r="D11" s="442">
        <f>+'ต.ค.-ธ.ค.'!D11+'ม.ค.-มี.ค.'!D11+'เม.ย.-มิ.ย.'!D11</f>
        <v>9120</v>
      </c>
      <c r="E11" s="443"/>
      <c r="F11" s="444"/>
      <c r="G11" s="444"/>
      <c r="H11" s="444"/>
      <c r="I11" s="442"/>
      <c r="J11" s="442"/>
      <c r="K11" s="442"/>
      <c r="L11" s="442"/>
      <c r="M11" s="444"/>
      <c r="N11" s="442"/>
      <c r="O11" s="442"/>
      <c r="P11" s="442"/>
      <c r="Q11" s="442"/>
      <c r="R11" s="445"/>
      <c r="S11" s="446"/>
      <c r="T11" s="445"/>
      <c r="U11" s="445"/>
    </row>
    <row r="12" spans="1:23" ht="25.5" customHeight="1">
      <c r="A12" s="447"/>
      <c r="B12" s="383" t="s">
        <v>45</v>
      </c>
      <c r="C12" s="408">
        <v>6548400</v>
      </c>
      <c r="D12" s="442">
        <f>+'ต.ค.-ธ.ค.'!D12+'ม.ค.-มี.ค.'!D12+'เม.ย.-มิ.ย.'!D12</f>
        <v>4775500</v>
      </c>
      <c r="E12" s="443"/>
      <c r="F12" s="444"/>
      <c r="G12" s="444"/>
      <c r="H12" s="444"/>
      <c r="I12" s="442"/>
      <c r="J12" s="442"/>
      <c r="K12" s="442"/>
      <c r="L12" s="442"/>
      <c r="M12" s="444"/>
      <c r="N12" s="442"/>
      <c r="O12" s="442"/>
      <c r="P12" s="442"/>
      <c r="Q12" s="442"/>
      <c r="R12" s="445"/>
      <c r="S12" s="446"/>
      <c r="T12" s="445"/>
      <c r="U12" s="445"/>
    </row>
    <row r="13" spans="1:23" ht="25.5" customHeight="1">
      <c r="A13" s="448"/>
      <c r="B13" s="383" t="s">
        <v>75</v>
      </c>
      <c r="C13" s="408">
        <v>18000</v>
      </c>
      <c r="D13" s="442">
        <f>+'ต.ค.-ธ.ค.'!D13+'ม.ค.-มี.ค.'!D13+'เม.ย.-มิ.ย.'!D13</f>
        <v>13500</v>
      </c>
      <c r="E13" s="443"/>
      <c r="F13" s="444"/>
      <c r="G13" s="444"/>
      <c r="H13" s="444"/>
      <c r="I13" s="442"/>
      <c r="J13" s="442"/>
      <c r="K13" s="442"/>
      <c r="L13" s="442"/>
      <c r="M13" s="444"/>
      <c r="N13" s="442"/>
      <c r="O13" s="442"/>
      <c r="P13" s="442"/>
      <c r="Q13" s="442"/>
      <c r="R13" s="445"/>
      <c r="S13" s="446"/>
      <c r="T13" s="445"/>
      <c r="U13" s="445"/>
    </row>
    <row r="14" spans="1:23" ht="25.5" customHeight="1">
      <c r="A14" s="448"/>
      <c r="B14" s="383" t="s">
        <v>222</v>
      </c>
      <c r="C14" s="408">
        <v>2620800</v>
      </c>
      <c r="D14" s="442">
        <f>+'ต.ค.-ธ.ค.'!D14+'ม.ค.-มี.ค.'!D14+'เม.ย.-มิ.ย.'!D14</f>
        <v>1781600</v>
      </c>
      <c r="E14" s="443"/>
      <c r="F14" s="444"/>
      <c r="G14" s="444"/>
      <c r="H14" s="444"/>
      <c r="I14" s="442"/>
      <c r="J14" s="442"/>
      <c r="K14" s="442"/>
      <c r="L14" s="442"/>
      <c r="M14" s="444"/>
      <c r="N14" s="442"/>
      <c r="O14" s="442"/>
      <c r="P14" s="442"/>
      <c r="Q14" s="442"/>
      <c r="R14" s="445"/>
      <c r="S14" s="446"/>
      <c r="T14" s="445"/>
      <c r="U14" s="445"/>
    </row>
    <row r="15" spans="1:23" ht="25.5" customHeight="1">
      <c r="A15" s="61"/>
      <c r="B15" s="383" t="s">
        <v>209</v>
      </c>
      <c r="C15" s="408">
        <v>151291</v>
      </c>
      <c r="D15" s="442">
        <f>+'ต.ค.-ธ.ค.'!D15+'ม.ค.-มี.ค.'!D15+'เม.ย.-มิ.ย.'!D15</f>
        <v>150410</v>
      </c>
      <c r="E15" s="443"/>
      <c r="F15" s="444"/>
      <c r="G15" s="444"/>
      <c r="H15" s="444"/>
      <c r="I15" s="442"/>
      <c r="J15" s="442"/>
      <c r="K15" s="442"/>
      <c r="L15" s="442"/>
      <c r="M15" s="444"/>
      <c r="N15" s="442"/>
      <c r="O15" s="442"/>
      <c r="P15" s="442"/>
      <c r="Q15" s="442"/>
      <c r="R15" s="445"/>
      <c r="S15" s="446"/>
      <c r="T15" s="445"/>
      <c r="U15" s="445"/>
    </row>
    <row r="16" spans="1:23" ht="25.5" customHeight="1">
      <c r="A16" s="61"/>
      <c r="B16" s="383" t="s">
        <v>77</v>
      </c>
      <c r="C16" s="408">
        <v>29000</v>
      </c>
      <c r="D16" s="442">
        <f>+'ต.ค.-ธ.ค.'!D16+'ม.ค.-มี.ค.'!D16+'เม.ย.-มิ.ย.'!D16</f>
        <v>28939.279999999999</v>
      </c>
      <c r="E16" s="443"/>
      <c r="F16" s="444"/>
      <c r="G16" s="444"/>
      <c r="H16" s="444"/>
      <c r="I16" s="442"/>
      <c r="J16" s="442"/>
      <c r="K16" s="442"/>
      <c r="L16" s="442"/>
      <c r="M16" s="444"/>
      <c r="N16" s="442"/>
      <c r="O16" s="442"/>
      <c r="P16" s="442"/>
      <c r="Q16" s="442"/>
      <c r="R16" s="445"/>
      <c r="S16" s="446"/>
      <c r="T16" s="445"/>
      <c r="U16" s="445"/>
    </row>
    <row r="17" spans="1:22" ht="25.5" customHeight="1">
      <c r="A17" s="61"/>
      <c r="B17" s="383" t="s">
        <v>78</v>
      </c>
      <c r="C17" s="408">
        <v>216399</v>
      </c>
      <c r="D17" s="442">
        <f>+'ต.ค.-ธ.ค.'!D17+'ม.ค.-มี.ค.'!D17+'เม.ย.-มิ.ย.'!D17</f>
        <v>216399</v>
      </c>
      <c r="E17" s="443"/>
      <c r="F17" s="444"/>
      <c r="G17" s="444"/>
      <c r="H17" s="444"/>
      <c r="I17" s="442"/>
      <c r="J17" s="442"/>
      <c r="K17" s="442"/>
      <c r="L17" s="442"/>
      <c r="M17" s="444"/>
      <c r="N17" s="442"/>
      <c r="O17" s="442"/>
      <c r="P17" s="442"/>
      <c r="Q17" s="442"/>
      <c r="R17" s="445"/>
      <c r="S17" s="446"/>
      <c r="T17" s="445"/>
      <c r="U17" s="445"/>
    </row>
    <row r="18" spans="1:22" ht="25.5" customHeight="1">
      <c r="A18" s="61"/>
      <c r="B18" s="10" t="s">
        <v>220</v>
      </c>
      <c r="C18" s="409">
        <v>15000</v>
      </c>
      <c r="D18" s="442">
        <f>+'ต.ค.-ธ.ค.'!D18+'ม.ค.-มี.ค.'!D18+'เม.ย.-มิ.ย.'!D18</f>
        <v>15000</v>
      </c>
      <c r="E18" s="443"/>
      <c r="F18" s="444"/>
      <c r="G18" s="444"/>
      <c r="H18" s="444"/>
      <c r="I18" s="442"/>
      <c r="J18" s="442"/>
      <c r="K18" s="442"/>
      <c r="L18" s="442"/>
      <c r="M18" s="444"/>
      <c r="N18" s="442"/>
      <c r="O18" s="442"/>
      <c r="P18" s="442"/>
      <c r="Q18" s="442"/>
      <c r="R18" s="445"/>
      <c r="S18" s="446"/>
      <c r="T18" s="445"/>
      <c r="U18" s="445"/>
    </row>
    <row r="19" spans="1:22" ht="25.5" customHeight="1">
      <c r="A19" s="61"/>
      <c r="B19" s="384" t="s">
        <v>81</v>
      </c>
      <c r="C19" s="409">
        <f>344150-20000</f>
        <v>324150</v>
      </c>
      <c r="D19" s="442">
        <f>+'ต.ค.-ธ.ค.'!D19+'ม.ค.-มี.ค.'!D19+'เม.ย.-มิ.ย.'!D19</f>
        <v>344150</v>
      </c>
      <c r="E19" s="443"/>
      <c r="F19" s="444"/>
      <c r="G19" s="444"/>
      <c r="H19" s="444"/>
      <c r="I19" s="442"/>
      <c r="J19" s="442"/>
      <c r="K19" s="442"/>
      <c r="L19" s="442"/>
      <c r="M19" s="444"/>
      <c r="N19" s="442"/>
      <c r="O19" s="442"/>
      <c r="P19" s="442"/>
      <c r="Q19" s="442"/>
      <c r="R19" s="445"/>
      <c r="S19" s="446"/>
      <c r="T19" s="445"/>
      <c r="U19" s="445"/>
    </row>
    <row r="20" spans="1:22" ht="25.5" customHeight="1">
      <c r="A20" s="61"/>
      <c r="B20" s="385" t="s">
        <v>424</v>
      </c>
      <c r="C20" s="410">
        <v>70650</v>
      </c>
      <c r="D20" s="442">
        <f>+'ต.ค.-ธ.ค.'!D20+'ม.ค.-มี.ค.'!D20+'เม.ย.-มิ.ย.'!D20</f>
        <v>70650</v>
      </c>
      <c r="E20" s="443"/>
      <c r="F20" s="449"/>
      <c r="G20" s="449"/>
      <c r="H20" s="449"/>
      <c r="I20" s="450"/>
      <c r="J20" s="450"/>
      <c r="K20" s="450"/>
      <c r="L20" s="450"/>
      <c r="M20" s="449"/>
      <c r="N20" s="450"/>
      <c r="O20" s="450"/>
      <c r="P20" s="450"/>
      <c r="Q20" s="450"/>
      <c r="R20" s="451"/>
      <c r="S20" s="452"/>
      <c r="T20" s="451"/>
      <c r="U20" s="451"/>
    </row>
    <row r="21" spans="1:22" ht="25.5" customHeight="1" thickBot="1">
      <c r="A21" s="453"/>
      <c r="B21" s="386" t="s">
        <v>5</v>
      </c>
      <c r="C21" s="411">
        <f>SUM(C10:C20)</f>
        <v>10137432</v>
      </c>
      <c r="D21" s="454">
        <f>SUM(D10:D20)</f>
        <v>7497508.2800000003</v>
      </c>
      <c r="E21" s="455">
        <f t="shared" ref="E21:U21" si="0">SUM(E10:E19)</f>
        <v>0</v>
      </c>
      <c r="F21" s="456">
        <f t="shared" si="0"/>
        <v>0</v>
      </c>
      <c r="G21" s="456">
        <f t="shared" si="0"/>
        <v>0</v>
      </c>
      <c r="H21" s="456">
        <f t="shared" si="0"/>
        <v>0</v>
      </c>
      <c r="I21" s="457">
        <f t="shared" si="0"/>
        <v>0</v>
      </c>
      <c r="J21" s="457">
        <f t="shared" si="0"/>
        <v>0</v>
      </c>
      <c r="K21" s="457">
        <f t="shared" si="0"/>
        <v>0</v>
      </c>
      <c r="L21" s="457">
        <f t="shared" si="0"/>
        <v>0</v>
      </c>
      <c r="M21" s="456">
        <f t="shared" si="0"/>
        <v>0</v>
      </c>
      <c r="N21" s="457">
        <f t="shared" si="0"/>
        <v>0</v>
      </c>
      <c r="O21" s="457">
        <f t="shared" si="0"/>
        <v>0</v>
      </c>
      <c r="P21" s="457">
        <f t="shared" si="0"/>
        <v>0</v>
      </c>
      <c r="Q21" s="457">
        <f t="shared" si="0"/>
        <v>0</v>
      </c>
      <c r="R21" s="457">
        <f t="shared" si="0"/>
        <v>0</v>
      </c>
      <c r="S21" s="457">
        <f t="shared" si="0"/>
        <v>0</v>
      </c>
      <c r="T21" s="457">
        <f t="shared" si="0"/>
        <v>0</v>
      </c>
      <c r="U21" s="457">
        <f t="shared" si="0"/>
        <v>0</v>
      </c>
      <c r="V21" s="314">
        <f>SUM(D21:U21)</f>
        <v>7497508.2800000003</v>
      </c>
    </row>
    <row r="22" spans="1:22" ht="25.5" customHeight="1" thickTop="1">
      <c r="A22" s="447" t="s">
        <v>82</v>
      </c>
      <c r="B22" s="10"/>
      <c r="C22" s="412"/>
      <c r="D22" s="458"/>
      <c r="E22" s="459"/>
      <c r="F22" s="460"/>
      <c r="G22" s="460"/>
      <c r="H22" s="460"/>
      <c r="I22" s="458"/>
      <c r="J22" s="458"/>
      <c r="K22" s="458"/>
      <c r="L22" s="458"/>
      <c r="M22" s="460"/>
      <c r="N22" s="458"/>
      <c r="O22" s="458"/>
      <c r="P22" s="458"/>
      <c r="Q22" s="458"/>
      <c r="R22" s="445"/>
      <c r="S22" s="446"/>
      <c r="T22" s="461"/>
      <c r="U22" s="461"/>
    </row>
    <row r="23" spans="1:22" ht="25.5" customHeight="1">
      <c r="A23" s="61"/>
      <c r="B23" s="383" t="s">
        <v>6</v>
      </c>
      <c r="C23" s="408">
        <v>695520</v>
      </c>
      <c r="D23" s="442"/>
      <c r="E23" s="443">
        <f>+'ต.ค.-ธ.ค.'!E23+'ม.ค.-มี.ค.'!E23+'เม.ย.-มิ.ย.'!E23</f>
        <v>510377</v>
      </c>
      <c r="F23" s="444"/>
      <c r="G23" s="444"/>
      <c r="H23" s="444"/>
      <c r="I23" s="442"/>
      <c r="J23" s="442"/>
      <c r="K23" s="442"/>
      <c r="L23" s="442"/>
      <c r="M23" s="444"/>
      <c r="N23" s="442"/>
      <c r="O23" s="442"/>
      <c r="P23" s="442"/>
      <c r="Q23" s="442"/>
      <c r="R23" s="445"/>
      <c r="S23" s="446"/>
      <c r="T23" s="445"/>
      <c r="U23" s="445"/>
    </row>
    <row r="24" spans="1:22" ht="25.5" customHeight="1">
      <c r="A24" s="61"/>
      <c r="B24" s="383" t="s">
        <v>83</v>
      </c>
      <c r="C24" s="408">
        <v>120000</v>
      </c>
      <c r="D24" s="442"/>
      <c r="E24" s="443">
        <f>+'ต.ค.-ธ.ค.'!E24+'ม.ค.-มี.ค.'!E24+'เม.ย.-มิ.ย.'!E24</f>
        <v>87774</v>
      </c>
      <c r="F24" s="444"/>
      <c r="G24" s="444"/>
      <c r="H24" s="444"/>
      <c r="I24" s="442"/>
      <c r="J24" s="442"/>
      <c r="K24" s="442"/>
      <c r="L24" s="442"/>
      <c r="M24" s="444"/>
      <c r="N24" s="442"/>
      <c r="O24" s="442"/>
      <c r="P24" s="442"/>
      <c r="Q24" s="442"/>
      <c r="R24" s="445"/>
      <c r="S24" s="446"/>
      <c r="T24" s="445"/>
      <c r="U24" s="445"/>
    </row>
    <row r="25" spans="1:22" ht="25.5" customHeight="1">
      <c r="A25" s="61"/>
      <c r="B25" s="383" t="s">
        <v>84</v>
      </c>
      <c r="C25" s="408">
        <v>120000</v>
      </c>
      <c r="D25" s="442"/>
      <c r="E25" s="443">
        <f>+'ต.ค.-ธ.ค.'!E25+'ม.ค.-มี.ค.'!E25+'เม.ย.-มิ.ย.'!E25</f>
        <v>87774</v>
      </c>
      <c r="F25" s="444"/>
      <c r="G25" s="444"/>
      <c r="H25" s="444"/>
      <c r="I25" s="442"/>
      <c r="J25" s="442"/>
      <c r="K25" s="442"/>
      <c r="L25" s="442"/>
      <c r="M25" s="444"/>
      <c r="N25" s="442"/>
      <c r="O25" s="442"/>
      <c r="P25" s="442"/>
      <c r="Q25" s="442"/>
      <c r="R25" s="445"/>
      <c r="S25" s="446"/>
      <c r="T25" s="445"/>
      <c r="U25" s="445"/>
    </row>
    <row r="26" spans="1:22" ht="25.5" customHeight="1">
      <c r="A26" s="61"/>
      <c r="B26" s="383" t="s">
        <v>85</v>
      </c>
      <c r="C26" s="408">
        <v>198720</v>
      </c>
      <c r="D26" s="442"/>
      <c r="E26" s="443">
        <f>+'ต.ค.-ธ.ค.'!E26+'ม.ค.-มี.ค.'!E26+'เม.ย.-มิ.ย.'!E26</f>
        <v>149040</v>
      </c>
      <c r="F26" s="444"/>
      <c r="G26" s="444"/>
      <c r="H26" s="444"/>
      <c r="I26" s="442"/>
      <c r="J26" s="442"/>
      <c r="K26" s="442"/>
      <c r="L26" s="442"/>
      <c r="M26" s="444"/>
      <c r="N26" s="442"/>
      <c r="O26" s="442"/>
      <c r="P26" s="442"/>
      <c r="Q26" s="442"/>
      <c r="R26" s="445"/>
      <c r="S26" s="446"/>
      <c r="T26" s="445"/>
      <c r="U26" s="445"/>
    </row>
    <row r="27" spans="1:22" ht="25.5" customHeight="1">
      <c r="A27" s="61"/>
      <c r="B27" s="10" t="s">
        <v>270</v>
      </c>
      <c r="C27" s="408">
        <f>1283280-10000-14000-48300</f>
        <v>1210980</v>
      </c>
      <c r="D27" s="442"/>
      <c r="E27" s="443">
        <f>+'ต.ค.-ธ.ค.'!E27+'ม.ค.-มี.ค.'!E27+'เม.ย.-มิ.ย.'!E27</f>
        <v>918482</v>
      </c>
      <c r="F27" s="444"/>
      <c r="G27" s="444"/>
      <c r="H27" s="444"/>
      <c r="I27" s="442"/>
      <c r="J27" s="442"/>
      <c r="K27" s="442"/>
      <c r="L27" s="442"/>
      <c r="M27" s="444"/>
      <c r="N27" s="442"/>
      <c r="O27" s="442"/>
      <c r="P27" s="442"/>
      <c r="Q27" s="442"/>
      <c r="R27" s="445"/>
      <c r="S27" s="446"/>
      <c r="T27" s="445"/>
      <c r="U27" s="445"/>
    </row>
    <row r="28" spans="1:22" ht="25.5" customHeight="1" thickBot="1">
      <c r="A28" s="462"/>
      <c r="B28" s="386" t="s">
        <v>5</v>
      </c>
      <c r="C28" s="411">
        <f>SUM(C23:C27)</f>
        <v>2345220</v>
      </c>
      <c r="D28" s="457">
        <f>SUM(D23:D27)</f>
        <v>0</v>
      </c>
      <c r="E28" s="463">
        <f>SUM(E23:E27)</f>
        <v>1753447</v>
      </c>
      <c r="F28" s="456">
        <f t="shared" ref="F28:S28" si="1">SUM(F23:F27)</f>
        <v>0</v>
      </c>
      <c r="G28" s="456">
        <f t="shared" si="1"/>
        <v>0</v>
      </c>
      <c r="H28" s="456">
        <f t="shared" si="1"/>
        <v>0</v>
      </c>
      <c r="I28" s="457">
        <f t="shared" si="1"/>
        <v>0</v>
      </c>
      <c r="J28" s="457">
        <f t="shared" si="1"/>
        <v>0</v>
      </c>
      <c r="K28" s="457">
        <f t="shared" si="1"/>
        <v>0</v>
      </c>
      <c r="L28" s="457">
        <f t="shared" si="1"/>
        <v>0</v>
      </c>
      <c r="M28" s="456">
        <f t="shared" si="1"/>
        <v>0</v>
      </c>
      <c r="N28" s="456">
        <f t="shared" si="1"/>
        <v>0</v>
      </c>
      <c r="O28" s="456">
        <f t="shared" si="1"/>
        <v>0</v>
      </c>
      <c r="P28" s="456">
        <f t="shared" si="1"/>
        <v>0</v>
      </c>
      <c r="Q28" s="456">
        <f t="shared" si="1"/>
        <v>0</v>
      </c>
      <c r="R28" s="456">
        <f t="shared" si="1"/>
        <v>0</v>
      </c>
      <c r="S28" s="456">
        <f t="shared" si="1"/>
        <v>0</v>
      </c>
      <c r="T28" s="456">
        <f>SUM(T23:T27)</f>
        <v>0</v>
      </c>
      <c r="U28" s="456">
        <f>SUM(U23:U27)</f>
        <v>0</v>
      </c>
      <c r="V28" s="314">
        <f>SUM(D28:U28)</f>
        <v>1753447</v>
      </c>
    </row>
    <row r="29" spans="1:22" ht="25.5" customHeight="1" thickTop="1">
      <c r="A29" s="447" t="s">
        <v>87</v>
      </c>
      <c r="B29" s="10"/>
      <c r="C29" s="412"/>
      <c r="D29" s="458"/>
      <c r="E29" s="459"/>
      <c r="F29" s="460"/>
      <c r="G29" s="460"/>
      <c r="H29" s="460"/>
      <c r="I29" s="458"/>
      <c r="J29" s="458"/>
      <c r="K29" s="458"/>
      <c r="L29" s="458"/>
      <c r="M29" s="460"/>
      <c r="N29" s="458"/>
      <c r="O29" s="458"/>
      <c r="P29" s="458"/>
      <c r="Q29" s="458"/>
      <c r="R29" s="445"/>
      <c r="S29" s="446"/>
      <c r="T29" s="461"/>
      <c r="U29" s="461"/>
    </row>
    <row r="30" spans="1:22" ht="25.5" customHeight="1">
      <c r="A30" s="447"/>
      <c r="B30" s="383" t="s">
        <v>7</v>
      </c>
      <c r="C30" s="412">
        <f>3188820+1300000+884640+1648500-100000-22000-19000-60000-184500-25100-50000-100000-20000-50000-64500-70650-40000-53200-40000-15000</f>
        <v>6108010</v>
      </c>
      <c r="D30" s="458"/>
      <c r="E30" s="459">
        <f>+'ต.ค.-ธ.ค.'!E30+'ม.ค.-มี.ค.'!E30+'เม.ย.-มิ.ย.'!E30</f>
        <v>1944672</v>
      </c>
      <c r="F30" s="459">
        <f>+'ต.ค.-ธ.ค.'!F30+'ม.ค.-มี.ค.'!F30+'เม.ย.-มิ.ย.'!F30</f>
        <v>721690</v>
      </c>
      <c r="G30" s="459">
        <f>+'ต.ค.-ธ.ค.'!G30+'ม.ค.-มี.ค.'!G30+'เม.ย.-มิ.ย.'!G30</f>
        <v>0</v>
      </c>
      <c r="H30" s="459">
        <f>+'ต.ค.-ธ.ค.'!H30+'ม.ค.-มี.ค.'!H30+'เม.ย.-มิ.ย.'!H30</f>
        <v>659610</v>
      </c>
      <c r="I30" s="459">
        <f>+'ต.ค.-ธ.ค.'!I30+'ม.ค.-มี.ค.'!I30+'เม.ย.-มิ.ย.'!I30</f>
        <v>0</v>
      </c>
      <c r="J30" s="459">
        <f>+'ต.ค.-ธ.ค.'!J30+'ม.ค.-มี.ค.'!J30+'เม.ย.-มิ.ย.'!J30</f>
        <v>0</v>
      </c>
      <c r="K30" s="459">
        <f>+'ต.ค.-ธ.ค.'!K30+'ม.ค.-มี.ค.'!K30+'เม.ย.-มิ.ย.'!K30</f>
        <v>0</v>
      </c>
      <c r="L30" s="459">
        <f>+'ต.ค.-ธ.ค.'!L30+'ม.ค.-มี.ค.'!L30+'เม.ย.-มิ.ย.'!L30</f>
        <v>0</v>
      </c>
      <c r="M30" s="459">
        <f>+'ต.ค.-ธ.ค.'!M30+'ม.ค.-มี.ค.'!M30+'เม.ย.-มิ.ย.'!M30</f>
        <v>978210</v>
      </c>
      <c r="N30" s="459">
        <f>+'ต.ค.-ธ.ค.'!N30+'ม.ค.-มี.ค.'!N30+'เม.ย.-มิ.ย.'!N30</f>
        <v>0</v>
      </c>
      <c r="O30" s="459">
        <f>+เม.ย.!O30+พ.ค.!O30+มิ.ย.!O30</f>
        <v>0</v>
      </c>
      <c r="P30" s="459">
        <f>+เม.ย.!P30+พ.ค.!P30+มิ.ย.!P30</f>
        <v>0</v>
      </c>
      <c r="Q30" s="459">
        <f>+เม.ย.!Q30+พ.ค.!Q30+มิ.ย.!Q30</f>
        <v>0</v>
      </c>
      <c r="R30" s="459">
        <f>+เม.ย.!R30+พ.ค.!R30+มิ.ย.!R30</f>
        <v>0</v>
      </c>
      <c r="S30" s="459">
        <f>+เม.ย.!S30+พ.ค.!S30+มิ.ย.!S30</f>
        <v>0</v>
      </c>
      <c r="T30" s="459">
        <f>+เม.ย.!U30+พ.ค.!U30+มิ.ย.!U30</f>
        <v>0</v>
      </c>
      <c r="U30" s="459">
        <f>+เม.ย.!V30+พ.ค.!V30+มิ.ย.!V30</f>
        <v>0</v>
      </c>
    </row>
    <row r="31" spans="1:22" ht="25.5" customHeight="1">
      <c r="A31" s="447"/>
      <c r="B31" s="383" t="s">
        <v>239</v>
      </c>
      <c r="C31" s="412">
        <v>1899600</v>
      </c>
      <c r="D31" s="458"/>
      <c r="E31" s="459">
        <f>+'ต.ค.-ธ.ค.'!E31+'ม.ค.-มี.ค.'!E31+'เม.ย.-มิ.ย.'!E31</f>
        <v>0</v>
      </c>
      <c r="F31" s="459">
        <f>+'ต.ค.-ธ.ค.'!F31+'ม.ค.-มี.ค.'!F31+'เม.ย.-มิ.ย.'!F31</f>
        <v>0</v>
      </c>
      <c r="G31" s="459">
        <f>+'ต.ค.-ธ.ค.'!G31+'ม.ค.-มี.ค.'!G31+'เม.ย.-มิ.ย.'!G31</f>
        <v>0</v>
      </c>
      <c r="H31" s="459">
        <f>+'ต.ค.-ธ.ค.'!H31+'ม.ค.-มี.ค.'!H31+'เม.ย.-มิ.ย.'!H31</f>
        <v>1399320</v>
      </c>
      <c r="I31" s="459">
        <f>+'ต.ค.-ธ.ค.'!I31+'ม.ค.-มี.ค.'!I31+'เม.ย.-มิ.ย.'!I31</f>
        <v>0</v>
      </c>
      <c r="J31" s="459">
        <f>+'ต.ค.-ธ.ค.'!J31+'ม.ค.-มี.ค.'!J31+'เม.ย.-มิ.ย.'!J31</f>
        <v>0</v>
      </c>
      <c r="K31" s="459">
        <f>+'ต.ค.-ธ.ค.'!K31+'ม.ค.-มี.ค.'!K31+'เม.ย.-มิ.ย.'!K31</f>
        <v>0</v>
      </c>
      <c r="L31" s="459">
        <f>+'ต.ค.-ธ.ค.'!L31+'ม.ค.-มี.ค.'!L31+'เม.ย.-มิ.ย.'!L31</f>
        <v>0</v>
      </c>
      <c r="M31" s="459">
        <f>+'ต.ค.-ธ.ค.'!M31+'ม.ค.-มี.ค.'!M31+'เม.ย.-มิ.ย.'!M31</f>
        <v>0</v>
      </c>
      <c r="N31" s="459">
        <f>+'ต.ค.-ธ.ค.'!N31+'ม.ค.-มี.ค.'!N31+'เม.ย.-มิ.ย.'!N31</f>
        <v>0</v>
      </c>
      <c r="O31" s="459">
        <f>+เม.ย.!O31+พ.ค.!O31+มิ.ย.!O31</f>
        <v>0</v>
      </c>
      <c r="P31" s="459">
        <f>+เม.ย.!P31+พ.ค.!P31+มิ.ย.!P31</f>
        <v>0</v>
      </c>
      <c r="Q31" s="459">
        <f>+เม.ย.!Q31+พ.ค.!Q31+มิ.ย.!Q31</f>
        <v>0</v>
      </c>
      <c r="R31" s="459">
        <f>+เม.ย.!R31+พ.ค.!R31+มิ.ย.!R31</f>
        <v>0</v>
      </c>
      <c r="S31" s="459">
        <f>+เม.ย.!S31+พ.ค.!S31+มิ.ย.!S31</f>
        <v>0</v>
      </c>
      <c r="T31" s="459">
        <f>+เม.ย.!U31+พ.ค.!U31+มิ.ย.!U31</f>
        <v>0</v>
      </c>
      <c r="U31" s="459">
        <f>+เม.ย.!V31+พ.ค.!V31+มิ.ย.!V31</f>
        <v>0</v>
      </c>
    </row>
    <row r="32" spans="1:22" ht="25.5" customHeight="1">
      <c r="A32" s="447"/>
      <c r="B32" s="383" t="s">
        <v>47</v>
      </c>
      <c r="C32" s="412">
        <v>10580</v>
      </c>
      <c r="D32" s="458"/>
      <c r="E32" s="459">
        <f>+'ต.ค.-ธ.ค.'!E32+'ม.ค.-มี.ค.'!E32+'เม.ย.-มิ.ย.'!E32</f>
        <v>3960</v>
      </c>
      <c r="F32" s="459">
        <f>+'ต.ค.-ธ.ค.'!F32+'ม.ค.-มี.ค.'!F32+'เม.ย.-มิ.ย.'!F32</f>
        <v>0</v>
      </c>
      <c r="G32" s="459">
        <f>+'ต.ค.-ธ.ค.'!G32+'ม.ค.-มี.ค.'!G32+'เม.ย.-มิ.ย.'!G32</f>
        <v>0</v>
      </c>
      <c r="H32" s="459">
        <f>+'ต.ค.-ธ.ค.'!H32+'ม.ค.-มี.ค.'!H32+'เม.ย.-มิ.ย.'!H32</f>
        <v>0</v>
      </c>
      <c r="I32" s="459">
        <f>+'ต.ค.-ธ.ค.'!I32+'ม.ค.-มี.ค.'!I32+'เม.ย.-มิ.ย.'!I32</f>
        <v>0</v>
      </c>
      <c r="J32" s="459">
        <f>+'ต.ค.-ธ.ค.'!J32+'ม.ค.-มี.ค.'!J32+'เม.ย.-มิ.ย.'!J32</f>
        <v>0</v>
      </c>
      <c r="K32" s="459">
        <f>+'ต.ค.-ธ.ค.'!K32+'ม.ค.-มี.ค.'!K32+'เม.ย.-มิ.ย.'!K32</f>
        <v>0</v>
      </c>
      <c r="L32" s="459">
        <f>+'ต.ค.-ธ.ค.'!L32+'ม.ค.-มี.ค.'!L32+'เม.ย.-มิ.ย.'!L32</f>
        <v>0</v>
      </c>
      <c r="M32" s="459">
        <f>+'ต.ค.-ธ.ค.'!M32+'ม.ค.-มี.ค.'!M32+'เม.ย.-มิ.ย.'!M32</f>
        <v>0</v>
      </c>
      <c r="N32" s="459">
        <f>+'ต.ค.-ธ.ค.'!N32+'ม.ค.-มี.ค.'!N32+'เม.ย.-มิ.ย.'!N32</f>
        <v>0</v>
      </c>
      <c r="O32" s="459">
        <f>+เม.ย.!O32+พ.ค.!O32+มิ.ย.!O32</f>
        <v>0</v>
      </c>
      <c r="P32" s="459">
        <f>+เม.ย.!P32+พ.ค.!P32+มิ.ย.!P32</f>
        <v>0</v>
      </c>
      <c r="Q32" s="459">
        <f>+เม.ย.!Q32+พ.ค.!Q32+มิ.ย.!Q32</f>
        <v>0</v>
      </c>
      <c r="R32" s="459">
        <f>+เม.ย.!R32+พ.ค.!R32+มิ.ย.!R32</f>
        <v>0</v>
      </c>
      <c r="S32" s="459">
        <f>+เม.ย.!S32+พ.ค.!S32+มิ.ย.!S32</f>
        <v>0</v>
      </c>
      <c r="T32" s="459">
        <f>+เม.ย.!U32+พ.ค.!U32+มิ.ย.!U32</f>
        <v>0</v>
      </c>
      <c r="U32" s="459">
        <f>+เม.ย.!V32+พ.ค.!V32+มิ.ย.!V32</f>
        <v>0</v>
      </c>
    </row>
    <row r="33" spans="1:22" ht="25.5" customHeight="1">
      <c r="A33" s="447"/>
      <c r="B33" s="383" t="s">
        <v>8</v>
      </c>
      <c r="C33" s="412">
        <f>132000+42000+42000+42000-3000-1000-10000</f>
        <v>244000</v>
      </c>
      <c r="D33" s="458"/>
      <c r="E33" s="459">
        <f>+'ต.ค.-ธ.ค.'!E33+'ม.ค.-มี.ค.'!E33+'เม.ย.-มิ.ย.'!E33</f>
        <v>99000</v>
      </c>
      <c r="F33" s="459">
        <f>+'ต.ค.-ธ.ค.'!F33+'ม.ค.-มี.ค.'!F33+'เม.ย.-มิ.ย.'!F33</f>
        <v>3500</v>
      </c>
      <c r="G33" s="459">
        <f>+'ต.ค.-ธ.ค.'!G33+'ม.ค.-มี.ค.'!G33+'เม.ย.-มิ.ย.'!G33</f>
        <v>0</v>
      </c>
      <c r="H33" s="459">
        <f>+'ต.ค.-ธ.ค.'!H33+'ม.ค.-มี.ค.'!H33+'เม.ย.-มิ.ย.'!H33</f>
        <v>31500</v>
      </c>
      <c r="I33" s="459">
        <f>+'ต.ค.-ธ.ค.'!I33+'ม.ค.-มี.ค.'!I33+'เม.ย.-มิ.ย.'!I33</f>
        <v>0</v>
      </c>
      <c r="J33" s="459">
        <f>+'ต.ค.-ธ.ค.'!J33+'ม.ค.-มี.ค.'!J33+'เม.ย.-มิ.ย.'!J33</f>
        <v>0</v>
      </c>
      <c r="K33" s="459">
        <f>+'ต.ค.-ธ.ค.'!K33+'ม.ค.-มี.ค.'!K33+'เม.ย.-มิ.ย.'!K33</f>
        <v>0</v>
      </c>
      <c r="L33" s="459">
        <f>+'ต.ค.-ธ.ค.'!L33+'ม.ค.-มี.ค.'!L33+'เม.ย.-มิ.ย.'!L33</f>
        <v>0</v>
      </c>
      <c r="M33" s="459">
        <f>+'ต.ค.-ธ.ค.'!M33+'ม.ค.-มี.ค.'!M33+'เม.ย.-มิ.ย.'!M33</f>
        <v>31500</v>
      </c>
      <c r="N33" s="459">
        <f>+'ต.ค.-ธ.ค.'!N33+'ม.ค.-มี.ค.'!N33+'เม.ย.-มิ.ย.'!N33</f>
        <v>0</v>
      </c>
      <c r="O33" s="459">
        <f>+เม.ย.!O33+พ.ค.!O33+มิ.ย.!O33</f>
        <v>0</v>
      </c>
      <c r="P33" s="459">
        <f>+เม.ย.!P33+พ.ค.!P33+มิ.ย.!P33</f>
        <v>0</v>
      </c>
      <c r="Q33" s="459">
        <f>+เม.ย.!Q33+พ.ค.!Q33+มิ.ย.!Q33</f>
        <v>0</v>
      </c>
      <c r="R33" s="459">
        <f>+เม.ย.!R33+พ.ค.!R33+มิ.ย.!R33</f>
        <v>0</v>
      </c>
      <c r="S33" s="459">
        <f>+เม.ย.!S33+พ.ค.!S33+มิ.ย.!S33</f>
        <v>0</v>
      </c>
      <c r="T33" s="459">
        <f>+เม.ย.!U33+พ.ค.!U33+มิ.ย.!U33</f>
        <v>0</v>
      </c>
      <c r="U33" s="459">
        <f>+เม.ย.!V33+พ.ค.!V33+มิ.ย.!V33</f>
        <v>0</v>
      </c>
    </row>
    <row r="34" spans="1:22" ht="25.5" customHeight="1">
      <c r="A34" s="61"/>
      <c r="B34" s="383" t="s">
        <v>186</v>
      </c>
      <c r="C34" s="408">
        <f>787000+589000+559480+350880+100000+184500+153000-9400</f>
        <v>2714460</v>
      </c>
      <c r="D34" s="442"/>
      <c r="E34" s="459">
        <f>+'ต.ค.-ธ.ค.'!E34+'ม.ค.-มี.ค.'!E34+'เม.ย.-มิ.ย.'!E34</f>
        <v>705147</v>
      </c>
      <c r="F34" s="459">
        <f>+'ต.ค.-ธ.ค.'!F34+'ม.ค.-มี.ค.'!F34+'เม.ย.-มิ.ย.'!F34</f>
        <v>456573</v>
      </c>
      <c r="G34" s="459">
        <f>+'ต.ค.-ธ.ค.'!G34+'ม.ค.-มี.ค.'!G34+'เม.ย.-มิ.ย.'!G34</f>
        <v>0</v>
      </c>
      <c r="H34" s="459">
        <f>+'ต.ค.-ธ.ค.'!H34+'ม.ค.-มี.ค.'!H34+'เม.ย.-มิ.ย.'!H34</f>
        <v>517528</v>
      </c>
      <c r="I34" s="459">
        <f>+'ต.ค.-ธ.ค.'!I34+'ม.ค.-มี.ค.'!I34+'เม.ย.-มิ.ย.'!I34</f>
        <v>0</v>
      </c>
      <c r="J34" s="459">
        <f>+'ต.ค.-ธ.ค.'!J34+'ม.ค.-มี.ค.'!J34+'เม.ย.-มิ.ย.'!J34</f>
        <v>0</v>
      </c>
      <c r="K34" s="459">
        <f>+'ต.ค.-ธ.ค.'!K34+'ม.ค.-มี.ค.'!K34+'เม.ย.-มิ.ย.'!K34</f>
        <v>0</v>
      </c>
      <c r="L34" s="459">
        <f>+'ต.ค.-ธ.ค.'!L34+'ม.ค.-มี.ค.'!L34+'เม.ย.-มิ.ย.'!L34</f>
        <v>0</v>
      </c>
      <c r="M34" s="459">
        <f>+'ต.ค.-ธ.ค.'!M34+'ม.ค.-มี.ค.'!M34+'เม.ย.-มิ.ย.'!M34</f>
        <v>233920</v>
      </c>
      <c r="N34" s="459">
        <f>+'ต.ค.-ธ.ค.'!N34+'ม.ค.-มี.ค.'!N34+'เม.ย.-มิ.ย.'!N34</f>
        <v>0</v>
      </c>
      <c r="O34" s="459">
        <f>+เม.ย.!O34+พ.ค.!O34+มิ.ย.!O34</f>
        <v>0</v>
      </c>
      <c r="P34" s="459">
        <f>+เม.ย.!P34+พ.ค.!P34+มิ.ย.!P34</f>
        <v>0</v>
      </c>
      <c r="Q34" s="459">
        <f>+เม.ย.!Q34+พ.ค.!Q34+มิ.ย.!Q34</f>
        <v>0</v>
      </c>
      <c r="R34" s="459">
        <f>+เม.ย.!R34+พ.ค.!R34+มิ.ย.!R34</f>
        <v>0</v>
      </c>
      <c r="S34" s="459">
        <f>+เม.ย.!S34+พ.ค.!S34+มิ.ย.!S34</f>
        <v>0</v>
      </c>
      <c r="T34" s="459">
        <f>+เม.ย.!U34+พ.ค.!U34+มิ.ย.!U34</f>
        <v>0</v>
      </c>
      <c r="U34" s="459">
        <f>+เม.ย.!V34+พ.ค.!V34+มิ.ย.!V34</f>
        <v>0</v>
      </c>
      <c r="V34" s="315"/>
    </row>
    <row r="35" spans="1:22" ht="25.5" customHeight="1">
      <c r="A35" s="61"/>
      <c r="B35" s="383" t="s">
        <v>269</v>
      </c>
      <c r="C35" s="413">
        <v>225600</v>
      </c>
      <c r="D35" s="442"/>
      <c r="E35" s="459">
        <f>+'ต.ค.-ธ.ค.'!E35+'ม.ค.-มี.ค.'!E35+'เม.ย.-มิ.ย.'!E35</f>
        <v>0</v>
      </c>
      <c r="F35" s="459">
        <f>+'ต.ค.-ธ.ค.'!F35+'ม.ค.-มี.ค.'!F35+'เม.ย.-มิ.ย.'!F35</f>
        <v>0</v>
      </c>
      <c r="G35" s="459">
        <f>+'ต.ค.-ธ.ค.'!G35+'ม.ค.-มี.ค.'!G35+'เม.ย.-มิ.ย.'!G35</f>
        <v>0</v>
      </c>
      <c r="H35" s="459">
        <f>+'ต.ค.-ธ.ค.'!H35+'ม.ค.-มี.ค.'!H35+'เม.ย.-มิ.ย.'!H35</f>
        <v>188730</v>
      </c>
      <c r="I35" s="459">
        <f>+'ต.ค.-ธ.ค.'!I35+'ม.ค.-มี.ค.'!I35+'เม.ย.-มิ.ย.'!I35</f>
        <v>0</v>
      </c>
      <c r="J35" s="459">
        <f>+'ต.ค.-ธ.ค.'!J35+'ม.ค.-มี.ค.'!J35+'เม.ย.-มิ.ย.'!J35</f>
        <v>0</v>
      </c>
      <c r="K35" s="459">
        <f>+'ต.ค.-ธ.ค.'!K35+'ม.ค.-มี.ค.'!K35+'เม.ย.-มิ.ย.'!K35</f>
        <v>0</v>
      </c>
      <c r="L35" s="459">
        <f>+'ต.ค.-ธ.ค.'!L35+'ม.ค.-มี.ค.'!L35+'เม.ย.-มิ.ย.'!L35</f>
        <v>0</v>
      </c>
      <c r="M35" s="459">
        <f>+'ต.ค.-ธ.ค.'!M35+'ม.ค.-มี.ค.'!M35+'เม.ย.-มิ.ย.'!M35</f>
        <v>0</v>
      </c>
      <c r="N35" s="459">
        <f>+'ต.ค.-ธ.ค.'!N35+'ม.ค.-มี.ค.'!N35+'เม.ย.-มิ.ย.'!N35</f>
        <v>0</v>
      </c>
      <c r="O35" s="459">
        <f>+เม.ย.!O35+พ.ค.!O35+มิ.ย.!O35</f>
        <v>0</v>
      </c>
      <c r="P35" s="459">
        <f>+เม.ย.!P35+พ.ค.!P35+มิ.ย.!P35</f>
        <v>0</v>
      </c>
      <c r="Q35" s="459">
        <f>+เม.ย.!Q35+พ.ค.!Q35+มิ.ย.!Q35</f>
        <v>0</v>
      </c>
      <c r="R35" s="459">
        <f>+เม.ย.!R35+พ.ค.!R35+มิ.ย.!R35</f>
        <v>0</v>
      </c>
      <c r="S35" s="459">
        <f>+เม.ย.!S35+พ.ค.!S35+มิ.ย.!S35</f>
        <v>0</v>
      </c>
      <c r="T35" s="459">
        <f>+เม.ย.!U35+พ.ค.!U35+มิ.ย.!U35</f>
        <v>0</v>
      </c>
      <c r="U35" s="459">
        <f>+เม.ย.!V35+พ.ค.!V35+มิ.ย.!V35</f>
        <v>0</v>
      </c>
      <c r="V35" s="315"/>
    </row>
    <row r="36" spans="1:22" ht="25.5" customHeight="1">
      <c r="A36" s="61"/>
      <c r="B36" s="383" t="s">
        <v>91</v>
      </c>
      <c r="C36" s="413">
        <f>76000+72000+84000+22000+25100+11000-5700</f>
        <v>284400</v>
      </c>
      <c r="D36" s="442"/>
      <c r="E36" s="459">
        <f>+'ต.ค.-ธ.ค.'!E36+'ม.ค.-มี.ค.'!E36+'เม.ย.-มิ.ย.'!E36</f>
        <v>73904</v>
      </c>
      <c r="F36" s="459">
        <f>+'ต.ค.-ธ.ค.'!F36+'ม.ค.-มี.ค.'!F36+'เม.ย.-มิ.ย.'!F36</f>
        <v>48241</v>
      </c>
      <c r="G36" s="459">
        <f>+'ต.ค.-ธ.ค.'!G36+'ม.ค.-มี.ค.'!G36+'เม.ย.-มิ.ย.'!G36</f>
        <v>0</v>
      </c>
      <c r="H36" s="459">
        <f>+'ต.ค.-ธ.ค.'!H36+'ม.ค.-มี.ค.'!H36+'เม.ย.-มิ.ย.'!H36</f>
        <v>68585</v>
      </c>
      <c r="I36" s="459">
        <f>+'ต.ค.-ธ.ค.'!I36+'ม.ค.-มี.ค.'!I36+'เม.ย.-มิ.ย.'!I36</f>
        <v>0</v>
      </c>
      <c r="J36" s="459">
        <f>+'ต.ค.-ธ.ค.'!J36+'ม.ค.-มี.ค.'!J36+'เม.ย.-มิ.ย.'!J36</f>
        <v>0</v>
      </c>
      <c r="K36" s="459">
        <f>+'ต.ค.-ธ.ค.'!K36+'ม.ค.-มี.ค.'!K36+'เม.ย.-มิ.ย.'!K36</f>
        <v>0</v>
      </c>
      <c r="L36" s="459">
        <f>+'ต.ค.-ธ.ค.'!L36+'ม.ค.-มี.ค.'!L36+'เม.ย.-มิ.ย.'!L36</f>
        <v>0</v>
      </c>
      <c r="M36" s="459">
        <f>+'ต.ค.-ธ.ค.'!M36+'ม.ค.-มี.ค.'!M36+'เม.ย.-มิ.ย.'!M36</f>
        <v>29240</v>
      </c>
      <c r="N36" s="459">
        <f>+'ต.ค.-ธ.ค.'!N36+'ม.ค.-มี.ค.'!N36+'เม.ย.-มิ.ย.'!N36</f>
        <v>0</v>
      </c>
      <c r="O36" s="459">
        <f>+เม.ย.!O36+พ.ค.!O36+มิ.ย.!O36</f>
        <v>0</v>
      </c>
      <c r="P36" s="459">
        <f>+เม.ย.!P36+พ.ค.!P36+มิ.ย.!P36</f>
        <v>0</v>
      </c>
      <c r="Q36" s="459">
        <f>+เม.ย.!Q36+พ.ค.!Q36+มิ.ย.!Q36</f>
        <v>0</v>
      </c>
      <c r="R36" s="459">
        <f>+เม.ย.!R36+พ.ค.!R36+มิ.ย.!R36</f>
        <v>0</v>
      </c>
      <c r="S36" s="459">
        <f>+เม.ย.!S36+พ.ค.!S36+มิ.ย.!S36</f>
        <v>0</v>
      </c>
      <c r="T36" s="459">
        <f>+เม.ย.!U36+พ.ค.!U36+มิ.ย.!U36</f>
        <v>0</v>
      </c>
      <c r="U36" s="459">
        <f>+เม.ย.!V36+พ.ค.!V36+มิ.ย.!V36</f>
        <v>0</v>
      </c>
      <c r="V36" s="315"/>
    </row>
    <row r="37" spans="1:22" ht="25.5" customHeight="1">
      <c r="A37" s="464"/>
      <c r="B37" s="384" t="s">
        <v>240</v>
      </c>
      <c r="C37" s="413">
        <v>48000</v>
      </c>
      <c r="D37" s="450"/>
      <c r="E37" s="459">
        <f>+'ต.ค.-ธ.ค.'!E37+'ม.ค.-มี.ค.'!E37+'เม.ย.-มิ.ย.'!E37</f>
        <v>0</v>
      </c>
      <c r="F37" s="459">
        <f>+'ต.ค.-ธ.ค.'!F37+'ม.ค.-มี.ค.'!F37+'เม.ย.-มิ.ย.'!F37</f>
        <v>0</v>
      </c>
      <c r="G37" s="459">
        <f>+'ต.ค.-ธ.ค.'!G37+'ม.ค.-มี.ค.'!G37+'เม.ย.-มิ.ย.'!G37</f>
        <v>0</v>
      </c>
      <c r="H37" s="459">
        <f>+'ต.ค.-ธ.ค.'!H37+'ม.ค.-มี.ค.'!H37+'เม.ย.-มิ.ย.'!H37</f>
        <v>16470</v>
      </c>
      <c r="I37" s="459">
        <f>+'ต.ค.-ธ.ค.'!I37+'ม.ค.-มี.ค.'!I37+'เม.ย.-มิ.ย.'!I37</f>
        <v>0</v>
      </c>
      <c r="J37" s="459">
        <f>+'ต.ค.-ธ.ค.'!J37+'ม.ค.-มี.ค.'!J37+'เม.ย.-มิ.ย.'!J37</f>
        <v>0</v>
      </c>
      <c r="K37" s="459">
        <f>+'ต.ค.-ธ.ค.'!K37+'ม.ค.-มี.ค.'!K37+'เม.ย.-มิ.ย.'!K37</f>
        <v>0</v>
      </c>
      <c r="L37" s="459">
        <f>+'ต.ค.-ธ.ค.'!L37+'ม.ค.-มี.ค.'!L37+'เม.ย.-มิ.ย.'!L37</f>
        <v>0</v>
      </c>
      <c r="M37" s="459">
        <f>+'ต.ค.-ธ.ค.'!M37+'ม.ค.-มี.ค.'!M37+'เม.ย.-มิ.ย.'!M37</f>
        <v>0</v>
      </c>
      <c r="N37" s="459">
        <f>+'ต.ค.-ธ.ค.'!N37+'ม.ค.-มี.ค.'!N37+'เม.ย.-มิ.ย.'!N37</f>
        <v>0</v>
      </c>
      <c r="O37" s="459">
        <f>+เม.ย.!O37+พ.ค.!O37+มิ.ย.!O37</f>
        <v>0</v>
      </c>
      <c r="P37" s="459">
        <f>+เม.ย.!P37+พ.ค.!P37+มิ.ย.!P37</f>
        <v>0</v>
      </c>
      <c r="Q37" s="459">
        <f>+เม.ย.!Q37+พ.ค.!Q37+มิ.ย.!Q37</f>
        <v>0</v>
      </c>
      <c r="R37" s="459">
        <f>+เม.ย.!R37+พ.ค.!R37+มิ.ย.!R37</f>
        <v>0</v>
      </c>
      <c r="S37" s="459">
        <f>+เม.ย.!S37+พ.ค.!S37+มิ.ย.!S37</f>
        <v>0</v>
      </c>
      <c r="T37" s="459">
        <f>+เม.ย.!U37+พ.ค.!U37+มิ.ย.!U37</f>
        <v>0</v>
      </c>
      <c r="U37" s="459">
        <f>+เม.ย.!V37+พ.ค.!V37+มิ.ย.!V37</f>
        <v>0</v>
      </c>
      <c r="V37" s="315"/>
    </row>
    <row r="38" spans="1:22" ht="25.5" customHeight="1">
      <c r="A38" s="535"/>
      <c r="B38" s="130" t="s">
        <v>437</v>
      </c>
      <c r="C38" s="31"/>
      <c r="D38" s="450"/>
      <c r="E38" s="534"/>
      <c r="F38" s="534"/>
      <c r="G38" s="534"/>
      <c r="H38" s="534"/>
      <c r="I38" s="534"/>
      <c r="J38" s="534"/>
      <c r="K38" s="534"/>
      <c r="L38" s="534"/>
      <c r="M38" s="534"/>
      <c r="N38" s="534"/>
      <c r="O38" s="534"/>
      <c r="P38" s="534"/>
      <c r="Q38" s="534"/>
      <c r="R38" s="534"/>
      <c r="S38" s="534"/>
      <c r="T38" s="534"/>
      <c r="U38" s="534"/>
      <c r="V38" s="315"/>
    </row>
    <row r="39" spans="1:22" ht="25.5" customHeight="1" thickBot="1">
      <c r="A39" s="465"/>
      <c r="B39" s="387" t="s">
        <v>5</v>
      </c>
      <c r="C39" s="414">
        <f>SUM(C30:C38)</f>
        <v>11534650</v>
      </c>
      <c r="D39" s="466">
        <f>SUM(D30:D37)</f>
        <v>0</v>
      </c>
      <c r="E39" s="467">
        <f>SUM(E30:E37)</f>
        <v>2826683</v>
      </c>
      <c r="F39" s="467">
        <f>SUM(F30:F37)</f>
        <v>1230004</v>
      </c>
      <c r="G39" s="467">
        <f t="shared" ref="G39:U39" si="2">SUM(G30:G37)</f>
        <v>0</v>
      </c>
      <c r="H39" s="467">
        <f>SUM(H30:H37)</f>
        <v>2881743</v>
      </c>
      <c r="I39" s="466">
        <f t="shared" si="2"/>
        <v>0</v>
      </c>
      <c r="J39" s="466">
        <f t="shared" si="2"/>
        <v>0</v>
      </c>
      <c r="K39" s="466">
        <f t="shared" si="2"/>
        <v>0</v>
      </c>
      <c r="L39" s="466">
        <f t="shared" si="2"/>
        <v>0</v>
      </c>
      <c r="M39" s="467">
        <f>SUM(M30:M37)</f>
        <v>1272870</v>
      </c>
      <c r="N39" s="466">
        <f t="shared" si="2"/>
        <v>0</v>
      </c>
      <c r="O39" s="466">
        <f t="shared" si="2"/>
        <v>0</v>
      </c>
      <c r="P39" s="466">
        <f t="shared" si="2"/>
        <v>0</v>
      </c>
      <c r="Q39" s="466">
        <f t="shared" si="2"/>
        <v>0</v>
      </c>
      <c r="R39" s="466">
        <f t="shared" si="2"/>
        <v>0</v>
      </c>
      <c r="S39" s="466">
        <f t="shared" si="2"/>
        <v>0</v>
      </c>
      <c r="T39" s="466">
        <f t="shared" si="2"/>
        <v>0</v>
      </c>
      <c r="U39" s="466">
        <f t="shared" si="2"/>
        <v>0</v>
      </c>
      <c r="V39" s="316">
        <f>SUM(D39:U39)</f>
        <v>8211300</v>
      </c>
    </row>
    <row r="40" spans="1:22" ht="25.5" customHeight="1" thickTop="1">
      <c r="A40" s="447" t="s">
        <v>98</v>
      </c>
      <c r="B40" s="10"/>
      <c r="C40" s="412"/>
      <c r="D40" s="458"/>
      <c r="E40" s="459"/>
      <c r="F40" s="460"/>
      <c r="G40" s="460"/>
      <c r="H40" s="460"/>
      <c r="I40" s="458"/>
      <c r="J40" s="458"/>
      <c r="K40" s="458"/>
      <c r="L40" s="458"/>
      <c r="M40" s="460"/>
      <c r="N40" s="458"/>
      <c r="O40" s="458"/>
      <c r="P40" s="458"/>
      <c r="Q40" s="458"/>
      <c r="R40" s="445"/>
      <c r="S40" s="446"/>
      <c r="T40" s="461"/>
      <c r="U40" s="461"/>
      <c r="V40" s="317"/>
    </row>
    <row r="41" spans="1:22" ht="25.5" customHeight="1">
      <c r="A41" s="61"/>
      <c r="B41" s="383" t="s">
        <v>93</v>
      </c>
      <c r="C41" s="408">
        <v>5000</v>
      </c>
      <c r="D41" s="458"/>
      <c r="E41" s="459">
        <f>+'ต.ค.-ธ.ค.'!E41+'ม.ค.-มี.ค.'!E41+'เม.ย.-มิ.ย.'!E41</f>
        <v>0</v>
      </c>
      <c r="F41" s="459">
        <f>+'ต.ค.-ธ.ค.'!F41+'ม.ค.-มี.ค.'!F41+'เม.ย.-มิ.ย.'!F41</f>
        <v>0</v>
      </c>
      <c r="G41" s="459">
        <f>+'ต.ค.-ธ.ค.'!G41+'ม.ค.-มี.ค.'!G41+'เม.ย.-มิ.ย.'!G41</f>
        <v>0</v>
      </c>
      <c r="H41" s="459">
        <f>+'ต.ค.-ธ.ค.'!H41+'ม.ค.-มี.ค.'!H41+'เม.ย.-มิ.ย.'!H41</f>
        <v>0</v>
      </c>
      <c r="I41" s="459">
        <f>+'ต.ค.-ธ.ค.'!I41+'ม.ค.-มี.ค.'!I41+'เม.ย.-มิ.ย.'!I41</f>
        <v>0</v>
      </c>
      <c r="J41" s="459">
        <f>+'ต.ค.-ธ.ค.'!J41+'ม.ค.-มี.ค.'!J41+'เม.ย.-มิ.ย.'!J41</f>
        <v>0</v>
      </c>
      <c r="K41" s="459">
        <f>+'ต.ค.-ธ.ค.'!K41+'ม.ค.-มี.ค.'!K41+'เม.ย.-มิ.ย.'!K41</f>
        <v>0</v>
      </c>
      <c r="L41" s="459">
        <f>+'ต.ค.-ธ.ค.'!L41+'ม.ค.-มี.ค.'!L41+'เม.ย.-มิ.ย.'!L41</f>
        <v>0</v>
      </c>
      <c r="M41" s="459">
        <f>+'ต.ค.-ธ.ค.'!M41+'ม.ค.-มี.ค.'!M41+'เม.ย.-มิ.ย.'!M41</f>
        <v>0</v>
      </c>
      <c r="N41" s="459">
        <f>+'ต.ค.-ธ.ค.'!N41+'ม.ค.-มี.ค.'!N41+'เม.ย.-มิ.ย.'!N41</f>
        <v>0</v>
      </c>
      <c r="O41" s="459">
        <f>+'ต.ค.-ธ.ค.'!O41+'ม.ค.-มี.ค.'!O41+'เม.ย.-มิ.ย.'!O41</f>
        <v>0</v>
      </c>
      <c r="P41" s="459">
        <f>+'ต.ค.-ธ.ค.'!P41+'ม.ค.-มี.ค.'!P41+'เม.ย.-มิ.ย.'!P41</f>
        <v>0</v>
      </c>
      <c r="Q41" s="459">
        <f>+'ต.ค.-ธ.ค.'!Q41+'ม.ค.-มี.ค.'!Q41+'เม.ย.-มิ.ย.'!Q41</f>
        <v>0</v>
      </c>
      <c r="R41" s="459">
        <f>+'ต.ค.-ธ.ค.'!R41+'ม.ค.-มี.ค.'!R41+'เม.ย.-มิ.ย.'!R41</f>
        <v>0</v>
      </c>
      <c r="S41" s="459">
        <f>+'ต.ค.-ธ.ค.'!S41+'ม.ค.-มี.ค.'!S41+'เม.ย.-มิ.ย.'!S41</f>
        <v>0</v>
      </c>
      <c r="T41" s="459">
        <f>+'ต.ค.-ธ.ค.'!U41+'ม.ค.-มี.ค.'!U41+'เม.ย.-มิ.ย.'!U41</f>
        <v>0</v>
      </c>
      <c r="U41" s="459">
        <f>+'ต.ค.-ธ.ค.'!V41+'ม.ค.-มี.ค.'!V41+'เม.ย.-มิ.ย.'!V41</f>
        <v>0</v>
      </c>
      <c r="V41" s="315"/>
    </row>
    <row r="42" spans="1:22" ht="25.5" customHeight="1">
      <c r="A42" s="61"/>
      <c r="B42" s="383" t="s">
        <v>205</v>
      </c>
      <c r="C42" s="409">
        <v>10000</v>
      </c>
      <c r="D42" s="442"/>
      <c r="E42" s="459">
        <f>+'ต.ค.-ธ.ค.'!E42+'ม.ค.-มี.ค.'!E42+'เม.ย.-มิ.ย.'!E42</f>
        <v>0</v>
      </c>
      <c r="F42" s="459">
        <f>+'ต.ค.-ธ.ค.'!F42+'ม.ค.-มี.ค.'!F42+'เม.ย.-มิ.ย.'!F42</f>
        <v>0</v>
      </c>
      <c r="G42" s="459">
        <f>+'ต.ค.-ธ.ค.'!G42+'ม.ค.-มี.ค.'!G42+'เม.ย.-มิ.ย.'!G42</f>
        <v>0</v>
      </c>
      <c r="H42" s="459">
        <f>+'ต.ค.-ธ.ค.'!H42+'ม.ค.-มี.ค.'!H42+'เม.ย.-มิ.ย.'!H42</f>
        <v>0</v>
      </c>
      <c r="I42" s="459">
        <f>+'ต.ค.-ธ.ค.'!I42+'ม.ค.-มี.ค.'!I42+'เม.ย.-มิ.ย.'!I42</f>
        <v>0</v>
      </c>
      <c r="J42" s="459">
        <f>+'ต.ค.-ธ.ค.'!J42+'ม.ค.-มี.ค.'!J42+'เม.ย.-มิ.ย.'!J42</f>
        <v>0</v>
      </c>
      <c r="K42" s="459">
        <f>+'ต.ค.-ธ.ค.'!K42+'ม.ค.-มี.ค.'!K42+'เม.ย.-มิ.ย.'!K42</f>
        <v>0</v>
      </c>
      <c r="L42" s="459">
        <f>+'ต.ค.-ธ.ค.'!L42+'ม.ค.-มี.ค.'!L42+'เม.ย.-มิ.ย.'!L42</f>
        <v>0</v>
      </c>
      <c r="M42" s="459">
        <f>+'ต.ค.-ธ.ค.'!M42+'ม.ค.-มี.ค.'!M42+'เม.ย.-มิ.ย.'!M42</f>
        <v>0</v>
      </c>
      <c r="N42" s="459">
        <f>+'ต.ค.-ธ.ค.'!N42+'ม.ค.-มี.ค.'!N42+'เม.ย.-มิ.ย.'!N42</f>
        <v>0</v>
      </c>
      <c r="O42" s="459">
        <f>+'ต.ค.-ธ.ค.'!O42+'ม.ค.-มี.ค.'!O42+'เม.ย.-มิ.ย.'!O42</f>
        <v>0</v>
      </c>
      <c r="P42" s="459">
        <f>+'ต.ค.-ธ.ค.'!P42+'ม.ค.-มี.ค.'!P42+'เม.ย.-มิ.ย.'!P42</f>
        <v>0</v>
      </c>
      <c r="Q42" s="459">
        <f>+'ต.ค.-ธ.ค.'!Q42+'ม.ค.-มี.ค.'!Q42+'เม.ย.-มิ.ย.'!Q42</f>
        <v>0</v>
      </c>
      <c r="R42" s="459">
        <f>+'ต.ค.-ธ.ค.'!R42+'ม.ค.-มี.ค.'!R42+'เม.ย.-มิ.ย.'!R42</f>
        <v>0</v>
      </c>
      <c r="S42" s="459">
        <f>+'ต.ค.-ธ.ค.'!S42+'ม.ค.-มี.ค.'!S42+'เม.ย.-มิ.ย.'!S42</f>
        <v>0</v>
      </c>
      <c r="T42" s="459">
        <f>+'ต.ค.-ธ.ค.'!U42+'ม.ค.-มี.ค.'!U42+'เม.ย.-มิ.ย.'!U42</f>
        <v>0</v>
      </c>
      <c r="U42" s="459">
        <f>+'ต.ค.-ธ.ค.'!V42+'ม.ค.-มี.ค.'!V42+'เม.ย.-มิ.ย.'!V42</f>
        <v>0</v>
      </c>
      <c r="V42" s="315"/>
    </row>
    <row r="43" spans="1:22" ht="25.5" customHeight="1">
      <c r="A43" s="61"/>
      <c r="B43" s="383" t="s">
        <v>94</v>
      </c>
      <c r="C43" s="409">
        <f>10000-10000</f>
        <v>0</v>
      </c>
      <c r="D43" s="442"/>
      <c r="E43" s="459">
        <f>+'ต.ค.-ธ.ค.'!E43+'ม.ค.-มี.ค.'!E43+'เม.ย.-มิ.ย.'!E43</f>
        <v>0</v>
      </c>
      <c r="F43" s="459">
        <f>+'ต.ค.-ธ.ค.'!F43+'ม.ค.-มี.ค.'!F43+'เม.ย.-มิ.ย.'!F43</f>
        <v>0</v>
      </c>
      <c r="G43" s="459">
        <f>+'ต.ค.-ธ.ค.'!G43+'ม.ค.-มี.ค.'!G43+'เม.ย.-มิ.ย.'!G43</f>
        <v>0</v>
      </c>
      <c r="H43" s="459">
        <f>+'ต.ค.-ธ.ค.'!H43+'ม.ค.-มี.ค.'!H43+'เม.ย.-มิ.ย.'!H43</f>
        <v>0</v>
      </c>
      <c r="I43" s="459">
        <f>+'ต.ค.-ธ.ค.'!I43+'ม.ค.-มี.ค.'!I43+'เม.ย.-มิ.ย.'!I43</f>
        <v>0</v>
      </c>
      <c r="J43" s="459">
        <f>+'ต.ค.-ธ.ค.'!J43+'ม.ค.-มี.ค.'!J43+'เม.ย.-มิ.ย.'!J43</f>
        <v>0</v>
      </c>
      <c r="K43" s="459">
        <f>+'ต.ค.-ธ.ค.'!K43+'ม.ค.-มี.ค.'!K43+'เม.ย.-มิ.ย.'!K43</f>
        <v>0</v>
      </c>
      <c r="L43" s="459">
        <f>+'ต.ค.-ธ.ค.'!L43+'ม.ค.-มี.ค.'!L43+'เม.ย.-มิ.ย.'!L43</f>
        <v>0</v>
      </c>
      <c r="M43" s="459">
        <f>+'ต.ค.-ธ.ค.'!M43+'ม.ค.-มี.ค.'!M43+'เม.ย.-มิ.ย.'!M43</f>
        <v>0</v>
      </c>
      <c r="N43" s="459">
        <f>+'ต.ค.-ธ.ค.'!N43+'ม.ค.-มี.ค.'!N43+'เม.ย.-มิ.ย.'!N43</f>
        <v>0</v>
      </c>
      <c r="O43" s="459">
        <f>+'ต.ค.-ธ.ค.'!O43+'ม.ค.-มี.ค.'!O43+'เม.ย.-มิ.ย.'!O43</f>
        <v>0</v>
      </c>
      <c r="P43" s="459">
        <f>+'ต.ค.-ธ.ค.'!P43+'ม.ค.-มี.ค.'!P43+'เม.ย.-มิ.ย.'!P43</f>
        <v>0</v>
      </c>
      <c r="Q43" s="459">
        <f>+'ต.ค.-ธ.ค.'!Q43+'ม.ค.-มี.ค.'!Q43+'เม.ย.-มิ.ย.'!Q43</f>
        <v>0</v>
      </c>
      <c r="R43" s="459">
        <f>+'ต.ค.-ธ.ค.'!R43+'ม.ค.-มี.ค.'!R43+'เม.ย.-มิ.ย.'!R43</f>
        <v>0</v>
      </c>
      <c r="S43" s="459">
        <f>+'ต.ค.-ธ.ค.'!S43+'ม.ค.-มี.ค.'!S43+'เม.ย.-มิ.ย.'!S43</f>
        <v>0</v>
      </c>
      <c r="T43" s="459">
        <f>+'ต.ค.-ธ.ค.'!U43+'ม.ค.-มี.ค.'!U43+'เม.ย.-มิ.ย.'!U43</f>
        <v>0</v>
      </c>
      <c r="U43" s="459">
        <f>+'ต.ค.-ธ.ค.'!V43+'ม.ค.-มี.ค.'!V43+'เม.ย.-มิ.ย.'!V43</f>
        <v>0</v>
      </c>
      <c r="V43" s="311"/>
    </row>
    <row r="44" spans="1:22" ht="25.5" customHeight="1">
      <c r="A44" s="61"/>
      <c r="B44" s="383" t="s">
        <v>95</v>
      </c>
      <c r="C44" s="413">
        <v>5000</v>
      </c>
      <c r="D44" s="442"/>
      <c r="E44" s="459">
        <f>+'ต.ค.-ธ.ค.'!E44+'ม.ค.-มี.ค.'!E44+'เม.ย.-มิ.ย.'!E44</f>
        <v>0</v>
      </c>
      <c r="F44" s="459">
        <f>+'ต.ค.-ธ.ค.'!F44+'ม.ค.-มี.ค.'!F44+'เม.ย.-มิ.ย.'!F44</f>
        <v>0</v>
      </c>
      <c r="G44" s="459">
        <f>+'ต.ค.-ธ.ค.'!G44+'ม.ค.-มี.ค.'!G44+'เม.ย.-มิ.ย.'!G44</f>
        <v>0</v>
      </c>
      <c r="H44" s="459">
        <f>+'ต.ค.-ธ.ค.'!H44+'ม.ค.-มี.ค.'!H44+'เม.ย.-มิ.ย.'!H44</f>
        <v>0</v>
      </c>
      <c r="I44" s="459">
        <f>+'ต.ค.-ธ.ค.'!I44+'ม.ค.-มี.ค.'!I44+'เม.ย.-มิ.ย.'!I44</f>
        <v>0</v>
      </c>
      <c r="J44" s="459">
        <f>+'ต.ค.-ธ.ค.'!J44+'ม.ค.-มี.ค.'!J44+'เม.ย.-มิ.ย.'!J44</f>
        <v>0</v>
      </c>
      <c r="K44" s="459">
        <f>+'ต.ค.-ธ.ค.'!K44+'ม.ค.-มี.ค.'!K44+'เม.ย.-มิ.ย.'!K44</f>
        <v>0</v>
      </c>
      <c r="L44" s="459">
        <f>+'ต.ค.-ธ.ค.'!L44+'ม.ค.-มี.ค.'!L44+'เม.ย.-มิ.ย.'!L44</f>
        <v>0</v>
      </c>
      <c r="M44" s="459">
        <f>+'ต.ค.-ธ.ค.'!M44+'ม.ค.-มี.ค.'!M44+'เม.ย.-มิ.ย.'!M44</f>
        <v>0</v>
      </c>
      <c r="N44" s="459">
        <f>+'ต.ค.-ธ.ค.'!N44+'ม.ค.-มี.ค.'!N44+'เม.ย.-มิ.ย.'!N44</f>
        <v>0</v>
      </c>
      <c r="O44" s="459">
        <f>+'ต.ค.-ธ.ค.'!O44+'ม.ค.-มี.ค.'!O44+'เม.ย.-มิ.ย.'!O44</f>
        <v>0</v>
      </c>
      <c r="P44" s="459">
        <f>+'ต.ค.-ธ.ค.'!P44+'ม.ค.-มี.ค.'!P44+'เม.ย.-มิ.ย.'!P44</f>
        <v>0</v>
      </c>
      <c r="Q44" s="459">
        <f>+'ต.ค.-ธ.ค.'!Q44+'ม.ค.-มี.ค.'!Q44+'เม.ย.-มิ.ย.'!Q44</f>
        <v>0</v>
      </c>
      <c r="R44" s="459">
        <f>+'ต.ค.-ธ.ค.'!R44+'ม.ค.-มี.ค.'!R44+'เม.ย.-มิ.ย.'!R44</f>
        <v>0</v>
      </c>
      <c r="S44" s="459">
        <f>+'ต.ค.-ธ.ค.'!S44+'ม.ค.-มี.ค.'!S44+'เม.ย.-มิ.ย.'!S44</f>
        <v>0</v>
      </c>
      <c r="T44" s="459">
        <f>+'ต.ค.-ธ.ค.'!U44+'ม.ค.-มี.ค.'!U44+'เม.ย.-มิ.ย.'!U44</f>
        <v>0</v>
      </c>
      <c r="U44" s="459">
        <f>+'ต.ค.-ธ.ค.'!V44+'ม.ค.-มี.ค.'!V44+'เม.ย.-มิ.ย.'!V44</f>
        <v>0</v>
      </c>
    </row>
    <row r="45" spans="1:22" ht="25.5" customHeight="1">
      <c r="A45" s="61"/>
      <c r="B45" s="383" t="s">
        <v>96</v>
      </c>
      <c r="C45" s="413">
        <v>5000</v>
      </c>
      <c r="D45" s="442"/>
      <c r="E45" s="459">
        <f>+'ต.ค.-ธ.ค.'!E45+'ม.ค.-มี.ค.'!E45+'เม.ย.-มิ.ย.'!E45</f>
        <v>0</v>
      </c>
      <c r="F45" s="459">
        <f>+'ต.ค.-ธ.ค.'!F45+'ม.ค.-มี.ค.'!F45+'เม.ย.-มิ.ย.'!F45</f>
        <v>0</v>
      </c>
      <c r="G45" s="459">
        <f>+'ต.ค.-ธ.ค.'!G45+'ม.ค.-มี.ค.'!G45+'เม.ย.-มิ.ย.'!G45</f>
        <v>0</v>
      </c>
      <c r="H45" s="459">
        <f>+'ต.ค.-ธ.ค.'!H45+'ม.ค.-มี.ค.'!H45+'เม.ย.-มิ.ย.'!H45</f>
        <v>0</v>
      </c>
      <c r="I45" s="459">
        <f>+'ต.ค.-ธ.ค.'!I45+'ม.ค.-มี.ค.'!I45+'เม.ย.-มิ.ย.'!I45</f>
        <v>0</v>
      </c>
      <c r="J45" s="459">
        <f>+'ต.ค.-ธ.ค.'!J45+'ม.ค.-มี.ค.'!J45+'เม.ย.-มิ.ย.'!J45</f>
        <v>0</v>
      </c>
      <c r="K45" s="459">
        <f>+'ต.ค.-ธ.ค.'!K45+'ม.ค.-มี.ค.'!K45+'เม.ย.-มิ.ย.'!K45</f>
        <v>0</v>
      </c>
      <c r="L45" s="459">
        <f>+'ต.ค.-ธ.ค.'!L45+'ม.ค.-มี.ค.'!L45+'เม.ย.-มิ.ย.'!L45</f>
        <v>0</v>
      </c>
      <c r="M45" s="459">
        <f>+'ต.ค.-ธ.ค.'!M45+'ม.ค.-มี.ค.'!M45+'เม.ย.-มิ.ย.'!M45</f>
        <v>0</v>
      </c>
      <c r="N45" s="459">
        <f>+'ต.ค.-ธ.ค.'!N45+'ม.ค.-มี.ค.'!N45+'เม.ย.-มิ.ย.'!N45</f>
        <v>0</v>
      </c>
      <c r="O45" s="459">
        <f>+'ต.ค.-ธ.ค.'!O45+'ม.ค.-มี.ค.'!O45+'เม.ย.-มิ.ย.'!O45</f>
        <v>0</v>
      </c>
      <c r="P45" s="459">
        <f>+'ต.ค.-ธ.ค.'!P45+'ม.ค.-มี.ค.'!P45+'เม.ย.-มิ.ย.'!P45</f>
        <v>0</v>
      </c>
      <c r="Q45" s="459">
        <f>+'ต.ค.-ธ.ค.'!Q45+'ม.ค.-มี.ค.'!Q45+'เม.ย.-มิ.ย.'!Q45</f>
        <v>0</v>
      </c>
      <c r="R45" s="459">
        <f>+'ต.ค.-ธ.ค.'!R45+'ม.ค.-มี.ค.'!R45+'เม.ย.-มิ.ย.'!R45</f>
        <v>0</v>
      </c>
      <c r="S45" s="459">
        <f>+'ต.ค.-ธ.ค.'!S45+'ม.ค.-มี.ค.'!S45+'เม.ย.-มิ.ย.'!S45</f>
        <v>0</v>
      </c>
      <c r="T45" s="459">
        <f>+'ต.ค.-ธ.ค.'!U45+'ม.ค.-มี.ค.'!U45+'เม.ย.-มิ.ย.'!U45</f>
        <v>0</v>
      </c>
      <c r="U45" s="459">
        <f>+'ต.ค.-ธ.ค.'!V45+'ม.ค.-มี.ค.'!V45+'เม.ย.-มิ.ย.'!V45</f>
        <v>0</v>
      </c>
    </row>
    <row r="46" spans="1:22" ht="25.5" customHeight="1">
      <c r="A46" s="61"/>
      <c r="B46" s="383" t="s">
        <v>10</v>
      </c>
      <c r="C46" s="408">
        <f>144000+36000+78000+78000-15500</f>
        <v>320500</v>
      </c>
      <c r="D46" s="458"/>
      <c r="E46" s="459">
        <f>+'ต.ค.-ธ.ค.'!E46+'ม.ค.-มี.ค.'!E46+'เม.ย.-มิ.ย.'!E46</f>
        <v>89500</v>
      </c>
      <c r="F46" s="459">
        <f>+'ต.ค.-ธ.ค.'!F46+'ม.ค.-มี.ค.'!F46+'เม.ย.-มิ.ย.'!F46</f>
        <v>27000</v>
      </c>
      <c r="G46" s="459">
        <f>+'ต.ค.-ธ.ค.'!G46+'ม.ค.-มี.ค.'!G46+'เม.ย.-มิ.ย.'!G46</f>
        <v>0</v>
      </c>
      <c r="H46" s="459">
        <f>+'ต.ค.-ธ.ค.'!H46+'ม.ค.-มี.ค.'!H46+'เม.ย.-มิ.ย.'!H46</f>
        <v>58500</v>
      </c>
      <c r="I46" s="459">
        <f>+'ต.ค.-ธ.ค.'!I46+'ม.ค.-มี.ค.'!I46+'เม.ย.-มิ.ย.'!I46</f>
        <v>0</v>
      </c>
      <c r="J46" s="459">
        <f>+'ต.ค.-ธ.ค.'!J46+'ม.ค.-มี.ค.'!J46+'เม.ย.-มิ.ย.'!J46</f>
        <v>0</v>
      </c>
      <c r="K46" s="459">
        <f>+'ต.ค.-ธ.ค.'!K46+'ม.ค.-มี.ค.'!K46+'เม.ย.-มิ.ย.'!K46</f>
        <v>0</v>
      </c>
      <c r="L46" s="459">
        <f>+'ต.ค.-ธ.ค.'!L46+'ม.ค.-มี.ค.'!L46+'เม.ย.-มิ.ย.'!L46</f>
        <v>0</v>
      </c>
      <c r="M46" s="459">
        <f>+'ต.ค.-ธ.ค.'!M46+'ม.ค.-มี.ค.'!M46+'เม.ย.-มิ.ย.'!M46</f>
        <v>58500</v>
      </c>
      <c r="N46" s="459">
        <f>+'ต.ค.-ธ.ค.'!N46+'ม.ค.-มี.ค.'!N46+'เม.ย.-มิ.ย.'!N46</f>
        <v>0</v>
      </c>
      <c r="O46" s="459">
        <f>+'ต.ค.-ธ.ค.'!O46+'ม.ค.-มี.ค.'!O46+'เม.ย.-มิ.ย.'!O46</f>
        <v>0</v>
      </c>
      <c r="P46" s="459">
        <f>+'ต.ค.-ธ.ค.'!P46+'ม.ค.-มี.ค.'!P46+'เม.ย.-มิ.ย.'!P46</f>
        <v>0</v>
      </c>
      <c r="Q46" s="459">
        <f>+'ต.ค.-ธ.ค.'!Q46+'ม.ค.-มี.ค.'!Q46+'เม.ย.-มิ.ย.'!Q46</f>
        <v>0</v>
      </c>
      <c r="R46" s="459">
        <f>+'ต.ค.-ธ.ค.'!R46+'ม.ค.-มี.ค.'!R46+'เม.ย.-มิ.ย.'!R46</f>
        <v>0</v>
      </c>
      <c r="S46" s="459">
        <f>+'ต.ค.-ธ.ค.'!S46+'ม.ค.-มี.ค.'!S46+'เม.ย.-มิ.ย.'!S46</f>
        <v>0</v>
      </c>
      <c r="T46" s="459">
        <f>+'ต.ค.-ธ.ค.'!U46+'ม.ค.-มี.ค.'!U46+'เม.ย.-มิ.ย.'!U46</f>
        <v>0</v>
      </c>
      <c r="U46" s="459">
        <f>+'ต.ค.-ธ.ค.'!V46+'ม.ค.-มี.ค.'!V46+'เม.ย.-มิ.ย.'!V46</f>
        <v>0</v>
      </c>
    </row>
    <row r="47" spans="1:22" ht="25.5" customHeight="1">
      <c r="A47" s="61"/>
      <c r="B47" s="383" t="s">
        <v>9</v>
      </c>
      <c r="C47" s="408">
        <f>25000+10000+30000+20000</f>
        <v>85000</v>
      </c>
      <c r="D47" s="442"/>
      <c r="E47" s="459">
        <f>+'ต.ค.-ธ.ค.'!E47+'ม.ค.-มี.ค.'!E47+'เม.ย.-มิ.ย.'!E47</f>
        <v>14600</v>
      </c>
      <c r="F47" s="459">
        <f>+'ต.ค.-ธ.ค.'!F47+'ม.ค.-มี.ค.'!F47+'เม.ย.-มิ.ย.'!F47</f>
        <v>0</v>
      </c>
      <c r="G47" s="459">
        <f>+'ต.ค.-ธ.ค.'!G47+'ม.ค.-มี.ค.'!G47+'เม.ย.-มิ.ย.'!G47</f>
        <v>0</v>
      </c>
      <c r="H47" s="459">
        <f>+'ต.ค.-ธ.ค.'!H47+'ม.ค.-มี.ค.'!H47+'เม.ย.-มิ.ย.'!H47</f>
        <v>29300</v>
      </c>
      <c r="I47" s="459">
        <f>+'ต.ค.-ธ.ค.'!I47+'ม.ค.-มี.ค.'!I47+'เม.ย.-มิ.ย.'!I47</f>
        <v>0</v>
      </c>
      <c r="J47" s="459">
        <f>+'ต.ค.-ธ.ค.'!J47+'ม.ค.-มี.ค.'!J47+'เม.ย.-มิ.ย.'!J47</f>
        <v>0</v>
      </c>
      <c r="K47" s="459">
        <f>+'ต.ค.-ธ.ค.'!K47+'ม.ค.-มี.ค.'!K47+'เม.ย.-มิ.ย.'!K47</f>
        <v>0</v>
      </c>
      <c r="L47" s="459">
        <f>+'ต.ค.-ธ.ค.'!L47+'ม.ค.-มี.ค.'!L47+'เม.ย.-มิ.ย.'!L47</f>
        <v>0</v>
      </c>
      <c r="M47" s="459">
        <f>+'ต.ค.-ธ.ค.'!M47+'ม.ค.-มี.ค.'!M47+'เม.ย.-มิ.ย.'!M47</f>
        <v>0</v>
      </c>
      <c r="N47" s="459">
        <f>+'ต.ค.-ธ.ค.'!N47+'ม.ค.-มี.ค.'!N47+'เม.ย.-มิ.ย.'!N47</f>
        <v>0</v>
      </c>
      <c r="O47" s="459">
        <f>+'ต.ค.-ธ.ค.'!O47+'ม.ค.-มี.ค.'!O47+'เม.ย.-มิ.ย.'!O47</f>
        <v>0</v>
      </c>
      <c r="P47" s="459">
        <f>+'ต.ค.-ธ.ค.'!P47+'ม.ค.-มี.ค.'!P47+'เม.ย.-มิ.ย.'!P47</f>
        <v>0</v>
      </c>
      <c r="Q47" s="459">
        <f>+'ต.ค.-ธ.ค.'!Q47+'ม.ค.-มี.ค.'!Q47+'เม.ย.-มิ.ย.'!Q47</f>
        <v>0</v>
      </c>
      <c r="R47" s="459">
        <f>+'ต.ค.-ธ.ค.'!R47+'ม.ค.-มี.ค.'!R47+'เม.ย.-มิ.ย.'!R47</f>
        <v>0</v>
      </c>
      <c r="S47" s="459">
        <f>+'ต.ค.-ธ.ค.'!S47+'ม.ค.-มี.ค.'!S47+'เม.ย.-มิ.ย.'!S47</f>
        <v>0</v>
      </c>
      <c r="T47" s="459">
        <f>+'ต.ค.-ธ.ค.'!U47+'ม.ค.-มี.ค.'!U47+'เม.ย.-มิ.ย.'!U47</f>
        <v>0</v>
      </c>
      <c r="U47" s="459">
        <f>+'ต.ค.-ธ.ค.'!V47+'ม.ค.-มี.ค.'!V47+'เม.ย.-มิ.ย.'!V47</f>
        <v>0</v>
      </c>
    </row>
    <row r="48" spans="1:22" ht="25.5" customHeight="1">
      <c r="A48" s="468"/>
      <c r="B48" s="385" t="s">
        <v>241</v>
      </c>
      <c r="C48" s="415">
        <v>44200</v>
      </c>
      <c r="D48" s="442"/>
      <c r="E48" s="459">
        <f>+'ต.ค.-ธ.ค.'!E48+'ม.ค.-มี.ค.'!E48+'เม.ย.-มิ.ย.'!E48</f>
        <v>0</v>
      </c>
      <c r="F48" s="459">
        <f>+'ต.ค.-ธ.ค.'!F48+'ม.ค.-มี.ค.'!F48+'เม.ย.-มิ.ย.'!F48</f>
        <v>0</v>
      </c>
      <c r="G48" s="459">
        <f>+'ต.ค.-ธ.ค.'!G48+'ม.ค.-มี.ค.'!G48+'เม.ย.-มิ.ย.'!G48</f>
        <v>0</v>
      </c>
      <c r="H48" s="459">
        <f>+'ต.ค.-ธ.ค.'!H48+'ม.ค.-มี.ค.'!H48+'เม.ย.-มิ.ย.'!H48</f>
        <v>0</v>
      </c>
      <c r="I48" s="459">
        <f>+'ต.ค.-ธ.ค.'!I48+'ม.ค.-มี.ค.'!I48+'เม.ย.-มิ.ย.'!I48</f>
        <v>0</v>
      </c>
      <c r="J48" s="459">
        <f>+'ต.ค.-ธ.ค.'!J48+'ม.ค.-มี.ค.'!J48+'เม.ย.-มิ.ย.'!J48</f>
        <v>0</v>
      </c>
      <c r="K48" s="459">
        <f>+'ต.ค.-ธ.ค.'!K48+'ม.ค.-มี.ค.'!K48+'เม.ย.-มิ.ย.'!K48</f>
        <v>0</v>
      </c>
      <c r="L48" s="459">
        <f>+'ต.ค.-ธ.ค.'!L48+'ม.ค.-มี.ค.'!L48+'เม.ย.-มิ.ย.'!L48</f>
        <v>0</v>
      </c>
      <c r="M48" s="459">
        <f>+'ต.ค.-ธ.ค.'!M48+'ม.ค.-มี.ค.'!M48+'เม.ย.-มิ.ย.'!M48</f>
        <v>0</v>
      </c>
      <c r="N48" s="459">
        <f>+'ต.ค.-ธ.ค.'!N48+'ม.ค.-มี.ค.'!N48+'เม.ย.-มิ.ย.'!N48</f>
        <v>0</v>
      </c>
      <c r="O48" s="459">
        <f>+'ต.ค.-ธ.ค.'!O48+'ม.ค.-มี.ค.'!O48+'เม.ย.-มิ.ย.'!O48</f>
        <v>0</v>
      </c>
      <c r="P48" s="459">
        <f>+'ต.ค.-ธ.ค.'!P48+'ม.ค.-มี.ค.'!P48+'เม.ย.-มิ.ย.'!P48</f>
        <v>0</v>
      </c>
      <c r="Q48" s="459">
        <f>+'ต.ค.-ธ.ค.'!Q48+'ม.ค.-มี.ค.'!Q48+'เม.ย.-มิ.ย.'!Q48</f>
        <v>0</v>
      </c>
      <c r="R48" s="459">
        <f>+'ต.ค.-ธ.ค.'!R48+'ม.ค.-มี.ค.'!R48+'เม.ย.-มิ.ย.'!R48</f>
        <v>0</v>
      </c>
      <c r="S48" s="459">
        <f>+'ต.ค.-ธ.ค.'!S48+'ม.ค.-มี.ค.'!S48+'เม.ย.-มิ.ย.'!S48</f>
        <v>0</v>
      </c>
      <c r="T48" s="459">
        <f>+'ต.ค.-ธ.ค.'!U48+'ม.ค.-มี.ค.'!U48+'เม.ย.-มิ.ย.'!U48</f>
        <v>0</v>
      </c>
      <c r="U48" s="459">
        <f>+'ต.ค.-ธ.ค.'!V48+'ม.ค.-มี.ค.'!V48+'เม.ย.-มิ.ย.'!V48</f>
        <v>0</v>
      </c>
    </row>
    <row r="49" spans="1:23" ht="25.5" customHeight="1" thickBot="1">
      <c r="A49" s="465"/>
      <c r="B49" s="387" t="s">
        <v>5</v>
      </c>
      <c r="C49" s="414">
        <f>SUM(C41:C48)</f>
        <v>474700</v>
      </c>
      <c r="D49" s="466">
        <f>SUM(D41:D48)</f>
        <v>0</v>
      </c>
      <c r="E49" s="467">
        <f>SUM(E41:E48)</f>
        <v>104100</v>
      </c>
      <c r="F49" s="467">
        <f>SUM(F41:F48)</f>
        <v>27000</v>
      </c>
      <c r="G49" s="467">
        <f t="shared" ref="G49:U49" si="3">SUM(G41:G48)</f>
        <v>0</v>
      </c>
      <c r="H49" s="467">
        <f>SUM(H41:H48)</f>
        <v>87800</v>
      </c>
      <c r="I49" s="466">
        <f t="shared" si="3"/>
        <v>0</v>
      </c>
      <c r="J49" s="466">
        <f t="shared" si="3"/>
        <v>0</v>
      </c>
      <c r="K49" s="466">
        <f t="shared" si="3"/>
        <v>0</v>
      </c>
      <c r="L49" s="466">
        <f t="shared" si="3"/>
        <v>0</v>
      </c>
      <c r="M49" s="467">
        <f>SUM(M41:M48)</f>
        <v>58500</v>
      </c>
      <c r="N49" s="466">
        <f t="shared" si="3"/>
        <v>0</v>
      </c>
      <c r="O49" s="466">
        <f t="shared" si="3"/>
        <v>0</v>
      </c>
      <c r="P49" s="466">
        <f t="shared" si="3"/>
        <v>0</v>
      </c>
      <c r="Q49" s="466">
        <f t="shared" si="3"/>
        <v>0</v>
      </c>
      <c r="R49" s="466">
        <f t="shared" si="3"/>
        <v>0</v>
      </c>
      <c r="S49" s="466">
        <f t="shared" si="3"/>
        <v>0</v>
      </c>
      <c r="T49" s="466">
        <f t="shared" si="3"/>
        <v>0</v>
      </c>
      <c r="U49" s="466">
        <f t="shared" si="3"/>
        <v>0</v>
      </c>
      <c r="V49" s="314">
        <f>SUM(D49:U49)</f>
        <v>277400</v>
      </c>
    </row>
    <row r="50" spans="1:23" ht="25.5" customHeight="1" thickTop="1">
      <c r="A50" s="447" t="s">
        <v>99</v>
      </c>
      <c r="B50" s="10"/>
      <c r="C50" s="412"/>
      <c r="D50" s="458"/>
      <c r="E50" s="459"/>
      <c r="F50" s="460"/>
      <c r="G50" s="460"/>
      <c r="H50" s="460"/>
      <c r="I50" s="458"/>
      <c r="J50" s="458"/>
      <c r="K50" s="458"/>
      <c r="L50" s="458"/>
      <c r="M50" s="460"/>
      <c r="N50" s="458"/>
      <c r="O50" s="458"/>
      <c r="P50" s="458"/>
      <c r="Q50" s="458"/>
      <c r="R50" s="445"/>
      <c r="S50" s="446"/>
      <c r="T50" s="461"/>
      <c r="U50" s="461"/>
    </row>
    <row r="51" spans="1:23" s="310" customFormat="1" ht="25.5" customHeight="1">
      <c r="A51" s="447"/>
      <c r="B51" s="383" t="s">
        <v>100</v>
      </c>
      <c r="C51" s="416">
        <f>15000+7000+20000+15000</f>
        <v>57000</v>
      </c>
      <c r="D51" s="458"/>
      <c r="E51" s="459">
        <f>+'ต.ค.-ธ.ค.'!E52+'ม.ค.-มี.ค.'!E51+'เม.ย.-มิ.ย.'!E51</f>
        <v>3245</v>
      </c>
      <c r="F51" s="459">
        <f>+'ต.ค.-ธ.ค.'!F52+'ม.ค.-มี.ค.'!F51+'เม.ย.-มิ.ย.'!F51</f>
        <v>0</v>
      </c>
      <c r="G51" s="459">
        <f>+'ต.ค.-ธ.ค.'!G52+'ม.ค.-มี.ค.'!G51+'เม.ย.-มิ.ย.'!G51</f>
        <v>0</v>
      </c>
      <c r="H51" s="459">
        <f>+'ต.ค.-ธ.ค.'!H52+'ม.ค.-มี.ค.'!H51+'เม.ย.-มิ.ย.'!H51</f>
        <v>33107</v>
      </c>
      <c r="I51" s="459">
        <f>+'ต.ค.-ธ.ค.'!I52+'ม.ค.-มี.ค.'!I51+'เม.ย.-มิ.ย.'!I51</f>
        <v>0</v>
      </c>
      <c r="J51" s="459">
        <f>+'ต.ค.-ธ.ค.'!J52+'ม.ค.-มี.ค.'!J51+'เม.ย.-มิ.ย.'!J51</f>
        <v>0</v>
      </c>
      <c r="K51" s="459">
        <f>+'ต.ค.-ธ.ค.'!K52+'ม.ค.-มี.ค.'!K51+'เม.ย.-มิ.ย.'!K51</f>
        <v>0</v>
      </c>
      <c r="L51" s="459">
        <f>+'ต.ค.-ธ.ค.'!L52+'ม.ค.-มี.ค.'!L51+'เม.ย.-มิ.ย.'!L51</f>
        <v>0</v>
      </c>
      <c r="M51" s="459">
        <f>+'ต.ค.-ธ.ค.'!M52+'ม.ค.-มี.ค.'!M51+'เม.ย.-มิ.ย.'!M51</f>
        <v>0</v>
      </c>
      <c r="N51" s="459">
        <f>+'ต.ค.-ธ.ค.'!N52+'ม.ค.-มี.ค.'!N51+'เม.ย.-มิ.ย.'!N51</f>
        <v>0</v>
      </c>
      <c r="O51" s="459">
        <f>+'ต.ค.-ธ.ค.'!O52+'ม.ค.-มี.ค.'!O51+'เม.ย.-มิ.ย.'!O51</f>
        <v>0</v>
      </c>
      <c r="P51" s="459">
        <f>+'ต.ค.-ธ.ค.'!P52+'ม.ค.-มี.ค.'!P51+'เม.ย.-มิ.ย.'!P51</f>
        <v>0</v>
      </c>
      <c r="Q51" s="459">
        <f>+'ต.ค.-ธ.ค.'!Q52+'ม.ค.-มี.ค.'!Q51+'เม.ย.-มิ.ย.'!Q51</f>
        <v>0</v>
      </c>
      <c r="R51" s="459">
        <f>+'ต.ค.-ธ.ค.'!R52+'ม.ค.-มี.ค.'!R51+'เม.ย.-มิ.ย.'!R51</f>
        <v>0</v>
      </c>
      <c r="S51" s="459">
        <f>+'ต.ค.-ธ.ค.'!S52+'ม.ค.-มี.ค.'!S51+'เม.ย.-มิ.ย.'!S51</f>
        <v>0</v>
      </c>
      <c r="T51" s="459">
        <f>+'ต.ค.-ธ.ค.'!U52+'ม.ค.-มี.ค.'!U51+'เม.ย.-มิ.ย.'!U51</f>
        <v>0</v>
      </c>
      <c r="U51" s="459">
        <f>+'ต.ค.-ธ.ค.'!V52+'ม.ค.-มี.ค.'!V51+'เม.ย.-มิ.ย.'!V51</f>
        <v>0</v>
      </c>
      <c r="W51"/>
    </row>
    <row r="52" spans="1:23" s="310" customFormat="1" ht="25.5" customHeight="1">
      <c r="A52" s="447"/>
      <c r="B52" s="383" t="s">
        <v>226</v>
      </c>
      <c r="C52" s="416">
        <f>1044000+124000+384000+296000-47000+10000+156000+65000+50000+64500-15000+20000+48300+53200+5700+9400+10000+15500+10000+6400</f>
        <v>2310000</v>
      </c>
      <c r="D52" s="458"/>
      <c r="E52" s="459">
        <f>+'ต.ค.-ธ.ค.'!E53+'ม.ค.-มี.ค.'!E52+'เม.ย.-มิ.ย.'!E52</f>
        <v>1040873</v>
      </c>
      <c r="F52" s="459">
        <f>+'ต.ค.-ธ.ค.'!F53+'ม.ค.-มี.ค.'!F52+'เม.ย.-มิ.ย.'!F52</f>
        <v>79998</v>
      </c>
      <c r="G52" s="459">
        <f>+'ต.ค.-ธ.ค.'!G53+'ม.ค.-มี.ค.'!G52+'เม.ย.-มิ.ย.'!G52</f>
        <v>0</v>
      </c>
      <c r="H52" s="459">
        <f>+'ต.ค.-ธ.ค.'!H53+'ม.ค.-มี.ค.'!H52+'เม.ย.-มิ.ย.'!H52</f>
        <v>398718</v>
      </c>
      <c r="I52" s="459">
        <f>+'ต.ค.-ธ.ค.'!I53+'ม.ค.-มี.ค.'!I52+'เม.ย.-มิ.ย.'!I52</f>
        <v>0</v>
      </c>
      <c r="J52" s="459">
        <f>+'ต.ค.-ธ.ค.'!J53+'ม.ค.-มี.ค.'!J52+'เม.ย.-มิ.ย.'!J52</f>
        <v>0</v>
      </c>
      <c r="K52" s="459">
        <f>+'ต.ค.-ธ.ค.'!K53+'ม.ค.-มี.ค.'!K52+'เม.ย.-มิ.ย.'!K52</f>
        <v>0</v>
      </c>
      <c r="L52" s="459">
        <f>+'ต.ค.-ธ.ค.'!L53+'ม.ค.-มี.ค.'!L52+'เม.ย.-มิ.ย.'!L52</f>
        <v>0</v>
      </c>
      <c r="M52" s="459">
        <f>+'ต.ค.-ธ.ค.'!M53+'ม.ค.-มี.ค.'!M52+'เม.ย.-มิ.ย.'!M52</f>
        <v>285452</v>
      </c>
      <c r="N52" s="459">
        <f>+'ต.ค.-ธ.ค.'!N53+'ม.ค.-มี.ค.'!N52+'เม.ย.-มิ.ย.'!N52</f>
        <v>0</v>
      </c>
      <c r="O52" s="459">
        <f>+'ต.ค.-ธ.ค.'!O53+'ม.ค.-มี.ค.'!O52+'เม.ย.-มิ.ย.'!O52</f>
        <v>0</v>
      </c>
      <c r="P52" s="459">
        <f>+'ต.ค.-ธ.ค.'!P53+'ม.ค.-มี.ค.'!P52+'เม.ย.-มิ.ย.'!P52</f>
        <v>0</v>
      </c>
      <c r="Q52" s="459">
        <f>+'ต.ค.-ธ.ค.'!Q53+'ม.ค.-มี.ค.'!Q52+'เม.ย.-มิ.ย.'!Q52</f>
        <v>0</v>
      </c>
      <c r="R52" s="459">
        <f>+'ต.ค.-ธ.ค.'!R53+'ม.ค.-มี.ค.'!R52+'เม.ย.-มิ.ย.'!R52</f>
        <v>0</v>
      </c>
      <c r="S52" s="459">
        <f>+'ต.ค.-ธ.ค.'!S53+'ม.ค.-มี.ค.'!S52+'เม.ย.-มิ.ย.'!S52</f>
        <v>0</v>
      </c>
      <c r="T52" s="459">
        <f>+'ต.ค.-ธ.ค.'!U53+'ม.ค.-มี.ค.'!U52+'เม.ย.-มิ.ย.'!U52</f>
        <v>0</v>
      </c>
      <c r="U52" s="459">
        <f>+'ต.ค.-ธ.ค.'!V53+'ม.ค.-มี.ค.'!V52+'เม.ย.-มิ.ย.'!V52</f>
        <v>0</v>
      </c>
      <c r="W52"/>
    </row>
    <row r="53" spans="1:23" s="310" customFormat="1" ht="25.5" customHeight="1">
      <c r="A53" s="447"/>
      <c r="B53" s="383" t="s">
        <v>223</v>
      </c>
      <c r="C53" s="416">
        <v>200000</v>
      </c>
      <c r="D53" s="458"/>
      <c r="E53" s="459">
        <f>+'ต.ค.-ธ.ค.'!E54+'ม.ค.-มี.ค.'!E53+'เม.ย.-มิ.ย.'!E53</f>
        <v>100000</v>
      </c>
      <c r="F53" s="459">
        <f>+'ต.ค.-ธ.ค.'!F54+'ม.ค.-มี.ค.'!F53+'เม.ย.-มิ.ย.'!F53</f>
        <v>0</v>
      </c>
      <c r="G53" s="459">
        <f>+'ต.ค.-ธ.ค.'!G54+'ม.ค.-มี.ค.'!G53+'เม.ย.-มิ.ย.'!G53</f>
        <v>0</v>
      </c>
      <c r="H53" s="459">
        <f>+'ต.ค.-ธ.ค.'!H54+'ม.ค.-มี.ค.'!H53+'เม.ย.-มิ.ย.'!H53</f>
        <v>0</v>
      </c>
      <c r="I53" s="459">
        <f>+'ต.ค.-ธ.ค.'!I54+'ม.ค.-มี.ค.'!I53+'เม.ย.-มิ.ย.'!I53</f>
        <v>0</v>
      </c>
      <c r="J53" s="459">
        <f>+'ต.ค.-ธ.ค.'!J54+'ม.ค.-มี.ค.'!J53+'เม.ย.-มิ.ย.'!J53</f>
        <v>0</v>
      </c>
      <c r="K53" s="459">
        <f>+'ต.ค.-ธ.ค.'!K54+'ม.ค.-มี.ค.'!K53+'เม.ย.-มิ.ย.'!K53</f>
        <v>0</v>
      </c>
      <c r="L53" s="459">
        <f>+'ต.ค.-ธ.ค.'!L54+'ม.ค.-มี.ค.'!L53+'เม.ย.-มิ.ย.'!L53</f>
        <v>0</v>
      </c>
      <c r="M53" s="459">
        <f>+'ต.ค.-ธ.ค.'!M54+'ม.ค.-มี.ค.'!M53+'เม.ย.-มิ.ย.'!M53</f>
        <v>0</v>
      </c>
      <c r="N53" s="459">
        <f>+'ต.ค.-ธ.ค.'!N54+'ม.ค.-มี.ค.'!N53+'เม.ย.-มิ.ย.'!N53</f>
        <v>0</v>
      </c>
      <c r="O53" s="459">
        <f>+'ต.ค.-ธ.ค.'!O54+'ม.ค.-มี.ค.'!O53+'เม.ย.-มิ.ย.'!O53</f>
        <v>0</v>
      </c>
      <c r="P53" s="459">
        <f>+'ต.ค.-ธ.ค.'!P54+'ม.ค.-มี.ค.'!P53+'เม.ย.-มิ.ย.'!P53</f>
        <v>0</v>
      </c>
      <c r="Q53" s="459">
        <f>+'ต.ค.-ธ.ค.'!Q54+'ม.ค.-มี.ค.'!Q53+'เม.ย.-มิ.ย.'!Q53</f>
        <v>0</v>
      </c>
      <c r="R53" s="459">
        <f>+'ต.ค.-ธ.ค.'!R54+'ม.ค.-มี.ค.'!R53+'เม.ย.-มิ.ย.'!R53</f>
        <v>0</v>
      </c>
      <c r="S53" s="459">
        <f>+'ต.ค.-ธ.ค.'!S54+'ม.ค.-มี.ค.'!S53+'เม.ย.-มิ.ย.'!S53</f>
        <v>0</v>
      </c>
      <c r="T53" s="459">
        <f>+'ต.ค.-ธ.ค.'!U54+'ม.ค.-มี.ค.'!U53+'เม.ย.-มิ.ย.'!U53</f>
        <v>0</v>
      </c>
      <c r="U53" s="459">
        <f>+'ต.ค.-ธ.ค.'!V54+'ม.ค.-มี.ค.'!V53+'เม.ย.-มิ.ย.'!V53</f>
        <v>0</v>
      </c>
      <c r="W53"/>
    </row>
    <row r="54" spans="1:23" s="310" customFormat="1" ht="25.5" customHeight="1">
      <c r="A54" s="447"/>
      <c r="B54" s="383" t="s">
        <v>224</v>
      </c>
      <c r="C54" s="416">
        <v>20000</v>
      </c>
      <c r="D54" s="458"/>
      <c r="E54" s="459">
        <f>+'ต.ค.-ธ.ค.'!E55+'ม.ค.-มี.ค.'!E54+'เม.ย.-มิ.ย.'!E54</f>
        <v>0</v>
      </c>
      <c r="F54" s="459">
        <f>+'ต.ค.-ธ.ค.'!F55+'ม.ค.-มี.ค.'!F54+'เม.ย.-มิ.ย.'!F54</f>
        <v>0</v>
      </c>
      <c r="G54" s="459">
        <f>+'ต.ค.-ธ.ค.'!G55+'ม.ค.-มี.ค.'!G54+'เม.ย.-มิ.ย.'!G54</f>
        <v>0</v>
      </c>
      <c r="H54" s="459">
        <f>+'ต.ค.-ธ.ค.'!H55+'ม.ค.-มี.ค.'!H54+'เม.ย.-มิ.ย.'!H54</f>
        <v>0</v>
      </c>
      <c r="I54" s="459">
        <f>+'ต.ค.-ธ.ค.'!I55+'ม.ค.-มี.ค.'!I54+'เม.ย.-มิ.ย.'!I54</f>
        <v>0</v>
      </c>
      <c r="J54" s="459">
        <f>+'ต.ค.-ธ.ค.'!J55+'ม.ค.-มี.ค.'!J54+'เม.ย.-มิ.ย.'!J54</f>
        <v>0</v>
      </c>
      <c r="K54" s="459">
        <f>+'ต.ค.-ธ.ค.'!K55+'ม.ค.-มี.ค.'!K54+'เม.ย.-มิ.ย.'!K54</f>
        <v>0</v>
      </c>
      <c r="L54" s="459">
        <f>+'ต.ค.-ธ.ค.'!L55+'ม.ค.-มี.ค.'!L54+'เม.ย.-มิ.ย.'!L54</f>
        <v>0</v>
      </c>
      <c r="M54" s="459">
        <f>+'ต.ค.-ธ.ค.'!M55+'ม.ค.-มี.ค.'!M54+'เม.ย.-มิ.ย.'!M54</f>
        <v>0</v>
      </c>
      <c r="N54" s="459">
        <f>+'ต.ค.-ธ.ค.'!N55+'ม.ค.-มี.ค.'!N54+'เม.ย.-มิ.ย.'!N54</f>
        <v>0</v>
      </c>
      <c r="O54" s="459">
        <f>+'ต.ค.-ธ.ค.'!O55+'ม.ค.-มี.ค.'!O54+'เม.ย.-มิ.ย.'!O54</f>
        <v>0</v>
      </c>
      <c r="P54" s="459">
        <f>+'ต.ค.-ธ.ค.'!P55+'ม.ค.-มี.ค.'!P54+'เม.ย.-มิ.ย.'!P54</f>
        <v>0</v>
      </c>
      <c r="Q54" s="459">
        <f>+'ต.ค.-ธ.ค.'!Q55+'ม.ค.-มี.ค.'!Q54+'เม.ย.-มิ.ย.'!Q54</f>
        <v>0</v>
      </c>
      <c r="R54" s="459">
        <f>+'ต.ค.-ธ.ค.'!R55+'ม.ค.-มี.ค.'!R54+'เม.ย.-มิ.ย.'!R54</f>
        <v>0</v>
      </c>
      <c r="S54" s="459">
        <f>+'ต.ค.-ธ.ค.'!S55+'ม.ค.-มี.ค.'!S54+'เม.ย.-มิ.ย.'!S54</f>
        <v>0</v>
      </c>
      <c r="T54" s="459">
        <f>+'ต.ค.-ธ.ค.'!U55+'ม.ค.-มี.ค.'!U54+'เม.ย.-มิ.ย.'!U54</f>
        <v>0</v>
      </c>
      <c r="U54" s="459">
        <f>+'ต.ค.-ธ.ค.'!V55+'ม.ค.-มี.ค.'!V54+'เม.ย.-มิ.ย.'!V54</f>
        <v>0</v>
      </c>
      <c r="W54"/>
    </row>
    <row r="55" spans="1:23" s="310" customFormat="1" ht="25.5" customHeight="1">
      <c r="A55" s="447"/>
      <c r="B55" s="383" t="s">
        <v>225</v>
      </c>
      <c r="C55" s="416">
        <f>10000+14000</f>
        <v>24000</v>
      </c>
      <c r="D55" s="458"/>
      <c r="E55" s="459">
        <f>+'ต.ค.-ธ.ค.'!E56+'ม.ค.-มี.ค.'!E55+'เม.ย.-มิ.ย.'!E55</f>
        <v>20510</v>
      </c>
      <c r="F55" s="459">
        <f>+'ต.ค.-ธ.ค.'!F56+'ม.ค.-มี.ค.'!F55+'เม.ย.-มิ.ย.'!F55</f>
        <v>0</v>
      </c>
      <c r="G55" s="459">
        <f>+'ต.ค.-ธ.ค.'!G56+'ม.ค.-มี.ค.'!G55+'เม.ย.-มิ.ย.'!G55</f>
        <v>0</v>
      </c>
      <c r="H55" s="459">
        <f>+'ต.ค.-ธ.ค.'!H56+'ม.ค.-มี.ค.'!H55+'เม.ย.-มิ.ย.'!H55</f>
        <v>0</v>
      </c>
      <c r="I55" s="459">
        <f>+'ต.ค.-ธ.ค.'!I56+'ม.ค.-มี.ค.'!I55+'เม.ย.-มิ.ย.'!I55</f>
        <v>0</v>
      </c>
      <c r="J55" s="459">
        <f>+'ต.ค.-ธ.ค.'!J56+'ม.ค.-มี.ค.'!J55+'เม.ย.-มิ.ย.'!J55</f>
        <v>0</v>
      </c>
      <c r="K55" s="459">
        <f>+'ต.ค.-ธ.ค.'!K56+'ม.ค.-มี.ค.'!K55+'เม.ย.-มิ.ย.'!K55</f>
        <v>0</v>
      </c>
      <c r="L55" s="459">
        <f>+'ต.ค.-ธ.ค.'!L56+'ม.ค.-มี.ค.'!L55+'เม.ย.-มิ.ย.'!L55</f>
        <v>0</v>
      </c>
      <c r="M55" s="459">
        <f>+'ต.ค.-ธ.ค.'!M56+'ม.ค.-มี.ค.'!M55+'เม.ย.-มิ.ย.'!M55</f>
        <v>0</v>
      </c>
      <c r="N55" s="459">
        <f>+'ต.ค.-ธ.ค.'!N56+'ม.ค.-มี.ค.'!N55+'เม.ย.-มิ.ย.'!N55</f>
        <v>0</v>
      </c>
      <c r="O55" s="459">
        <f>+'ต.ค.-ธ.ค.'!O56+'ม.ค.-มี.ค.'!O55+'เม.ย.-มิ.ย.'!O55</f>
        <v>0</v>
      </c>
      <c r="P55" s="459">
        <f>+'ต.ค.-ธ.ค.'!P56+'ม.ค.-มี.ค.'!P55+'เม.ย.-มิ.ย.'!P55</f>
        <v>0</v>
      </c>
      <c r="Q55" s="459">
        <f>+'ต.ค.-ธ.ค.'!Q56+'ม.ค.-มี.ค.'!Q55+'เม.ย.-มิ.ย.'!Q55</f>
        <v>0</v>
      </c>
      <c r="R55" s="459">
        <f>+'ต.ค.-ธ.ค.'!R56+'ม.ค.-มี.ค.'!R55+'เม.ย.-มิ.ย.'!R55</f>
        <v>0</v>
      </c>
      <c r="S55" s="459">
        <f>+'ต.ค.-ธ.ค.'!S56+'ม.ค.-มี.ค.'!S55+'เม.ย.-มิ.ย.'!S55</f>
        <v>0</v>
      </c>
      <c r="T55" s="459">
        <f>+'ต.ค.-ธ.ค.'!U56+'ม.ค.-มี.ค.'!U55+'เม.ย.-มิ.ย.'!U55</f>
        <v>0</v>
      </c>
      <c r="U55" s="459">
        <f>+'ต.ค.-ธ.ค.'!V56+'ม.ค.-มี.ค.'!V55+'เม.ย.-มิ.ย.'!V55</f>
        <v>0</v>
      </c>
      <c r="W55"/>
    </row>
    <row r="56" spans="1:23" s="310" customFormat="1" ht="25.5" customHeight="1">
      <c r="A56" s="447"/>
      <c r="B56" s="383" t="s">
        <v>227</v>
      </c>
      <c r="C56" s="416">
        <v>40000</v>
      </c>
      <c r="D56" s="458"/>
      <c r="E56" s="459">
        <f>+'ต.ค.-ธ.ค.'!E57+'ม.ค.-มี.ค.'!E56+'เม.ย.-มิ.ย.'!E56</f>
        <v>0</v>
      </c>
      <c r="F56" s="459">
        <f>+'ต.ค.-ธ.ค.'!F57+'ม.ค.-มี.ค.'!F56+'เม.ย.-มิ.ย.'!F56</f>
        <v>0</v>
      </c>
      <c r="G56" s="459">
        <f>+'ต.ค.-ธ.ค.'!G57+'ม.ค.-มี.ค.'!G56+'เม.ย.-มิ.ย.'!G56</f>
        <v>0</v>
      </c>
      <c r="H56" s="459">
        <f>+'ต.ค.-ธ.ค.'!H57+'ม.ค.-มี.ค.'!H56+'เม.ย.-มิ.ย.'!H56</f>
        <v>0</v>
      </c>
      <c r="I56" s="459">
        <f>+'ต.ค.-ธ.ค.'!I57+'ม.ค.-มี.ค.'!I56+'เม.ย.-มิ.ย.'!I56</f>
        <v>0</v>
      </c>
      <c r="J56" s="459">
        <f>+'ต.ค.-ธ.ค.'!J57+'ม.ค.-มี.ค.'!J56+'เม.ย.-มิ.ย.'!J56</f>
        <v>0</v>
      </c>
      <c r="K56" s="459">
        <f>+'ต.ค.-ธ.ค.'!K57+'ม.ค.-มี.ค.'!K56+'เม.ย.-มิ.ย.'!K56</f>
        <v>0</v>
      </c>
      <c r="L56" s="459">
        <f>+'ต.ค.-ธ.ค.'!L57+'ม.ค.-มี.ค.'!L56+'เม.ย.-มิ.ย.'!L56</f>
        <v>0</v>
      </c>
      <c r="M56" s="459">
        <f>+'ต.ค.-ธ.ค.'!M57+'ม.ค.-มี.ค.'!M56+'เม.ย.-มิ.ย.'!M56</f>
        <v>0</v>
      </c>
      <c r="N56" s="459">
        <f>+'ต.ค.-ธ.ค.'!N57+'ม.ค.-มี.ค.'!N56+'เม.ย.-มิ.ย.'!N56</f>
        <v>0</v>
      </c>
      <c r="O56" s="459">
        <f>+'ต.ค.-ธ.ค.'!O57+'ม.ค.-มี.ค.'!O56+'เม.ย.-มิ.ย.'!O56</f>
        <v>0</v>
      </c>
      <c r="P56" s="459">
        <f>+'ต.ค.-ธ.ค.'!P57+'ม.ค.-มี.ค.'!P56+'เม.ย.-มิ.ย.'!P56</f>
        <v>0</v>
      </c>
      <c r="Q56" s="459">
        <f>+'ต.ค.-ธ.ค.'!Q57+'ม.ค.-มี.ค.'!Q56+'เม.ย.-มิ.ย.'!Q56</f>
        <v>0</v>
      </c>
      <c r="R56" s="459">
        <f>+'ต.ค.-ธ.ค.'!R57+'ม.ค.-มี.ค.'!R56+'เม.ย.-มิ.ย.'!R56</f>
        <v>0</v>
      </c>
      <c r="S56" s="459">
        <f>+'ต.ค.-ธ.ค.'!S57+'ม.ค.-มี.ค.'!S56+'เม.ย.-มิ.ย.'!S56</f>
        <v>0</v>
      </c>
      <c r="T56" s="459">
        <f>+'ต.ค.-ธ.ค.'!U57+'ม.ค.-มี.ค.'!U56+'เม.ย.-มิ.ย.'!U56</f>
        <v>0</v>
      </c>
      <c r="U56" s="459">
        <f>+'ต.ค.-ธ.ค.'!V57+'ม.ค.-มี.ค.'!V56+'เม.ย.-มิ.ย.'!V56</f>
        <v>0</v>
      </c>
      <c r="W56"/>
    </row>
    <row r="57" spans="1:23" s="310" customFormat="1" ht="25.5" customHeight="1">
      <c r="A57" s="447"/>
      <c r="B57" s="383" t="s">
        <v>228</v>
      </c>
      <c r="C57" s="416">
        <v>9000</v>
      </c>
      <c r="D57" s="458"/>
      <c r="E57" s="459">
        <f>+'ต.ค.-ธ.ค.'!E58+'ม.ค.-มี.ค.'!E57+'เม.ย.-มิ.ย.'!E57</f>
        <v>0</v>
      </c>
      <c r="F57" s="459">
        <f>+'ต.ค.-ธ.ค.'!F58+'ม.ค.-มี.ค.'!F57+'เม.ย.-มิ.ย.'!F57</f>
        <v>0</v>
      </c>
      <c r="G57" s="459">
        <f>+'ต.ค.-ธ.ค.'!G58+'ม.ค.-มี.ค.'!G57+'เม.ย.-มิ.ย.'!G57</f>
        <v>0</v>
      </c>
      <c r="H57" s="459">
        <f>+'ต.ค.-ธ.ค.'!H58+'ม.ค.-มี.ค.'!H57+'เม.ย.-มิ.ย.'!H57</f>
        <v>0</v>
      </c>
      <c r="I57" s="459">
        <f>+'ต.ค.-ธ.ค.'!I58+'ม.ค.-มี.ค.'!I57+'เม.ย.-มิ.ย.'!I57</f>
        <v>0</v>
      </c>
      <c r="J57" s="459">
        <f>+'ต.ค.-ธ.ค.'!J58+'ม.ค.-มี.ค.'!J57+'เม.ย.-มิ.ย.'!J57</f>
        <v>0</v>
      </c>
      <c r="K57" s="459">
        <f>+'ต.ค.-ธ.ค.'!K58+'ม.ค.-มี.ค.'!K57+'เม.ย.-มิ.ย.'!K57</f>
        <v>0</v>
      </c>
      <c r="L57" s="459">
        <f>+'ต.ค.-ธ.ค.'!L58+'ม.ค.-มี.ค.'!L57+'เม.ย.-มิ.ย.'!L57</f>
        <v>0</v>
      </c>
      <c r="M57" s="459">
        <f>+'ต.ค.-ธ.ค.'!M58+'ม.ค.-มี.ค.'!M57+'เม.ย.-มิ.ย.'!M57</f>
        <v>0</v>
      </c>
      <c r="N57" s="459">
        <f>+'ต.ค.-ธ.ค.'!N58+'ม.ค.-มี.ค.'!N57+'เม.ย.-มิ.ย.'!N57</f>
        <v>0</v>
      </c>
      <c r="O57" s="459">
        <f>+'ต.ค.-ธ.ค.'!O58+'ม.ค.-มี.ค.'!O57+'เม.ย.-มิ.ย.'!O57</f>
        <v>0</v>
      </c>
      <c r="P57" s="459">
        <f>+'ต.ค.-ธ.ค.'!P58+'ม.ค.-มี.ค.'!P57+'เม.ย.-มิ.ย.'!P57</f>
        <v>0</v>
      </c>
      <c r="Q57" s="459">
        <f>+'ต.ค.-ธ.ค.'!Q58+'ม.ค.-มี.ค.'!Q57+'เม.ย.-มิ.ย.'!Q57</f>
        <v>0</v>
      </c>
      <c r="R57" s="459">
        <f>+'ต.ค.-ธ.ค.'!R58+'ม.ค.-มี.ค.'!R57+'เม.ย.-มิ.ย.'!R57</f>
        <v>0</v>
      </c>
      <c r="S57" s="459">
        <f>+'ต.ค.-ธ.ค.'!S58+'ม.ค.-มี.ค.'!S57+'เม.ย.-มิ.ย.'!S57</f>
        <v>0</v>
      </c>
      <c r="T57" s="459">
        <f>+'ต.ค.-ธ.ค.'!U58+'ม.ค.-มี.ค.'!U57+'เม.ย.-มิ.ย.'!U57</f>
        <v>0</v>
      </c>
      <c r="U57" s="459">
        <f>+'ต.ค.-ธ.ค.'!V58+'ม.ค.-มี.ค.'!V57+'เม.ย.-มิ.ย.'!V57</f>
        <v>0</v>
      </c>
      <c r="W57"/>
    </row>
    <row r="58" spans="1:23" s="310" customFormat="1" ht="25.5" customHeight="1">
      <c r="A58" s="447"/>
      <c r="B58" s="383" t="s">
        <v>11</v>
      </c>
      <c r="C58" s="416">
        <f>10000+60000+20000</f>
        <v>90000</v>
      </c>
      <c r="D58" s="458"/>
      <c r="E58" s="459">
        <f>+'ต.ค.-ธ.ค.'!E59+'ม.ค.-มี.ค.'!E58+'เม.ย.-มิ.ย.'!E58</f>
        <v>15849</v>
      </c>
      <c r="F58" s="459">
        <f>+'ต.ค.-ธ.ค.'!F59+'ม.ค.-มี.ค.'!F58+'เม.ย.-มิ.ย.'!F58</f>
        <v>0</v>
      </c>
      <c r="G58" s="459">
        <f>+'ต.ค.-ธ.ค.'!G59+'ม.ค.-มี.ค.'!G58+'เม.ย.-มิ.ย.'!G58</f>
        <v>0</v>
      </c>
      <c r="H58" s="459">
        <f>+'ต.ค.-ธ.ค.'!H59+'ม.ค.-มี.ค.'!H58+'เม.ย.-มิ.ย.'!H58</f>
        <v>0</v>
      </c>
      <c r="I58" s="459">
        <f>+'ต.ค.-ธ.ค.'!I59+'ม.ค.-มี.ค.'!I58+'เม.ย.-มิ.ย.'!I58</f>
        <v>0</v>
      </c>
      <c r="J58" s="459">
        <f>+'ต.ค.-ธ.ค.'!J59+'ม.ค.-มี.ค.'!J58+'เม.ย.-มิ.ย.'!J58</f>
        <v>0</v>
      </c>
      <c r="K58" s="459">
        <f>+'ต.ค.-ธ.ค.'!K59+'ม.ค.-มี.ค.'!K58+'เม.ย.-มิ.ย.'!K58</f>
        <v>0</v>
      </c>
      <c r="L58" s="459">
        <f>+'ต.ค.-ธ.ค.'!L59+'ม.ค.-มี.ค.'!L58+'เม.ย.-มิ.ย.'!L58</f>
        <v>0</v>
      </c>
      <c r="M58" s="459">
        <f>+'ต.ค.-ธ.ค.'!M59+'ม.ค.-มี.ค.'!M58+'เม.ย.-มิ.ย.'!M58</f>
        <v>0</v>
      </c>
      <c r="N58" s="459">
        <f>+'ต.ค.-ธ.ค.'!N59+'ม.ค.-มี.ค.'!N58+'เม.ย.-มิ.ย.'!N58</f>
        <v>0</v>
      </c>
      <c r="O58" s="459">
        <f>+'ต.ค.-ธ.ค.'!O59+'ม.ค.-มี.ค.'!O58+'เม.ย.-มิ.ย.'!O58</f>
        <v>0</v>
      </c>
      <c r="P58" s="459">
        <f>+'ต.ค.-ธ.ค.'!P59+'ม.ค.-มี.ค.'!P58+'เม.ย.-มิ.ย.'!P58</f>
        <v>0</v>
      </c>
      <c r="Q58" s="459">
        <f>+'ต.ค.-ธ.ค.'!Q59+'ม.ค.-มี.ค.'!Q58+'เม.ย.-มิ.ย.'!Q58</f>
        <v>0</v>
      </c>
      <c r="R58" s="459">
        <f>+'ต.ค.-ธ.ค.'!R59+'ม.ค.-มี.ค.'!R58+'เม.ย.-มิ.ย.'!R58</f>
        <v>0</v>
      </c>
      <c r="S58" s="459">
        <f>+'ต.ค.-ธ.ค.'!S59+'ม.ค.-มี.ค.'!S58+'เม.ย.-มิ.ย.'!S58</f>
        <v>0</v>
      </c>
      <c r="T58" s="459">
        <f>+'ต.ค.-ธ.ค.'!U59+'ม.ค.-มี.ค.'!U58+'เม.ย.-มิ.ย.'!U58</f>
        <v>0</v>
      </c>
      <c r="U58" s="459">
        <f>+'ต.ค.-ธ.ค.'!V59+'ม.ค.-มี.ค.'!V58+'เม.ย.-มิ.ย.'!V58</f>
        <v>0</v>
      </c>
      <c r="W58"/>
    </row>
    <row r="59" spans="1:23" s="310" customFormat="1" ht="25.5" customHeight="1">
      <c r="A59" s="447"/>
      <c r="B59" s="383" t="s">
        <v>229</v>
      </c>
      <c r="C59" s="416">
        <v>10000</v>
      </c>
      <c r="D59" s="458"/>
      <c r="E59" s="459">
        <f>+'ต.ค.-ธ.ค.'!E60+'ม.ค.-มี.ค.'!E59+'เม.ย.-มิ.ย.'!E59</f>
        <v>7332</v>
      </c>
      <c r="F59" s="459">
        <f>+'ต.ค.-ธ.ค.'!F60+'ม.ค.-มี.ค.'!F59+'เม.ย.-มิ.ย.'!F59</f>
        <v>0</v>
      </c>
      <c r="G59" s="459">
        <f>+'ต.ค.-ธ.ค.'!G60+'ม.ค.-มี.ค.'!G59+'เม.ย.-มิ.ย.'!G59</f>
        <v>0</v>
      </c>
      <c r="H59" s="459">
        <f>+'ต.ค.-ธ.ค.'!H60+'ม.ค.-มี.ค.'!H59+'เม.ย.-มิ.ย.'!H59</f>
        <v>0</v>
      </c>
      <c r="I59" s="459">
        <f>+'ต.ค.-ธ.ค.'!I60+'ม.ค.-มี.ค.'!I59+'เม.ย.-มิ.ย.'!I59</f>
        <v>0</v>
      </c>
      <c r="J59" s="459">
        <f>+'ต.ค.-ธ.ค.'!J60+'ม.ค.-มี.ค.'!J59+'เม.ย.-มิ.ย.'!J59</f>
        <v>0</v>
      </c>
      <c r="K59" s="459">
        <f>+'ต.ค.-ธ.ค.'!K60+'ม.ค.-มี.ค.'!K59+'เม.ย.-มิ.ย.'!K59</f>
        <v>0</v>
      </c>
      <c r="L59" s="459">
        <f>+'ต.ค.-ธ.ค.'!L60+'ม.ค.-มี.ค.'!L59+'เม.ย.-มิ.ย.'!L59</f>
        <v>0</v>
      </c>
      <c r="M59" s="459">
        <f>+'ต.ค.-ธ.ค.'!M60+'ม.ค.-มี.ค.'!M59+'เม.ย.-มิ.ย.'!M59</f>
        <v>0</v>
      </c>
      <c r="N59" s="459">
        <f>+'ต.ค.-ธ.ค.'!N60+'ม.ค.-มี.ค.'!N59+'เม.ย.-มิ.ย.'!N59</f>
        <v>0</v>
      </c>
      <c r="O59" s="459">
        <f>+'ต.ค.-ธ.ค.'!O60+'ม.ค.-มี.ค.'!O59+'เม.ย.-มิ.ย.'!O59</f>
        <v>0</v>
      </c>
      <c r="P59" s="459">
        <f>+'ต.ค.-ธ.ค.'!P60+'ม.ค.-มี.ค.'!P59+'เม.ย.-มิ.ย.'!P59</f>
        <v>0</v>
      </c>
      <c r="Q59" s="459">
        <f>+'ต.ค.-ธ.ค.'!Q60+'ม.ค.-มี.ค.'!Q59+'เม.ย.-มิ.ย.'!Q59</f>
        <v>0</v>
      </c>
      <c r="R59" s="459">
        <f>+'ต.ค.-ธ.ค.'!R60+'ม.ค.-มี.ค.'!R59+'เม.ย.-มิ.ย.'!R59</f>
        <v>0</v>
      </c>
      <c r="S59" s="459">
        <f>+'ต.ค.-ธ.ค.'!S60+'ม.ค.-มี.ค.'!S59+'เม.ย.-มิ.ย.'!S59</f>
        <v>0</v>
      </c>
      <c r="T59" s="459">
        <f>+'ต.ค.-ธ.ค.'!U60+'ม.ค.-มี.ค.'!U59+'เม.ย.-มิ.ย.'!U59</f>
        <v>0</v>
      </c>
      <c r="U59" s="459">
        <f>+'ต.ค.-ธ.ค.'!V60+'ม.ค.-มี.ค.'!V59+'เม.ย.-มิ.ย.'!V59</f>
        <v>0</v>
      </c>
      <c r="W59"/>
    </row>
    <row r="60" spans="1:23" s="310" customFormat="1" ht="25.5" customHeight="1">
      <c r="A60" s="447"/>
      <c r="B60" s="383" t="s">
        <v>230</v>
      </c>
      <c r="C60" s="416">
        <v>20000</v>
      </c>
      <c r="D60" s="458"/>
      <c r="E60" s="459">
        <f>+'ต.ค.-ธ.ค.'!E61+'ม.ค.-มี.ค.'!E60+'เม.ย.-มิ.ย.'!E60</f>
        <v>61400</v>
      </c>
      <c r="F60" s="459">
        <f>+'ต.ค.-ธ.ค.'!F61+'ม.ค.-มี.ค.'!F60+'เม.ย.-มิ.ย.'!F60</f>
        <v>0</v>
      </c>
      <c r="G60" s="459">
        <f>+'ต.ค.-ธ.ค.'!G61+'ม.ค.-มี.ค.'!G60+'เม.ย.-มิ.ย.'!G60</f>
        <v>0</v>
      </c>
      <c r="H60" s="459">
        <f>+'ต.ค.-ธ.ค.'!H61+'ม.ค.-มี.ค.'!H60+'เม.ย.-มิ.ย.'!H60</f>
        <v>0</v>
      </c>
      <c r="I60" s="459">
        <f>+'ต.ค.-ธ.ค.'!I61+'ม.ค.-มี.ค.'!I60+'เม.ย.-มิ.ย.'!I60</f>
        <v>0</v>
      </c>
      <c r="J60" s="459">
        <f>+'ต.ค.-ธ.ค.'!J61+'ม.ค.-มี.ค.'!J60+'เม.ย.-มิ.ย.'!J60</f>
        <v>0</v>
      </c>
      <c r="K60" s="459">
        <f>+'ต.ค.-ธ.ค.'!K61+'ม.ค.-มี.ค.'!K60+'เม.ย.-มิ.ย.'!K60</f>
        <v>0</v>
      </c>
      <c r="L60" s="459">
        <f>+'ต.ค.-ธ.ค.'!L61+'ม.ค.-มี.ค.'!L60+'เม.ย.-มิ.ย.'!L60</f>
        <v>0</v>
      </c>
      <c r="M60" s="459">
        <f>+'ต.ค.-ธ.ค.'!M61+'ม.ค.-มี.ค.'!M60+'เม.ย.-มิ.ย.'!M60</f>
        <v>0</v>
      </c>
      <c r="N60" s="459">
        <f>+'ต.ค.-ธ.ค.'!N61+'ม.ค.-มี.ค.'!N60+'เม.ย.-มิ.ย.'!N60</f>
        <v>0</v>
      </c>
      <c r="O60" s="459">
        <f>+'ต.ค.-ธ.ค.'!O61+'ม.ค.-มี.ค.'!O60+'เม.ย.-มิ.ย.'!O60</f>
        <v>0</v>
      </c>
      <c r="P60" s="459">
        <f>+'ต.ค.-ธ.ค.'!P61+'ม.ค.-มี.ค.'!P60+'เม.ย.-มิ.ย.'!P60</f>
        <v>0</v>
      </c>
      <c r="Q60" s="459">
        <f>+'ต.ค.-ธ.ค.'!Q61+'ม.ค.-มี.ค.'!Q60+'เม.ย.-มิ.ย.'!Q60</f>
        <v>0</v>
      </c>
      <c r="R60" s="459">
        <f>+'ต.ค.-ธ.ค.'!R61+'ม.ค.-มี.ค.'!R60+'เม.ย.-มิ.ย.'!R60</f>
        <v>0</v>
      </c>
      <c r="S60" s="459">
        <f>+'ต.ค.-ธ.ค.'!S61+'ม.ค.-มี.ค.'!S60+'เม.ย.-มิ.ย.'!S60</f>
        <v>0</v>
      </c>
      <c r="T60" s="459">
        <f>+'ต.ค.-ธ.ค.'!U61+'ม.ค.-มี.ค.'!U60+'เม.ย.-มิ.ย.'!U60</f>
        <v>0</v>
      </c>
      <c r="U60" s="459">
        <f>+'ต.ค.-ธ.ค.'!V61+'ม.ค.-มี.ค.'!V60+'เม.ย.-มิ.ย.'!V60</f>
        <v>0</v>
      </c>
      <c r="W60"/>
    </row>
    <row r="61" spans="1:23" s="310" customFormat="1" ht="25.5" customHeight="1">
      <c r="A61" s="61"/>
      <c r="B61" s="383" t="s">
        <v>50</v>
      </c>
      <c r="C61" s="417">
        <f>10000-10000</f>
        <v>0</v>
      </c>
      <c r="D61" s="458"/>
      <c r="E61" s="459">
        <f>+'ต.ค.-ธ.ค.'!E62+'ม.ค.-มี.ค.'!E61+'เม.ย.-มิ.ย.'!E61</f>
        <v>0</v>
      </c>
      <c r="F61" s="459">
        <f>+'ต.ค.-ธ.ค.'!F62+'ม.ค.-มี.ค.'!F61+'เม.ย.-มิ.ย.'!F61</f>
        <v>0</v>
      </c>
      <c r="G61" s="459">
        <f>+'ต.ค.-ธ.ค.'!G62+'ม.ค.-มี.ค.'!G61+'เม.ย.-มิ.ย.'!G61</f>
        <v>0</v>
      </c>
      <c r="H61" s="459">
        <f>+'ต.ค.-ธ.ค.'!H62+'ม.ค.-มี.ค.'!H61+'เม.ย.-มิ.ย.'!H61</f>
        <v>0</v>
      </c>
      <c r="I61" s="459">
        <f>+'ต.ค.-ธ.ค.'!I62+'ม.ค.-มี.ค.'!I61+'เม.ย.-มิ.ย.'!I61</f>
        <v>0</v>
      </c>
      <c r="J61" s="459">
        <f>+'ต.ค.-ธ.ค.'!J62+'ม.ค.-มี.ค.'!J61+'เม.ย.-มิ.ย.'!J61</f>
        <v>0</v>
      </c>
      <c r="K61" s="459">
        <f>+'ต.ค.-ธ.ค.'!K62+'ม.ค.-มี.ค.'!K61+'เม.ย.-มิ.ย.'!K61</f>
        <v>0</v>
      </c>
      <c r="L61" s="459">
        <f>+'ต.ค.-ธ.ค.'!L62+'ม.ค.-มี.ค.'!L61+'เม.ย.-มิ.ย.'!L61</f>
        <v>0</v>
      </c>
      <c r="M61" s="459">
        <f>+'ต.ค.-ธ.ค.'!M62+'ม.ค.-มี.ค.'!M61+'เม.ย.-มิ.ย.'!M61</f>
        <v>0</v>
      </c>
      <c r="N61" s="459">
        <f>+'ต.ค.-ธ.ค.'!N62+'ม.ค.-มี.ค.'!N61+'เม.ย.-มิ.ย.'!N61</f>
        <v>0</v>
      </c>
      <c r="O61" s="459">
        <f>+'ต.ค.-ธ.ค.'!O62+'ม.ค.-มี.ค.'!O61+'เม.ย.-มิ.ย.'!O61</f>
        <v>0</v>
      </c>
      <c r="P61" s="459">
        <f>+'ต.ค.-ธ.ค.'!P62+'ม.ค.-มี.ค.'!P61+'เม.ย.-มิ.ย.'!P61</f>
        <v>0</v>
      </c>
      <c r="Q61" s="459">
        <f>+'ต.ค.-ธ.ค.'!Q62+'ม.ค.-มี.ค.'!Q61+'เม.ย.-มิ.ย.'!Q61</f>
        <v>0</v>
      </c>
      <c r="R61" s="459">
        <f>+'ต.ค.-ธ.ค.'!R62+'ม.ค.-มี.ค.'!R61+'เม.ย.-มิ.ย.'!R61</f>
        <v>0</v>
      </c>
      <c r="S61" s="459">
        <f>+'ต.ค.-ธ.ค.'!S62+'ม.ค.-มี.ค.'!S61+'เม.ย.-มิ.ย.'!S61</f>
        <v>0</v>
      </c>
      <c r="T61" s="459">
        <f>+'ต.ค.-ธ.ค.'!U62+'ม.ค.-มี.ค.'!U61+'เม.ย.-มิ.ย.'!U61</f>
        <v>0</v>
      </c>
      <c r="U61" s="459">
        <f>+'ต.ค.-ธ.ค.'!V62+'ม.ค.-มี.ค.'!V61+'เม.ย.-มิ.ย.'!V61</f>
        <v>0</v>
      </c>
      <c r="W61"/>
    </row>
    <row r="62" spans="1:23" s="310" customFormat="1" ht="25.5" customHeight="1">
      <c r="A62" s="61"/>
      <c r="B62" s="383" t="s">
        <v>103</v>
      </c>
      <c r="C62" s="417">
        <v>10000</v>
      </c>
      <c r="D62" s="442"/>
      <c r="E62" s="459">
        <f>+'ต.ค.-ธ.ค.'!E63+'ม.ค.-มี.ค.'!E62+'เม.ย.-มิ.ย.'!E62</f>
        <v>0</v>
      </c>
      <c r="F62" s="459">
        <f>+'ต.ค.-ธ.ค.'!F63+'ม.ค.-มี.ค.'!F62+'เม.ย.-มิ.ย.'!F62</f>
        <v>0</v>
      </c>
      <c r="G62" s="459">
        <f>+'ต.ค.-ธ.ค.'!G63+'ม.ค.-มี.ค.'!G62+'เม.ย.-มิ.ย.'!G62</f>
        <v>0</v>
      </c>
      <c r="H62" s="459">
        <f>+'ต.ค.-ธ.ค.'!H63+'ม.ค.-มี.ค.'!H62+'เม.ย.-มิ.ย.'!H62</f>
        <v>0</v>
      </c>
      <c r="I62" s="459">
        <f>+'ต.ค.-ธ.ค.'!I63+'ม.ค.-มี.ค.'!I62+'เม.ย.-มิ.ย.'!I62</f>
        <v>0</v>
      </c>
      <c r="J62" s="459">
        <f>+'ต.ค.-ธ.ค.'!J63+'ม.ค.-มี.ค.'!J62+'เม.ย.-มิ.ย.'!J62</f>
        <v>0</v>
      </c>
      <c r="K62" s="459">
        <f>+'ต.ค.-ธ.ค.'!K63+'ม.ค.-มี.ค.'!K62+'เม.ย.-มิ.ย.'!K62</f>
        <v>0</v>
      </c>
      <c r="L62" s="459">
        <f>+'ต.ค.-ธ.ค.'!L63+'ม.ค.-มี.ค.'!L62+'เม.ย.-มิ.ย.'!L62</f>
        <v>0</v>
      </c>
      <c r="M62" s="459">
        <f>+'ต.ค.-ธ.ค.'!M63+'ม.ค.-มี.ค.'!M62+'เม.ย.-มิ.ย.'!M62</f>
        <v>0</v>
      </c>
      <c r="N62" s="459">
        <f>+'ต.ค.-ธ.ค.'!N63+'ม.ค.-มี.ค.'!N62+'เม.ย.-มิ.ย.'!N62</f>
        <v>0</v>
      </c>
      <c r="O62" s="459">
        <f>+'ต.ค.-ธ.ค.'!O63+'ม.ค.-มี.ค.'!O62+'เม.ย.-มิ.ย.'!O62</f>
        <v>0</v>
      </c>
      <c r="P62" s="459">
        <f>+'ต.ค.-ธ.ค.'!P63+'ม.ค.-มี.ค.'!P62+'เม.ย.-มิ.ย.'!P62</f>
        <v>0</v>
      </c>
      <c r="Q62" s="459">
        <f>+'ต.ค.-ธ.ค.'!Q63+'ม.ค.-มี.ค.'!Q62+'เม.ย.-มิ.ย.'!Q62</f>
        <v>0</v>
      </c>
      <c r="R62" s="459">
        <f>+'ต.ค.-ธ.ค.'!R63+'ม.ค.-มี.ค.'!R62+'เม.ย.-มิ.ย.'!R62</f>
        <v>0</v>
      </c>
      <c r="S62" s="459">
        <f>+'ต.ค.-ธ.ค.'!S63+'ม.ค.-มี.ค.'!S62+'เม.ย.-มิ.ย.'!S62</f>
        <v>0</v>
      </c>
      <c r="T62" s="459">
        <f>+'ต.ค.-ธ.ค.'!U63+'ม.ค.-มี.ค.'!U62+'เม.ย.-มิ.ย.'!U62</f>
        <v>0</v>
      </c>
      <c r="U62" s="459">
        <f>+'ต.ค.-ธ.ค.'!V63+'ม.ค.-มี.ค.'!V62+'เม.ย.-มิ.ย.'!V62</f>
        <v>0</v>
      </c>
      <c r="W62"/>
    </row>
    <row r="63" spans="1:23" s="310" customFormat="1" ht="29.25" customHeight="1">
      <c r="A63" s="61"/>
      <c r="B63" s="388" t="s">
        <v>106</v>
      </c>
      <c r="C63" s="418">
        <f>200000+30000+30000+80000+19000+1000+10000+2500+2500+2500+2500+20000+15000+5000</f>
        <v>420000</v>
      </c>
      <c r="D63" s="442"/>
      <c r="E63" s="459">
        <f>+'ต.ค.-ธ.ค.'!E64+'ม.ค.-มี.ค.'!E63+'เม.ย.-มิ.ย.'!E63</f>
        <v>169193</v>
      </c>
      <c r="F63" s="459">
        <f>+'ต.ค.-ธ.ค.'!F64+'ม.ค.-มี.ค.'!F63+'เม.ย.-มิ.ย.'!F63</f>
        <v>30940</v>
      </c>
      <c r="G63" s="459">
        <f>+'ต.ค.-ธ.ค.'!G64+'ม.ค.-มี.ค.'!G63+'เม.ย.-มิ.ย.'!G63</f>
        <v>0</v>
      </c>
      <c r="H63" s="459">
        <f>+'ต.ค.-ธ.ค.'!H64+'ม.ค.-มี.ค.'!H63+'เม.ย.-มิ.ย.'!H63</f>
        <v>130846</v>
      </c>
      <c r="I63" s="459">
        <f>+'ต.ค.-ธ.ค.'!I64+'ม.ค.-มี.ค.'!I63+'เม.ย.-มิ.ย.'!I63</f>
        <v>0</v>
      </c>
      <c r="J63" s="459">
        <f>+'ต.ค.-ธ.ค.'!J64+'ม.ค.-มี.ค.'!J63+'เม.ย.-มิ.ย.'!J63</f>
        <v>0</v>
      </c>
      <c r="K63" s="459">
        <f>+'ต.ค.-ธ.ค.'!K64+'ม.ค.-มี.ค.'!K63+'เม.ย.-มิ.ย.'!K63</f>
        <v>0</v>
      </c>
      <c r="L63" s="459">
        <f>+'ต.ค.-ธ.ค.'!L64+'ม.ค.-มี.ค.'!L63+'เม.ย.-มิ.ย.'!L63</f>
        <v>0</v>
      </c>
      <c r="M63" s="459">
        <f>+'ต.ค.-ธ.ค.'!M64+'ม.ค.-มี.ค.'!M63+'เม.ย.-มิ.ย.'!M63</f>
        <v>9020</v>
      </c>
      <c r="N63" s="459">
        <f>+'ต.ค.-ธ.ค.'!N64+'ม.ค.-มี.ค.'!N63+'เม.ย.-มิ.ย.'!N63</f>
        <v>0</v>
      </c>
      <c r="O63" s="459">
        <f>+'ต.ค.-ธ.ค.'!O64+'ม.ค.-มี.ค.'!O63+'เม.ย.-มิ.ย.'!O63</f>
        <v>0</v>
      </c>
      <c r="P63" s="459">
        <f>+'ต.ค.-ธ.ค.'!P64+'ม.ค.-มี.ค.'!P63+'เม.ย.-มิ.ย.'!P63</f>
        <v>0</v>
      </c>
      <c r="Q63" s="459">
        <f>+'ต.ค.-ธ.ค.'!Q64+'ม.ค.-มี.ค.'!Q63+'เม.ย.-มิ.ย.'!Q63</f>
        <v>0</v>
      </c>
      <c r="R63" s="459">
        <f>+'ต.ค.-ธ.ค.'!R64+'ม.ค.-มี.ค.'!R63+'เม.ย.-มิ.ย.'!R63</f>
        <v>0</v>
      </c>
      <c r="S63" s="459">
        <f>+'ต.ค.-ธ.ค.'!S64+'ม.ค.-มี.ค.'!S63+'เม.ย.-มิ.ย.'!S63</f>
        <v>0</v>
      </c>
      <c r="T63" s="459">
        <f>+'ต.ค.-ธ.ค.'!U64+'ม.ค.-มี.ค.'!U63+'เม.ย.-มิ.ย.'!U63</f>
        <v>0</v>
      </c>
      <c r="U63" s="459">
        <f>+'ต.ค.-ธ.ค.'!V64+'ม.ค.-มี.ค.'!V63+'เม.ย.-มิ.ย.'!V63</f>
        <v>0</v>
      </c>
      <c r="W63"/>
    </row>
    <row r="64" spans="1:23" s="310" customFormat="1" ht="29.25" customHeight="1">
      <c r="A64" s="61"/>
      <c r="B64" s="388" t="s">
        <v>231</v>
      </c>
      <c r="C64" s="418">
        <f>5000+8900</f>
        <v>13900</v>
      </c>
      <c r="D64" s="442"/>
      <c r="E64" s="459">
        <f>+'ต.ค.-ธ.ค.'!E65+'ม.ค.-มี.ค.'!E64+'เม.ย.-มิ.ย.'!E64</f>
        <v>7000</v>
      </c>
      <c r="F64" s="459">
        <f>+'ต.ค.-ธ.ค.'!F65+'ม.ค.-มี.ค.'!F64+'เม.ย.-มิ.ย.'!F64</f>
        <v>0</v>
      </c>
      <c r="G64" s="459">
        <f>+'ต.ค.-ธ.ค.'!G65+'ม.ค.-มี.ค.'!G64+'เม.ย.-มิ.ย.'!G64</f>
        <v>0</v>
      </c>
      <c r="H64" s="459">
        <f>+'ต.ค.-ธ.ค.'!H65+'ม.ค.-มี.ค.'!H64+'เม.ย.-มิ.ย.'!H64</f>
        <v>0</v>
      </c>
      <c r="I64" s="459">
        <f>+'ต.ค.-ธ.ค.'!I65+'ม.ค.-มี.ค.'!I64+'เม.ย.-มิ.ย.'!I64</f>
        <v>0</v>
      </c>
      <c r="J64" s="459">
        <f>+'ต.ค.-ธ.ค.'!J65+'ม.ค.-มี.ค.'!J64+'เม.ย.-มิ.ย.'!J64</f>
        <v>0</v>
      </c>
      <c r="K64" s="459">
        <f>+'ต.ค.-ธ.ค.'!K65+'ม.ค.-มี.ค.'!K64+'เม.ย.-มิ.ย.'!K64</f>
        <v>0</v>
      </c>
      <c r="L64" s="459">
        <f>+'ต.ค.-ธ.ค.'!L65+'ม.ค.-มี.ค.'!L64+'เม.ย.-มิ.ย.'!L64</f>
        <v>0</v>
      </c>
      <c r="M64" s="459">
        <f>+'ต.ค.-ธ.ค.'!M65+'ม.ค.-มี.ค.'!M64+'เม.ย.-มิ.ย.'!M64</f>
        <v>0</v>
      </c>
      <c r="N64" s="459">
        <f>+'ต.ค.-ธ.ค.'!N65+'ม.ค.-มี.ค.'!N64+'เม.ย.-มิ.ย.'!N64</f>
        <v>0</v>
      </c>
      <c r="O64" s="459">
        <f>+'ต.ค.-ธ.ค.'!O65+'ม.ค.-มี.ค.'!O64+'เม.ย.-มิ.ย.'!O64</f>
        <v>0</v>
      </c>
      <c r="P64" s="459">
        <f>+'ต.ค.-ธ.ค.'!P65+'ม.ค.-มี.ค.'!P64+'เม.ย.-มิ.ย.'!P64</f>
        <v>0</v>
      </c>
      <c r="Q64" s="459">
        <f>+'ต.ค.-ธ.ค.'!Q65+'ม.ค.-มี.ค.'!Q64+'เม.ย.-มิ.ย.'!Q64</f>
        <v>0</v>
      </c>
      <c r="R64" s="459">
        <f>+'ต.ค.-ธ.ค.'!R65+'ม.ค.-มี.ค.'!R64+'เม.ย.-มิ.ย.'!R64</f>
        <v>0</v>
      </c>
      <c r="S64" s="459">
        <f>+'ต.ค.-ธ.ค.'!S65+'ม.ค.-มี.ค.'!S64+'เม.ย.-มิ.ย.'!S64</f>
        <v>0</v>
      </c>
      <c r="T64" s="459">
        <f>+'ต.ค.-ธ.ค.'!U65+'ม.ค.-มี.ค.'!U64+'เม.ย.-มิ.ย.'!U64</f>
        <v>0</v>
      </c>
      <c r="U64" s="459">
        <f>+'ต.ค.-ธ.ค.'!V65+'ม.ค.-มี.ค.'!V64+'เม.ย.-มิ.ย.'!V64</f>
        <v>0</v>
      </c>
      <c r="W64"/>
    </row>
    <row r="65" spans="1:23" s="310" customFormat="1" ht="29.25" customHeight="1">
      <c r="A65" s="61"/>
      <c r="B65" s="388" t="s">
        <v>204</v>
      </c>
      <c r="C65" s="418">
        <v>5000</v>
      </c>
      <c r="D65" s="442"/>
      <c r="E65" s="459">
        <f>+'ต.ค.-ธ.ค.'!E66+'ม.ค.-มี.ค.'!E65+'เม.ย.-มิ.ย.'!E65</f>
        <v>0</v>
      </c>
      <c r="F65" s="459">
        <f>+'ต.ค.-ธ.ค.'!F66+'ม.ค.-มี.ค.'!F65+'เม.ย.-มิ.ย.'!F65</f>
        <v>0</v>
      </c>
      <c r="G65" s="459">
        <f>+'ต.ค.-ธ.ค.'!G66+'ม.ค.-มี.ค.'!G65+'เม.ย.-มิ.ย.'!G65</f>
        <v>0</v>
      </c>
      <c r="H65" s="459">
        <f>+'ต.ค.-ธ.ค.'!H66+'ม.ค.-มี.ค.'!H65+'เม.ย.-มิ.ย.'!H65</f>
        <v>0</v>
      </c>
      <c r="I65" s="459">
        <f>+'ต.ค.-ธ.ค.'!I66+'ม.ค.-มี.ค.'!I65+'เม.ย.-มิ.ย.'!I65</f>
        <v>0</v>
      </c>
      <c r="J65" s="459">
        <f>+'ต.ค.-ธ.ค.'!J66+'ม.ค.-มี.ค.'!J65+'เม.ย.-มิ.ย.'!J65</f>
        <v>0</v>
      </c>
      <c r="K65" s="459">
        <f>+'ต.ค.-ธ.ค.'!K66+'ม.ค.-มี.ค.'!K65+'เม.ย.-มิ.ย.'!K65</f>
        <v>0</v>
      </c>
      <c r="L65" s="459">
        <f>+'ต.ค.-ธ.ค.'!L66+'ม.ค.-มี.ค.'!L65+'เม.ย.-มิ.ย.'!L65</f>
        <v>0</v>
      </c>
      <c r="M65" s="459">
        <f>+'ต.ค.-ธ.ค.'!M66+'ม.ค.-มี.ค.'!M65+'เม.ย.-มิ.ย.'!M65</f>
        <v>0</v>
      </c>
      <c r="N65" s="459">
        <f>+'ต.ค.-ธ.ค.'!N66+'ม.ค.-มี.ค.'!N65+'เม.ย.-มิ.ย.'!N65</f>
        <v>0</v>
      </c>
      <c r="O65" s="459">
        <f>+'ต.ค.-ธ.ค.'!O66+'ม.ค.-มี.ค.'!O65+'เม.ย.-มิ.ย.'!O65</f>
        <v>0</v>
      </c>
      <c r="P65" s="459">
        <f>+'ต.ค.-ธ.ค.'!P66+'ม.ค.-มี.ค.'!P65+'เม.ย.-มิ.ย.'!P65</f>
        <v>0</v>
      </c>
      <c r="Q65" s="459">
        <f>+'ต.ค.-ธ.ค.'!Q66+'ม.ค.-มี.ค.'!Q65+'เม.ย.-มิ.ย.'!Q65</f>
        <v>0</v>
      </c>
      <c r="R65" s="459">
        <f>+'ต.ค.-ธ.ค.'!R66+'ม.ค.-มี.ค.'!R65+'เม.ย.-มิ.ย.'!R65</f>
        <v>0</v>
      </c>
      <c r="S65" s="459">
        <f>+'ต.ค.-ธ.ค.'!S66+'ม.ค.-มี.ค.'!S65+'เม.ย.-มิ.ย.'!S65</f>
        <v>0</v>
      </c>
      <c r="T65" s="459">
        <f>+'ต.ค.-ธ.ค.'!U66+'ม.ค.-มี.ค.'!U65+'เม.ย.-มิ.ย.'!U65</f>
        <v>0</v>
      </c>
      <c r="U65" s="459">
        <f>+'ต.ค.-ธ.ค.'!V66+'ม.ค.-มี.ค.'!V65+'เม.ย.-มิ.ย.'!V65</f>
        <v>0</v>
      </c>
      <c r="W65"/>
    </row>
    <row r="66" spans="1:23" s="310" customFormat="1" ht="29.25" customHeight="1">
      <c r="A66" s="61"/>
      <c r="B66" s="388" t="s">
        <v>232</v>
      </c>
      <c r="C66" s="418">
        <f>120000+100000-6400</f>
        <v>213600</v>
      </c>
      <c r="D66" s="442"/>
      <c r="E66" s="459">
        <f>+'ต.ค.-ธ.ค.'!E67+'ม.ค.-มี.ค.'!E66+'เม.ย.-มิ.ย.'!E66</f>
        <v>213600</v>
      </c>
      <c r="F66" s="459">
        <f>+'ต.ค.-ธ.ค.'!F67+'ม.ค.-มี.ค.'!F66+'เม.ย.-มิ.ย.'!F66</f>
        <v>0</v>
      </c>
      <c r="G66" s="459">
        <f>+'ต.ค.-ธ.ค.'!G67+'ม.ค.-มี.ค.'!G66+'เม.ย.-มิ.ย.'!G66</f>
        <v>0</v>
      </c>
      <c r="H66" s="459">
        <f>+'ต.ค.-ธ.ค.'!H67+'ม.ค.-มี.ค.'!H66+'เม.ย.-มิ.ย.'!H66</f>
        <v>0</v>
      </c>
      <c r="I66" s="459">
        <f>+'ต.ค.-ธ.ค.'!I67+'ม.ค.-มี.ค.'!I66+'เม.ย.-มิ.ย.'!I66</f>
        <v>0</v>
      </c>
      <c r="J66" s="459">
        <f>+'ต.ค.-ธ.ค.'!J67+'ม.ค.-มี.ค.'!J66+'เม.ย.-มิ.ย.'!J66</f>
        <v>0</v>
      </c>
      <c r="K66" s="459">
        <f>+'ต.ค.-ธ.ค.'!K67+'ม.ค.-มี.ค.'!K66+'เม.ย.-มิ.ย.'!K66</f>
        <v>0</v>
      </c>
      <c r="L66" s="459">
        <f>+'ต.ค.-ธ.ค.'!L67+'ม.ค.-มี.ค.'!L66+'เม.ย.-มิ.ย.'!L66</f>
        <v>0</v>
      </c>
      <c r="M66" s="459">
        <f>+'ต.ค.-ธ.ค.'!M67+'ม.ค.-มี.ค.'!M66+'เม.ย.-มิ.ย.'!M66</f>
        <v>0</v>
      </c>
      <c r="N66" s="459">
        <f>+'ต.ค.-ธ.ค.'!N67+'ม.ค.-มี.ค.'!N66+'เม.ย.-มิ.ย.'!N66</f>
        <v>0</v>
      </c>
      <c r="O66" s="459">
        <f>+'ต.ค.-ธ.ค.'!O67+'ม.ค.-มี.ค.'!O66+'เม.ย.-มิ.ย.'!O66</f>
        <v>0</v>
      </c>
      <c r="P66" s="459">
        <f>+'ต.ค.-ธ.ค.'!P67+'ม.ค.-มี.ค.'!P66+'เม.ย.-มิ.ย.'!P66</f>
        <v>0</v>
      </c>
      <c r="Q66" s="459">
        <f>+'ต.ค.-ธ.ค.'!Q67+'ม.ค.-มี.ค.'!Q66+'เม.ย.-มิ.ย.'!Q66</f>
        <v>0</v>
      </c>
      <c r="R66" s="459">
        <f>+'ต.ค.-ธ.ค.'!R67+'ม.ค.-มี.ค.'!R66+'เม.ย.-มิ.ย.'!R66</f>
        <v>0</v>
      </c>
      <c r="S66" s="459">
        <f>+'ต.ค.-ธ.ค.'!S67+'ม.ค.-มี.ค.'!S66+'เม.ย.-มิ.ย.'!S66</f>
        <v>0</v>
      </c>
      <c r="T66" s="459">
        <f>+'ต.ค.-ธ.ค.'!U67+'ม.ค.-มี.ค.'!U66+'เม.ย.-มิ.ย.'!U66</f>
        <v>0</v>
      </c>
      <c r="U66" s="459">
        <f>+'ต.ค.-ธ.ค.'!V67+'ม.ค.-มี.ค.'!V66+'เม.ย.-มิ.ย.'!V66</f>
        <v>0</v>
      </c>
      <c r="W66"/>
    </row>
    <row r="67" spans="1:23" s="310" customFormat="1" ht="29.25" customHeight="1">
      <c r="A67" s="61"/>
      <c r="B67" s="388" t="s">
        <v>233</v>
      </c>
      <c r="C67" s="418">
        <f>125000-8900-16100</f>
        <v>100000</v>
      </c>
      <c r="D67" s="442"/>
      <c r="E67" s="459">
        <f>+'ต.ค.-ธ.ค.'!E68+'ม.ค.-มี.ค.'!E67+'เม.ย.-มิ.ย.'!E67</f>
        <v>0</v>
      </c>
      <c r="F67" s="459">
        <f>+'ต.ค.-ธ.ค.'!F68+'ม.ค.-มี.ค.'!F67+'เม.ย.-มิ.ย.'!F67</f>
        <v>0</v>
      </c>
      <c r="G67" s="459">
        <f>+'ต.ค.-ธ.ค.'!G68+'ม.ค.-มี.ค.'!G67+'เม.ย.-มิ.ย.'!G67</f>
        <v>0</v>
      </c>
      <c r="H67" s="459">
        <f>+'ต.ค.-ธ.ค.'!H68+'ม.ค.-มี.ค.'!H67+'เม.ย.-มิ.ย.'!H67</f>
        <v>0</v>
      </c>
      <c r="I67" s="459">
        <f>+'ต.ค.-ธ.ค.'!I68+'ม.ค.-มี.ค.'!I67+'เม.ย.-มิ.ย.'!I67</f>
        <v>0</v>
      </c>
      <c r="J67" s="459">
        <f>+'ต.ค.-ธ.ค.'!J68+'ม.ค.-มี.ค.'!J67+'เม.ย.-มิ.ย.'!J67</f>
        <v>0</v>
      </c>
      <c r="K67" s="459">
        <f>+'ต.ค.-ธ.ค.'!K68+'ม.ค.-มี.ค.'!K67+'เม.ย.-มิ.ย.'!K67</f>
        <v>0</v>
      </c>
      <c r="L67" s="459">
        <f>+'ต.ค.-ธ.ค.'!L68+'ม.ค.-มี.ค.'!L67+'เม.ย.-มิ.ย.'!L67</f>
        <v>0</v>
      </c>
      <c r="M67" s="459">
        <f>+'ต.ค.-ธ.ค.'!M68+'ม.ค.-มี.ค.'!M67+'เม.ย.-มิ.ย.'!M67</f>
        <v>0</v>
      </c>
      <c r="N67" s="459">
        <f>+'ต.ค.-ธ.ค.'!N68+'ม.ค.-มี.ค.'!N67+'เม.ย.-มิ.ย.'!N67</f>
        <v>0</v>
      </c>
      <c r="O67" s="459">
        <f>+'ต.ค.-ธ.ค.'!O68+'ม.ค.-มี.ค.'!O67+'เม.ย.-มิ.ย.'!O67</f>
        <v>0</v>
      </c>
      <c r="P67" s="459">
        <f>+'ต.ค.-ธ.ค.'!P68+'ม.ค.-มี.ค.'!P67+'เม.ย.-มิ.ย.'!P67</f>
        <v>0</v>
      </c>
      <c r="Q67" s="459">
        <f>+'ต.ค.-ธ.ค.'!Q68+'ม.ค.-มี.ค.'!Q67+'เม.ย.-มิ.ย.'!Q67</f>
        <v>0</v>
      </c>
      <c r="R67" s="459">
        <f>+'ต.ค.-ธ.ค.'!R68+'ม.ค.-มี.ค.'!R67+'เม.ย.-มิ.ย.'!R67</f>
        <v>0</v>
      </c>
      <c r="S67" s="459">
        <f>+'ต.ค.-ธ.ค.'!S68+'ม.ค.-มี.ค.'!S67+'เม.ย.-มิ.ย.'!S67</f>
        <v>0</v>
      </c>
      <c r="T67" s="459">
        <f>+'ต.ค.-ธ.ค.'!U68+'ม.ค.-มี.ค.'!U67+'เม.ย.-มิ.ย.'!U67</f>
        <v>0</v>
      </c>
      <c r="U67" s="459">
        <f>+'ต.ค.-ธ.ค.'!V68+'ม.ค.-มี.ค.'!V67+'เม.ย.-มิ.ย.'!V67</f>
        <v>0</v>
      </c>
      <c r="W67"/>
    </row>
    <row r="68" spans="1:23" s="310" customFormat="1" ht="29.25" customHeight="1">
      <c r="A68" s="61"/>
      <c r="B68" s="388" t="s">
        <v>234</v>
      </c>
      <c r="C68" s="418">
        <v>5000</v>
      </c>
      <c r="D68" s="442"/>
      <c r="E68" s="459">
        <f>+'ต.ค.-ธ.ค.'!E69+'ม.ค.-มี.ค.'!E68+'เม.ย.-มิ.ย.'!E68</f>
        <v>0</v>
      </c>
      <c r="F68" s="459">
        <f>+'ต.ค.-ธ.ค.'!F69+'ม.ค.-มี.ค.'!F68+'เม.ย.-มิ.ย.'!F68</f>
        <v>0</v>
      </c>
      <c r="G68" s="459">
        <f>+'ต.ค.-ธ.ค.'!G69+'ม.ค.-มี.ค.'!G68+'เม.ย.-มิ.ย.'!G68</f>
        <v>0</v>
      </c>
      <c r="H68" s="459">
        <f>+'ต.ค.-ธ.ค.'!H69+'ม.ค.-มี.ค.'!H68+'เม.ย.-มิ.ย.'!H68</f>
        <v>0</v>
      </c>
      <c r="I68" s="459">
        <f>+'ต.ค.-ธ.ค.'!I69+'ม.ค.-มี.ค.'!I68+'เม.ย.-มิ.ย.'!I68</f>
        <v>0</v>
      </c>
      <c r="J68" s="459">
        <f>+'ต.ค.-ธ.ค.'!J69+'ม.ค.-มี.ค.'!J68+'เม.ย.-มิ.ย.'!J68</f>
        <v>0</v>
      </c>
      <c r="K68" s="459">
        <f>+'ต.ค.-ธ.ค.'!K69+'ม.ค.-มี.ค.'!K68+'เม.ย.-มิ.ย.'!K68</f>
        <v>0</v>
      </c>
      <c r="L68" s="459">
        <f>+'ต.ค.-ธ.ค.'!L69+'ม.ค.-มี.ค.'!L68+'เม.ย.-มิ.ย.'!L68</f>
        <v>0</v>
      </c>
      <c r="M68" s="459">
        <f>+'ต.ค.-ธ.ค.'!M69+'ม.ค.-มี.ค.'!M68+'เม.ย.-มิ.ย.'!M68</f>
        <v>0</v>
      </c>
      <c r="N68" s="459">
        <f>+'ต.ค.-ธ.ค.'!N69+'ม.ค.-มี.ค.'!N68+'เม.ย.-มิ.ย.'!N68</f>
        <v>0</v>
      </c>
      <c r="O68" s="459">
        <f>+'ต.ค.-ธ.ค.'!O69+'ม.ค.-มี.ค.'!O68+'เม.ย.-มิ.ย.'!O68</f>
        <v>0</v>
      </c>
      <c r="P68" s="459">
        <f>+'ต.ค.-ธ.ค.'!P69+'ม.ค.-มี.ค.'!P68+'เม.ย.-มิ.ย.'!P68</f>
        <v>0</v>
      </c>
      <c r="Q68" s="459">
        <f>+'ต.ค.-ธ.ค.'!Q69+'ม.ค.-มี.ค.'!Q68+'เม.ย.-มิ.ย.'!Q68</f>
        <v>0</v>
      </c>
      <c r="R68" s="459">
        <f>+'ต.ค.-ธ.ค.'!R69+'ม.ค.-มี.ค.'!R68+'เม.ย.-มิ.ย.'!R68</f>
        <v>0</v>
      </c>
      <c r="S68" s="459">
        <f>+'ต.ค.-ธ.ค.'!S69+'ม.ค.-มี.ค.'!S68+'เม.ย.-มิ.ย.'!S68</f>
        <v>0</v>
      </c>
      <c r="T68" s="459">
        <f>+'ต.ค.-ธ.ค.'!U69+'ม.ค.-มี.ค.'!U68+'เม.ย.-มิ.ย.'!U68</f>
        <v>0</v>
      </c>
      <c r="U68" s="459">
        <f>+'ต.ค.-ธ.ค.'!V69+'ม.ค.-มี.ค.'!V68+'เม.ย.-มิ.ย.'!V68</f>
        <v>0</v>
      </c>
      <c r="W68"/>
    </row>
    <row r="69" spans="1:23" s="310" customFormat="1" ht="29.25" customHeight="1">
      <c r="A69" s="61"/>
      <c r="B69" s="388" t="s">
        <v>235</v>
      </c>
      <c r="C69" s="418">
        <v>90000</v>
      </c>
      <c r="D69" s="442"/>
      <c r="E69" s="459">
        <f>+'ต.ค.-ธ.ค.'!E70+'ม.ค.-มี.ค.'!E69+'เม.ย.-มิ.ย.'!E69</f>
        <v>59500</v>
      </c>
      <c r="F69" s="459">
        <f>+'ต.ค.-ธ.ค.'!F70+'ม.ค.-มี.ค.'!F69+'เม.ย.-มิ.ย.'!F69</f>
        <v>0</v>
      </c>
      <c r="G69" s="459">
        <f>+'ต.ค.-ธ.ค.'!G70+'ม.ค.-มี.ค.'!G69+'เม.ย.-มิ.ย.'!G69</f>
        <v>0</v>
      </c>
      <c r="H69" s="459">
        <f>+'ต.ค.-ธ.ค.'!H70+'ม.ค.-มี.ค.'!H69+'เม.ย.-มิ.ย.'!H69</f>
        <v>0</v>
      </c>
      <c r="I69" s="459">
        <f>+'ต.ค.-ธ.ค.'!I70+'ม.ค.-มี.ค.'!I69+'เม.ย.-มิ.ย.'!I69</f>
        <v>0</v>
      </c>
      <c r="J69" s="459">
        <f>+'ต.ค.-ธ.ค.'!J70+'ม.ค.-มี.ค.'!J69+'เม.ย.-มิ.ย.'!J69</f>
        <v>0</v>
      </c>
      <c r="K69" s="459">
        <f>+'ต.ค.-ธ.ค.'!K70+'ม.ค.-มี.ค.'!K69+'เม.ย.-มิ.ย.'!K69</f>
        <v>0</v>
      </c>
      <c r="L69" s="459">
        <f>+'ต.ค.-ธ.ค.'!L70+'ม.ค.-มี.ค.'!L69+'เม.ย.-มิ.ย.'!L69</f>
        <v>0</v>
      </c>
      <c r="M69" s="459">
        <f>+'ต.ค.-ธ.ค.'!M70+'ม.ค.-มี.ค.'!M69+'เม.ย.-มิ.ย.'!M69</f>
        <v>0</v>
      </c>
      <c r="N69" s="459">
        <f>+'ต.ค.-ธ.ค.'!N70+'ม.ค.-มี.ค.'!N69+'เม.ย.-มิ.ย.'!N69</f>
        <v>0</v>
      </c>
      <c r="O69" s="459">
        <f>+'ต.ค.-ธ.ค.'!O70+'ม.ค.-มี.ค.'!O69+'เม.ย.-มิ.ย.'!O69</f>
        <v>0</v>
      </c>
      <c r="P69" s="459">
        <f>+'ต.ค.-ธ.ค.'!P70+'ม.ค.-มี.ค.'!P69+'เม.ย.-มิ.ย.'!P69</f>
        <v>0</v>
      </c>
      <c r="Q69" s="459">
        <f>+'ต.ค.-ธ.ค.'!Q70+'ม.ค.-มี.ค.'!Q69+'เม.ย.-มิ.ย.'!Q69</f>
        <v>0</v>
      </c>
      <c r="R69" s="459">
        <f>+'ต.ค.-ธ.ค.'!R70+'ม.ค.-มี.ค.'!R69+'เม.ย.-มิ.ย.'!R69</f>
        <v>0</v>
      </c>
      <c r="S69" s="459">
        <f>+'ต.ค.-ธ.ค.'!S70+'ม.ค.-มี.ค.'!S69+'เม.ย.-มิ.ย.'!S69</f>
        <v>0</v>
      </c>
      <c r="T69" s="459">
        <f>+'ต.ค.-ธ.ค.'!U70+'ม.ค.-มี.ค.'!U69+'เม.ย.-มิ.ย.'!U69</f>
        <v>0</v>
      </c>
      <c r="U69" s="459">
        <f>+'ต.ค.-ธ.ค.'!V70+'ม.ค.-มี.ค.'!V69+'เม.ย.-มิ.ย.'!V69</f>
        <v>0</v>
      </c>
      <c r="W69"/>
    </row>
    <row r="70" spans="1:23" s="310" customFormat="1" ht="29.25" customHeight="1">
      <c r="A70" s="61"/>
      <c r="B70" s="388" t="s">
        <v>236</v>
      </c>
      <c r="C70" s="418">
        <v>5000</v>
      </c>
      <c r="D70" s="442"/>
      <c r="E70" s="459">
        <f>+'ต.ค.-ธ.ค.'!E71+'ม.ค.-มี.ค.'!E70+'เม.ย.-มิ.ย.'!E70</f>
        <v>0</v>
      </c>
      <c r="F70" s="459">
        <f>+'ต.ค.-ธ.ค.'!F71+'ม.ค.-มี.ค.'!F70+'เม.ย.-มิ.ย.'!F70</f>
        <v>0</v>
      </c>
      <c r="G70" s="459">
        <f>+'ต.ค.-ธ.ค.'!G71+'ม.ค.-มี.ค.'!G70+'เม.ย.-มิ.ย.'!G70</f>
        <v>0</v>
      </c>
      <c r="H70" s="459">
        <f>+'ต.ค.-ธ.ค.'!H71+'ม.ค.-มี.ค.'!H70+'เม.ย.-มิ.ย.'!H70</f>
        <v>0</v>
      </c>
      <c r="I70" s="459">
        <f>+'ต.ค.-ธ.ค.'!I71+'ม.ค.-มี.ค.'!I70+'เม.ย.-มิ.ย.'!I70</f>
        <v>0</v>
      </c>
      <c r="J70" s="459">
        <f>+'ต.ค.-ธ.ค.'!J71+'ม.ค.-มี.ค.'!J70+'เม.ย.-มิ.ย.'!J70</f>
        <v>0</v>
      </c>
      <c r="K70" s="459">
        <f>+'ต.ค.-ธ.ค.'!K71+'ม.ค.-มี.ค.'!K70+'เม.ย.-มิ.ย.'!K70</f>
        <v>0</v>
      </c>
      <c r="L70" s="459">
        <f>+'ต.ค.-ธ.ค.'!L71+'ม.ค.-มี.ค.'!L70+'เม.ย.-มิ.ย.'!L70</f>
        <v>0</v>
      </c>
      <c r="M70" s="459">
        <f>+'ต.ค.-ธ.ค.'!M71+'ม.ค.-มี.ค.'!M70+'เม.ย.-มิ.ย.'!M70</f>
        <v>0</v>
      </c>
      <c r="N70" s="459">
        <f>+'ต.ค.-ธ.ค.'!N71+'ม.ค.-มี.ค.'!N70+'เม.ย.-มิ.ย.'!N70</f>
        <v>0</v>
      </c>
      <c r="O70" s="459">
        <f>+'ต.ค.-ธ.ค.'!O71+'ม.ค.-มี.ค.'!O70+'เม.ย.-มิ.ย.'!O70</f>
        <v>0</v>
      </c>
      <c r="P70" s="459">
        <f>+'ต.ค.-ธ.ค.'!P71+'ม.ค.-มี.ค.'!P70+'เม.ย.-มิ.ย.'!P70</f>
        <v>0</v>
      </c>
      <c r="Q70" s="459">
        <f>+'ต.ค.-ธ.ค.'!Q71+'ม.ค.-มี.ค.'!Q70+'เม.ย.-มิ.ย.'!Q70</f>
        <v>0</v>
      </c>
      <c r="R70" s="459">
        <f>+'ต.ค.-ธ.ค.'!R71+'ม.ค.-มี.ค.'!R70+'เม.ย.-มิ.ย.'!R70</f>
        <v>0</v>
      </c>
      <c r="S70" s="459">
        <f>+'ต.ค.-ธ.ค.'!S71+'ม.ค.-มี.ค.'!S70+'เม.ย.-มิ.ย.'!S70</f>
        <v>0</v>
      </c>
      <c r="T70" s="459">
        <f>+'ต.ค.-ธ.ค.'!U71+'ม.ค.-มี.ค.'!U70+'เม.ย.-มิ.ย.'!U70</f>
        <v>0</v>
      </c>
      <c r="U70" s="459">
        <f>+'ต.ค.-ธ.ค.'!V71+'ม.ค.-มี.ค.'!V70+'เม.ย.-มิ.ย.'!V70</f>
        <v>0</v>
      </c>
      <c r="W70"/>
    </row>
    <row r="71" spans="1:23" s="310" customFormat="1" ht="29.25" customHeight="1">
      <c r="A71" s="61"/>
      <c r="B71" s="388" t="s">
        <v>237</v>
      </c>
      <c r="C71" s="418">
        <v>5000</v>
      </c>
      <c r="D71" s="442"/>
      <c r="E71" s="459">
        <f>+'ต.ค.-ธ.ค.'!E72+'ม.ค.-มี.ค.'!E71+'เม.ย.-มิ.ย.'!E71</f>
        <v>0</v>
      </c>
      <c r="F71" s="459">
        <f>+'ต.ค.-ธ.ค.'!F72+'ม.ค.-มี.ค.'!F71+'เม.ย.-มิ.ย.'!F71</f>
        <v>0</v>
      </c>
      <c r="G71" s="459">
        <f>+'ต.ค.-ธ.ค.'!G72+'ม.ค.-มี.ค.'!G71+'เม.ย.-มิ.ย.'!G71</f>
        <v>0</v>
      </c>
      <c r="H71" s="459">
        <f>+'ต.ค.-ธ.ค.'!H72+'ม.ค.-มี.ค.'!H71+'เม.ย.-มิ.ย.'!H71</f>
        <v>0</v>
      </c>
      <c r="I71" s="459">
        <f>+'ต.ค.-ธ.ค.'!I72+'ม.ค.-มี.ค.'!I71+'เม.ย.-มิ.ย.'!I71</f>
        <v>0</v>
      </c>
      <c r="J71" s="459">
        <f>+'ต.ค.-ธ.ค.'!J72+'ม.ค.-มี.ค.'!J71+'เม.ย.-มิ.ย.'!J71</f>
        <v>0</v>
      </c>
      <c r="K71" s="459">
        <f>+'ต.ค.-ธ.ค.'!K72+'ม.ค.-มี.ค.'!K71+'เม.ย.-มิ.ย.'!K71</f>
        <v>0</v>
      </c>
      <c r="L71" s="459">
        <f>+'ต.ค.-ธ.ค.'!L72+'ม.ค.-มี.ค.'!L71+'เม.ย.-มิ.ย.'!L71</f>
        <v>0</v>
      </c>
      <c r="M71" s="459">
        <f>+'ต.ค.-ธ.ค.'!M72+'ม.ค.-มี.ค.'!M71+'เม.ย.-มิ.ย.'!M71</f>
        <v>0</v>
      </c>
      <c r="N71" s="459">
        <f>+'ต.ค.-ธ.ค.'!N72+'ม.ค.-มี.ค.'!N71+'เม.ย.-มิ.ย.'!N71</f>
        <v>0</v>
      </c>
      <c r="O71" s="459">
        <f>+'ต.ค.-ธ.ค.'!O72+'ม.ค.-มี.ค.'!O71+'เม.ย.-มิ.ย.'!O71</f>
        <v>0</v>
      </c>
      <c r="P71" s="459">
        <f>+'ต.ค.-ธ.ค.'!P72+'ม.ค.-มี.ค.'!P71+'เม.ย.-มิ.ย.'!P71</f>
        <v>0</v>
      </c>
      <c r="Q71" s="459">
        <f>+'ต.ค.-ธ.ค.'!Q72+'ม.ค.-มี.ค.'!Q71+'เม.ย.-มิ.ย.'!Q71</f>
        <v>0</v>
      </c>
      <c r="R71" s="459">
        <f>+'ต.ค.-ธ.ค.'!R72+'ม.ค.-มี.ค.'!R71+'เม.ย.-มิ.ย.'!R71</f>
        <v>0</v>
      </c>
      <c r="S71" s="459">
        <f>+'ต.ค.-ธ.ค.'!S72+'ม.ค.-มี.ค.'!S71+'เม.ย.-มิ.ย.'!S71</f>
        <v>0</v>
      </c>
      <c r="T71" s="459">
        <f>+'ต.ค.-ธ.ค.'!U72+'ม.ค.-มี.ค.'!U71+'เม.ย.-มิ.ย.'!U71</f>
        <v>0</v>
      </c>
      <c r="U71" s="459">
        <f>+'ต.ค.-ธ.ค.'!V72+'ม.ค.-มี.ค.'!V71+'เม.ย.-มิ.ย.'!V71</f>
        <v>0</v>
      </c>
      <c r="W71"/>
    </row>
    <row r="72" spans="1:23" s="310" customFormat="1" ht="29.25" customHeight="1">
      <c r="A72" s="469"/>
      <c r="B72" s="389" t="s">
        <v>277</v>
      </c>
      <c r="C72" s="419">
        <v>5000</v>
      </c>
      <c r="D72" s="442"/>
      <c r="E72" s="459">
        <f>+'ต.ค.-ธ.ค.'!E73+'ม.ค.-มี.ค.'!E72+'เม.ย.-มิ.ย.'!E72</f>
        <v>0</v>
      </c>
      <c r="F72" s="459">
        <f>+'ต.ค.-ธ.ค.'!F73+'ม.ค.-มี.ค.'!F72+'เม.ย.-มิ.ย.'!F72</f>
        <v>0</v>
      </c>
      <c r="G72" s="459">
        <f>+'ต.ค.-ธ.ค.'!G73+'ม.ค.-มี.ค.'!G72+'เม.ย.-มิ.ย.'!G72</f>
        <v>0</v>
      </c>
      <c r="H72" s="459">
        <f>+'ต.ค.-ธ.ค.'!H73+'ม.ค.-มี.ค.'!H72+'เม.ย.-มิ.ย.'!H72</f>
        <v>0</v>
      </c>
      <c r="I72" s="459">
        <f>+'ต.ค.-ธ.ค.'!I73+'ม.ค.-มี.ค.'!I72+'เม.ย.-มิ.ย.'!I72</f>
        <v>0</v>
      </c>
      <c r="J72" s="459">
        <f>+'ต.ค.-ธ.ค.'!J73+'ม.ค.-มี.ค.'!J72+'เม.ย.-มิ.ย.'!J72</f>
        <v>0</v>
      </c>
      <c r="K72" s="459">
        <f>+'ต.ค.-ธ.ค.'!K73+'ม.ค.-มี.ค.'!K72+'เม.ย.-มิ.ย.'!K72</f>
        <v>0</v>
      </c>
      <c r="L72" s="459">
        <f>+'ต.ค.-ธ.ค.'!L73+'ม.ค.-มี.ค.'!L72+'เม.ย.-มิ.ย.'!L72</f>
        <v>0</v>
      </c>
      <c r="M72" s="459">
        <f>+'ต.ค.-ธ.ค.'!M73+'ม.ค.-มี.ค.'!M72+'เม.ย.-มิ.ย.'!M72</f>
        <v>0</v>
      </c>
      <c r="N72" s="459">
        <f>+'ต.ค.-ธ.ค.'!N73+'ม.ค.-มี.ค.'!N72+'เม.ย.-มิ.ย.'!N72</f>
        <v>0</v>
      </c>
      <c r="O72" s="459">
        <f>+'ต.ค.-ธ.ค.'!O73+'ม.ค.-มี.ค.'!O72+'เม.ย.-มิ.ย.'!O72</f>
        <v>0</v>
      </c>
      <c r="P72" s="459">
        <f>+'ต.ค.-ธ.ค.'!P73+'ม.ค.-มี.ค.'!P72+'เม.ย.-มิ.ย.'!P72</f>
        <v>0</v>
      </c>
      <c r="Q72" s="459">
        <f>+'ต.ค.-ธ.ค.'!Q73+'ม.ค.-มี.ค.'!Q72+'เม.ย.-มิ.ย.'!Q72</f>
        <v>0</v>
      </c>
      <c r="R72" s="459">
        <f>+'ต.ค.-ธ.ค.'!R73+'ม.ค.-มี.ค.'!R72+'เม.ย.-มิ.ย.'!R72</f>
        <v>0</v>
      </c>
      <c r="S72" s="459">
        <f>+'ต.ค.-ธ.ค.'!S73+'ม.ค.-มี.ค.'!S72+'เม.ย.-มิ.ย.'!S72</f>
        <v>0</v>
      </c>
      <c r="T72" s="459">
        <f>+'ต.ค.-ธ.ค.'!U73+'ม.ค.-มี.ค.'!U72+'เม.ย.-มิ.ย.'!U72</f>
        <v>0</v>
      </c>
      <c r="U72" s="459">
        <f>+'ต.ค.-ธ.ค.'!V73+'ม.ค.-มี.ค.'!V72+'เม.ย.-มิ.ย.'!V72</f>
        <v>0</v>
      </c>
      <c r="W72"/>
    </row>
    <row r="73" spans="1:23" s="310" customFormat="1" ht="29.25" customHeight="1">
      <c r="A73" s="469"/>
      <c r="B73" s="389" t="s">
        <v>107</v>
      </c>
      <c r="C73" s="419">
        <v>10000</v>
      </c>
      <c r="D73" s="442"/>
      <c r="E73" s="459">
        <f>+'ต.ค.-ธ.ค.'!E74+'ม.ค.-มี.ค.'!E73+'เม.ย.-มิ.ย.'!E73</f>
        <v>0</v>
      </c>
      <c r="F73" s="459">
        <f>+'ต.ค.-ธ.ค.'!F74+'ม.ค.-มี.ค.'!F73+'เม.ย.-มิ.ย.'!F73</f>
        <v>0</v>
      </c>
      <c r="G73" s="459">
        <f>+'ต.ค.-ธ.ค.'!G74+'ม.ค.-มี.ค.'!G73+'เม.ย.-มิ.ย.'!G73</f>
        <v>0</v>
      </c>
      <c r="H73" s="459">
        <f>+'ต.ค.-ธ.ค.'!H74+'ม.ค.-มี.ค.'!H73+'เม.ย.-มิ.ย.'!H73</f>
        <v>0</v>
      </c>
      <c r="I73" s="459">
        <f>+'ต.ค.-ธ.ค.'!I74+'ม.ค.-มี.ค.'!I73+'เม.ย.-มิ.ย.'!I73</f>
        <v>0</v>
      </c>
      <c r="J73" s="459">
        <f>+'ต.ค.-ธ.ค.'!J74+'ม.ค.-มี.ค.'!J73+'เม.ย.-มิ.ย.'!J73</f>
        <v>0</v>
      </c>
      <c r="K73" s="459">
        <f>+'ต.ค.-ธ.ค.'!K74+'ม.ค.-มี.ค.'!K73+'เม.ย.-มิ.ย.'!K73</f>
        <v>0</v>
      </c>
      <c r="L73" s="459">
        <f>+'ต.ค.-ธ.ค.'!L74+'ม.ค.-มี.ค.'!L73+'เม.ย.-มิ.ย.'!L73</f>
        <v>0</v>
      </c>
      <c r="M73" s="459">
        <f>+'ต.ค.-ธ.ค.'!M74+'ม.ค.-มี.ค.'!M73+'เม.ย.-มิ.ย.'!M73</f>
        <v>0</v>
      </c>
      <c r="N73" s="459">
        <f>+'ต.ค.-ธ.ค.'!N74+'ม.ค.-มี.ค.'!N73+'เม.ย.-มิ.ย.'!N73</f>
        <v>0</v>
      </c>
      <c r="O73" s="459">
        <f>+'ต.ค.-ธ.ค.'!O74+'ม.ค.-มี.ค.'!O73+'เม.ย.-มิ.ย.'!O73</f>
        <v>0</v>
      </c>
      <c r="P73" s="459">
        <f>+'ต.ค.-ธ.ค.'!P74+'ม.ค.-มี.ค.'!P73+'เม.ย.-มิ.ย.'!P73</f>
        <v>0</v>
      </c>
      <c r="Q73" s="459">
        <f>+'ต.ค.-ธ.ค.'!Q74+'ม.ค.-มี.ค.'!Q73+'เม.ย.-มิ.ย.'!Q73</f>
        <v>0</v>
      </c>
      <c r="R73" s="459">
        <f>+'ต.ค.-ธ.ค.'!R74+'ม.ค.-มี.ค.'!R73+'เม.ย.-มิ.ย.'!R73</f>
        <v>0</v>
      </c>
      <c r="S73" s="459">
        <f>+'ต.ค.-ธ.ค.'!S74+'ม.ค.-มี.ค.'!S73+'เม.ย.-มิ.ย.'!S73</f>
        <v>0</v>
      </c>
      <c r="T73" s="459">
        <f>+'ต.ค.-ธ.ค.'!U74+'ม.ค.-มี.ค.'!U73+'เม.ย.-มิ.ย.'!U73</f>
        <v>0</v>
      </c>
      <c r="U73" s="459">
        <f>+'ต.ค.-ธ.ค.'!V74+'ม.ค.-มี.ค.'!V73+'เม.ย.-มิ.ย.'!V73</f>
        <v>0</v>
      </c>
      <c r="W73"/>
    </row>
    <row r="74" spans="1:23" s="310" customFormat="1" ht="29.25" customHeight="1">
      <c r="A74" s="61"/>
      <c r="B74" s="389" t="s">
        <v>278</v>
      </c>
      <c r="C74" s="419">
        <v>10000</v>
      </c>
      <c r="D74" s="450"/>
      <c r="E74" s="459">
        <f>+'ต.ค.-ธ.ค.'!E75+'ม.ค.-มี.ค.'!E74+'เม.ย.-มิ.ย.'!E74</f>
        <v>0</v>
      </c>
      <c r="F74" s="459">
        <f>+'ต.ค.-ธ.ค.'!F75+'ม.ค.-มี.ค.'!F74+'เม.ย.-มิ.ย.'!F74</f>
        <v>0</v>
      </c>
      <c r="G74" s="459">
        <f>+'ต.ค.-ธ.ค.'!G75+'ม.ค.-มี.ค.'!G74+'เม.ย.-มิ.ย.'!G74</f>
        <v>0</v>
      </c>
      <c r="H74" s="459">
        <f>+'ต.ค.-ธ.ค.'!H75+'ม.ค.-มี.ค.'!H74+'เม.ย.-มิ.ย.'!H74</f>
        <v>0</v>
      </c>
      <c r="I74" s="459">
        <f>+'ต.ค.-ธ.ค.'!I75+'ม.ค.-มี.ค.'!I74+'เม.ย.-มิ.ย.'!I74</f>
        <v>0</v>
      </c>
      <c r="J74" s="459">
        <f>+'ต.ค.-ธ.ค.'!J75+'ม.ค.-มี.ค.'!J74+'เม.ย.-มิ.ย.'!J74</f>
        <v>0</v>
      </c>
      <c r="K74" s="459">
        <f>+'ต.ค.-ธ.ค.'!K75+'ม.ค.-มี.ค.'!K74+'เม.ย.-มิ.ย.'!K74</f>
        <v>0</v>
      </c>
      <c r="L74" s="459">
        <f>+'ต.ค.-ธ.ค.'!L75+'ม.ค.-มี.ค.'!L74+'เม.ย.-มิ.ย.'!L74</f>
        <v>0</v>
      </c>
      <c r="M74" s="459">
        <f>+'ต.ค.-ธ.ค.'!M75+'ม.ค.-มี.ค.'!M74+'เม.ย.-มิ.ย.'!M74</f>
        <v>0</v>
      </c>
      <c r="N74" s="459">
        <f>+'ต.ค.-ธ.ค.'!N75+'ม.ค.-มี.ค.'!N74+'เม.ย.-มิ.ย.'!N74</f>
        <v>0</v>
      </c>
      <c r="O74" s="459">
        <f>+'ต.ค.-ธ.ค.'!O75+'ม.ค.-มี.ค.'!O74+'เม.ย.-มิ.ย.'!O74</f>
        <v>0</v>
      </c>
      <c r="P74" s="459">
        <f>+'ต.ค.-ธ.ค.'!P75+'ม.ค.-มี.ค.'!P74+'เม.ย.-มิ.ย.'!P74</f>
        <v>0</v>
      </c>
      <c r="Q74" s="459">
        <f>+'ต.ค.-ธ.ค.'!Q75+'ม.ค.-มี.ค.'!Q74+'เม.ย.-มิ.ย.'!Q74</f>
        <v>0</v>
      </c>
      <c r="R74" s="459">
        <f>+'ต.ค.-ธ.ค.'!R75+'ม.ค.-มี.ค.'!R74+'เม.ย.-มิ.ย.'!R74</f>
        <v>0</v>
      </c>
      <c r="S74" s="459">
        <f>+'ต.ค.-ธ.ค.'!S75+'ม.ค.-มี.ค.'!S74+'เม.ย.-มิ.ย.'!S74</f>
        <v>0</v>
      </c>
      <c r="T74" s="459">
        <f>+'ต.ค.-ธ.ค.'!U75+'ม.ค.-มี.ค.'!U74+'เม.ย.-มิ.ย.'!U74</f>
        <v>0</v>
      </c>
      <c r="U74" s="459">
        <f>+'ต.ค.-ธ.ค.'!V75+'ม.ค.-มี.ค.'!V74+'เม.ย.-มิ.ย.'!V74</f>
        <v>0</v>
      </c>
      <c r="W74"/>
    </row>
    <row r="75" spans="1:23" s="310" customFormat="1" ht="29.25" customHeight="1">
      <c r="A75" s="469"/>
      <c r="B75" s="389" t="s">
        <v>279</v>
      </c>
      <c r="C75" s="419">
        <v>10000</v>
      </c>
      <c r="D75" s="450"/>
      <c r="E75" s="459">
        <f>+'ต.ค.-ธ.ค.'!E76+'ม.ค.-มี.ค.'!E75+'เม.ย.-มิ.ย.'!E75</f>
        <v>0</v>
      </c>
      <c r="F75" s="459">
        <f>+'ต.ค.-ธ.ค.'!F76+'ม.ค.-มี.ค.'!F75+'เม.ย.-มิ.ย.'!F75</f>
        <v>0</v>
      </c>
      <c r="G75" s="459">
        <f>+'ต.ค.-ธ.ค.'!G76+'ม.ค.-มี.ค.'!G75+'เม.ย.-มิ.ย.'!G75</f>
        <v>0</v>
      </c>
      <c r="H75" s="459">
        <f>+'ต.ค.-ธ.ค.'!H76+'ม.ค.-มี.ค.'!H75+'เม.ย.-มิ.ย.'!H75</f>
        <v>0</v>
      </c>
      <c r="I75" s="459">
        <f>+'ต.ค.-ธ.ค.'!I76+'ม.ค.-มี.ค.'!I75+'เม.ย.-มิ.ย.'!I75</f>
        <v>0</v>
      </c>
      <c r="J75" s="459">
        <f>+'ต.ค.-ธ.ค.'!J76+'ม.ค.-มี.ค.'!J75+'เม.ย.-มิ.ย.'!J75</f>
        <v>0</v>
      </c>
      <c r="K75" s="459">
        <f>+'ต.ค.-ธ.ค.'!K76+'ม.ค.-มี.ค.'!K75+'เม.ย.-มิ.ย.'!K75</f>
        <v>0</v>
      </c>
      <c r="L75" s="459">
        <f>+'ต.ค.-ธ.ค.'!L76+'ม.ค.-มี.ค.'!L75+'เม.ย.-มิ.ย.'!L75</f>
        <v>0</v>
      </c>
      <c r="M75" s="459">
        <f>+'ต.ค.-ธ.ค.'!M76+'ม.ค.-มี.ค.'!M75+'เม.ย.-มิ.ย.'!M75</f>
        <v>0</v>
      </c>
      <c r="N75" s="459">
        <f>+'ต.ค.-ธ.ค.'!N76+'ม.ค.-มี.ค.'!N75+'เม.ย.-มิ.ย.'!N75</f>
        <v>0</v>
      </c>
      <c r="O75" s="459">
        <f>+'ต.ค.-ธ.ค.'!O76+'ม.ค.-มี.ค.'!O75+'เม.ย.-มิ.ย.'!O75</f>
        <v>0</v>
      </c>
      <c r="P75" s="459">
        <f>+'ต.ค.-ธ.ค.'!P76+'ม.ค.-มี.ค.'!P75+'เม.ย.-มิ.ย.'!P75</f>
        <v>0</v>
      </c>
      <c r="Q75" s="459">
        <f>+'ต.ค.-ธ.ค.'!Q76+'ม.ค.-มี.ค.'!Q75+'เม.ย.-มิ.ย.'!Q75</f>
        <v>0</v>
      </c>
      <c r="R75" s="459">
        <f>+'ต.ค.-ธ.ค.'!R76+'ม.ค.-มี.ค.'!R75+'เม.ย.-มิ.ย.'!R75</f>
        <v>0</v>
      </c>
      <c r="S75" s="459">
        <f>+'ต.ค.-ธ.ค.'!S76+'ม.ค.-มี.ค.'!S75+'เม.ย.-มิ.ย.'!S75</f>
        <v>0</v>
      </c>
      <c r="T75" s="459">
        <f>+'ต.ค.-ธ.ค.'!U76+'ม.ค.-มี.ค.'!U75+'เม.ย.-มิ.ย.'!U75</f>
        <v>0</v>
      </c>
      <c r="U75" s="459">
        <f>+'ต.ค.-ธ.ค.'!V76+'ม.ค.-มี.ค.'!V75+'เม.ย.-มิ.ย.'!V75</f>
        <v>0</v>
      </c>
      <c r="W75"/>
    </row>
    <row r="76" spans="1:23" s="310" customFormat="1" ht="29.25" customHeight="1">
      <c r="A76" s="61"/>
      <c r="B76" s="389" t="s">
        <v>280</v>
      </c>
      <c r="C76" s="419">
        <v>10000</v>
      </c>
      <c r="D76" s="450"/>
      <c r="E76" s="459">
        <f>+'ต.ค.-ธ.ค.'!E77+'ม.ค.-มี.ค.'!E76+'เม.ย.-มิ.ย.'!E76</f>
        <v>0</v>
      </c>
      <c r="F76" s="459">
        <f>+'ต.ค.-ธ.ค.'!F77+'ม.ค.-มี.ค.'!F76+'เม.ย.-มิ.ย.'!F76</f>
        <v>0</v>
      </c>
      <c r="G76" s="459">
        <f>+'ต.ค.-ธ.ค.'!G77+'ม.ค.-มี.ค.'!G76+'เม.ย.-มิ.ย.'!G76</f>
        <v>0</v>
      </c>
      <c r="H76" s="459">
        <f>+'ต.ค.-ธ.ค.'!H77+'ม.ค.-มี.ค.'!H76+'เม.ย.-มิ.ย.'!H76</f>
        <v>0</v>
      </c>
      <c r="I76" s="459">
        <f>+'ต.ค.-ธ.ค.'!I77+'ม.ค.-มี.ค.'!I76+'เม.ย.-มิ.ย.'!I76</f>
        <v>0</v>
      </c>
      <c r="J76" s="459">
        <f>+'ต.ค.-ธ.ค.'!J77+'ม.ค.-มี.ค.'!J76+'เม.ย.-มิ.ย.'!J76</f>
        <v>0</v>
      </c>
      <c r="K76" s="459">
        <f>+'ต.ค.-ธ.ค.'!K77+'ม.ค.-มี.ค.'!K76+'เม.ย.-มิ.ย.'!K76</f>
        <v>0</v>
      </c>
      <c r="L76" s="459">
        <f>+'ต.ค.-ธ.ค.'!L77+'ม.ค.-มี.ค.'!L76+'เม.ย.-มิ.ย.'!L76</f>
        <v>0</v>
      </c>
      <c r="M76" s="459">
        <f>+'ต.ค.-ธ.ค.'!M77+'ม.ค.-มี.ค.'!M76+'เม.ย.-มิ.ย.'!M76</f>
        <v>0</v>
      </c>
      <c r="N76" s="459">
        <f>+'ต.ค.-ธ.ค.'!N77+'ม.ค.-มี.ค.'!N76+'เม.ย.-มิ.ย.'!N76</f>
        <v>0</v>
      </c>
      <c r="O76" s="459">
        <f>+'ต.ค.-ธ.ค.'!O77+'ม.ค.-มี.ค.'!O76+'เม.ย.-มิ.ย.'!O76</f>
        <v>0</v>
      </c>
      <c r="P76" s="459">
        <f>+'ต.ค.-ธ.ค.'!P77+'ม.ค.-มี.ค.'!P76+'เม.ย.-มิ.ย.'!P76</f>
        <v>0</v>
      </c>
      <c r="Q76" s="459">
        <f>+'ต.ค.-ธ.ค.'!Q77+'ม.ค.-มี.ค.'!Q76+'เม.ย.-มิ.ย.'!Q76</f>
        <v>0</v>
      </c>
      <c r="R76" s="459">
        <f>+'ต.ค.-ธ.ค.'!R77+'ม.ค.-มี.ค.'!R76+'เม.ย.-มิ.ย.'!R76</f>
        <v>0</v>
      </c>
      <c r="S76" s="459">
        <f>+'ต.ค.-ธ.ค.'!S77+'ม.ค.-มี.ค.'!S76+'เม.ย.-มิ.ย.'!S76</f>
        <v>0</v>
      </c>
      <c r="T76" s="459">
        <f>+'ต.ค.-ธ.ค.'!U77+'ม.ค.-มี.ค.'!U76+'เม.ย.-มิ.ย.'!U76</f>
        <v>0</v>
      </c>
      <c r="U76" s="459">
        <f>+'ต.ค.-ธ.ค.'!V77+'ม.ค.-มี.ค.'!V76+'เม.ย.-มิ.ย.'!V76</f>
        <v>0</v>
      </c>
      <c r="W76"/>
    </row>
    <row r="77" spans="1:23" s="310" customFormat="1" ht="29.25" customHeight="1">
      <c r="A77" s="61"/>
      <c r="B77" s="389" t="s">
        <v>281</v>
      </c>
      <c r="C77" s="419">
        <v>5000</v>
      </c>
      <c r="D77" s="450"/>
      <c r="E77" s="459">
        <f>+'ต.ค.-ธ.ค.'!E78+'ม.ค.-มี.ค.'!E77+'เม.ย.-มิ.ย.'!E77</f>
        <v>0</v>
      </c>
      <c r="F77" s="459">
        <f>+'ต.ค.-ธ.ค.'!F78+'ม.ค.-มี.ค.'!F77+'เม.ย.-มิ.ย.'!F77</f>
        <v>0</v>
      </c>
      <c r="G77" s="459">
        <f>+'ต.ค.-ธ.ค.'!G78+'ม.ค.-มี.ค.'!G77+'เม.ย.-มิ.ย.'!G77</f>
        <v>0</v>
      </c>
      <c r="H77" s="459">
        <f>+'ต.ค.-ธ.ค.'!H78+'ม.ค.-มี.ค.'!H77+'เม.ย.-มิ.ย.'!H77</f>
        <v>0</v>
      </c>
      <c r="I77" s="459">
        <f>+'ต.ค.-ธ.ค.'!I78+'ม.ค.-มี.ค.'!I77+'เม.ย.-มิ.ย.'!I77</f>
        <v>0</v>
      </c>
      <c r="J77" s="459">
        <f>+'ต.ค.-ธ.ค.'!J78+'ม.ค.-มี.ค.'!J77+'เม.ย.-มิ.ย.'!J77</f>
        <v>0</v>
      </c>
      <c r="K77" s="459">
        <f>+'ต.ค.-ธ.ค.'!K78+'ม.ค.-มี.ค.'!K77+'เม.ย.-มิ.ย.'!K77</f>
        <v>0</v>
      </c>
      <c r="L77" s="459">
        <f>+'ต.ค.-ธ.ค.'!L78+'ม.ค.-มี.ค.'!L77+'เม.ย.-มิ.ย.'!L77</f>
        <v>0</v>
      </c>
      <c r="M77" s="459">
        <f>+'ต.ค.-ธ.ค.'!M78+'ม.ค.-มี.ค.'!M77+'เม.ย.-มิ.ย.'!M77</f>
        <v>0</v>
      </c>
      <c r="N77" s="459">
        <f>+'ต.ค.-ธ.ค.'!N78+'ม.ค.-มี.ค.'!N77+'เม.ย.-มิ.ย.'!N77</f>
        <v>0</v>
      </c>
      <c r="O77" s="459">
        <f>+'ต.ค.-ธ.ค.'!O78+'ม.ค.-มี.ค.'!O77+'เม.ย.-มิ.ย.'!O77</f>
        <v>0</v>
      </c>
      <c r="P77" s="459">
        <f>+'ต.ค.-ธ.ค.'!P78+'ม.ค.-มี.ค.'!P77+'เม.ย.-มิ.ย.'!P77</f>
        <v>0</v>
      </c>
      <c r="Q77" s="459">
        <f>+'ต.ค.-ธ.ค.'!Q78+'ม.ค.-มี.ค.'!Q77+'เม.ย.-มิ.ย.'!Q77</f>
        <v>0</v>
      </c>
      <c r="R77" s="459">
        <f>+'ต.ค.-ธ.ค.'!R78+'ม.ค.-มี.ค.'!R77+'เม.ย.-มิ.ย.'!R77</f>
        <v>0</v>
      </c>
      <c r="S77" s="459">
        <f>+'ต.ค.-ธ.ค.'!S78+'ม.ค.-มี.ค.'!S77+'เม.ย.-มิ.ย.'!S77</f>
        <v>0</v>
      </c>
      <c r="T77" s="459">
        <f>+'ต.ค.-ธ.ค.'!U78+'ม.ค.-มี.ค.'!U77+'เม.ย.-มิ.ย.'!U77</f>
        <v>0</v>
      </c>
      <c r="U77" s="459">
        <f>+'ต.ค.-ธ.ค.'!V78+'ม.ค.-มี.ค.'!V77+'เม.ย.-มิ.ย.'!V77</f>
        <v>0</v>
      </c>
      <c r="W77"/>
    </row>
    <row r="78" spans="1:23" s="310" customFormat="1" ht="29.25" customHeight="1">
      <c r="A78" s="61"/>
      <c r="B78" s="389" t="s">
        <v>282</v>
      </c>
      <c r="C78" s="419">
        <v>5000</v>
      </c>
      <c r="D78" s="450"/>
      <c r="E78" s="459">
        <f>+'ต.ค.-ธ.ค.'!E79+'ม.ค.-มี.ค.'!E78+'เม.ย.-มิ.ย.'!E78</f>
        <v>0</v>
      </c>
      <c r="F78" s="459">
        <f>+'ต.ค.-ธ.ค.'!F79+'ม.ค.-มี.ค.'!F78+'เม.ย.-มิ.ย.'!F78</f>
        <v>0</v>
      </c>
      <c r="G78" s="459">
        <f>+'ต.ค.-ธ.ค.'!G79+'ม.ค.-มี.ค.'!G78+'เม.ย.-มิ.ย.'!G78</f>
        <v>0</v>
      </c>
      <c r="H78" s="459">
        <f>+'ต.ค.-ธ.ค.'!H79+'ม.ค.-มี.ค.'!H78+'เม.ย.-มิ.ย.'!H78</f>
        <v>0</v>
      </c>
      <c r="I78" s="459">
        <f>+'ต.ค.-ธ.ค.'!I79+'ม.ค.-มี.ค.'!I78+'เม.ย.-มิ.ย.'!I78</f>
        <v>0</v>
      </c>
      <c r="J78" s="459">
        <f>+'ต.ค.-ธ.ค.'!J79+'ม.ค.-มี.ค.'!J78+'เม.ย.-มิ.ย.'!J78</f>
        <v>0</v>
      </c>
      <c r="K78" s="459">
        <f>+'ต.ค.-ธ.ค.'!K79+'ม.ค.-มี.ค.'!K78+'เม.ย.-มิ.ย.'!K78</f>
        <v>0</v>
      </c>
      <c r="L78" s="459">
        <f>+'ต.ค.-ธ.ค.'!L79+'ม.ค.-มี.ค.'!L78+'เม.ย.-มิ.ย.'!L78</f>
        <v>0</v>
      </c>
      <c r="M78" s="459">
        <f>+'ต.ค.-ธ.ค.'!M79+'ม.ค.-มี.ค.'!M78+'เม.ย.-มิ.ย.'!M78</f>
        <v>0</v>
      </c>
      <c r="N78" s="459">
        <f>+'ต.ค.-ธ.ค.'!N79+'ม.ค.-มี.ค.'!N78+'เม.ย.-มิ.ย.'!N78</f>
        <v>0</v>
      </c>
      <c r="O78" s="459">
        <f>+'ต.ค.-ธ.ค.'!O79+'ม.ค.-มี.ค.'!O78+'เม.ย.-มิ.ย.'!O78</f>
        <v>0</v>
      </c>
      <c r="P78" s="459">
        <f>+'ต.ค.-ธ.ค.'!P79+'ม.ค.-มี.ค.'!P78+'เม.ย.-มิ.ย.'!P78</f>
        <v>0</v>
      </c>
      <c r="Q78" s="459">
        <f>+'ต.ค.-ธ.ค.'!Q79+'ม.ค.-มี.ค.'!Q78+'เม.ย.-มิ.ย.'!Q78</f>
        <v>0</v>
      </c>
      <c r="R78" s="459">
        <f>+'ต.ค.-ธ.ค.'!R79+'ม.ค.-มี.ค.'!R78+'เม.ย.-มิ.ย.'!R78</f>
        <v>0</v>
      </c>
      <c r="S78" s="459">
        <f>+'ต.ค.-ธ.ค.'!S79+'ม.ค.-มี.ค.'!S78+'เม.ย.-มิ.ย.'!S78</f>
        <v>0</v>
      </c>
      <c r="T78" s="459">
        <f>+'ต.ค.-ธ.ค.'!U79+'ม.ค.-มี.ค.'!U78+'เม.ย.-มิ.ย.'!U78</f>
        <v>0</v>
      </c>
      <c r="U78" s="459">
        <f>+'ต.ค.-ธ.ค.'!V79+'ม.ค.-มี.ค.'!V78+'เม.ย.-มิ.ย.'!V78</f>
        <v>0</v>
      </c>
      <c r="W78"/>
    </row>
    <row r="79" spans="1:23" s="310" customFormat="1" ht="29.25" customHeight="1">
      <c r="A79" s="61"/>
      <c r="B79" s="389" t="s">
        <v>238</v>
      </c>
      <c r="C79" s="419">
        <f>70000+40000+10000+20000+30000+10000+10000</f>
        <v>190000</v>
      </c>
      <c r="D79" s="450"/>
      <c r="E79" s="459">
        <f>+'ต.ค.-ธ.ค.'!E80+'ม.ค.-มี.ค.'!E79+'เม.ย.-มิ.ย.'!E79</f>
        <v>68423.040000000008</v>
      </c>
      <c r="F79" s="459">
        <f>+'ต.ค.-ธ.ค.'!F80+'ม.ค.-มี.ค.'!F79+'เม.ย.-มิ.ย.'!F79</f>
        <v>250</v>
      </c>
      <c r="G79" s="459">
        <f>+'ต.ค.-ธ.ค.'!G80+'ม.ค.-มี.ค.'!G79+'เม.ย.-มิ.ย.'!G79</f>
        <v>0</v>
      </c>
      <c r="H79" s="459">
        <f>+'ต.ค.-ธ.ค.'!H80+'ม.ค.-มี.ค.'!H79+'เม.ย.-มิ.ย.'!H79</f>
        <v>60970</v>
      </c>
      <c r="I79" s="459">
        <f>+'ต.ค.-ธ.ค.'!I80+'ม.ค.-มี.ค.'!I79+'เม.ย.-มิ.ย.'!I79</f>
        <v>0</v>
      </c>
      <c r="J79" s="459">
        <f>+'ต.ค.-ธ.ค.'!J80+'ม.ค.-มี.ค.'!J79+'เม.ย.-มิ.ย.'!J79</f>
        <v>0</v>
      </c>
      <c r="K79" s="459">
        <f>+'ต.ค.-ธ.ค.'!K80+'ม.ค.-มี.ค.'!K79+'เม.ย.-มิ.ย.'!K79</f>
        <v>0</v>
      </c>
      <c r="L79" s="459">
        <f>+'ต.ค.-ธ.ค.'!L80+'ม.ค.-มี.ค.'!L79+'เม.ย.-มิ.ย.'!L79</f>
        <v>0</v>
      </c>
      <c r="M79" s="459">
        <f>+'ต.ค.-ธ.ค.'!M80+'ม.ค.-มี.ค.'!M79+'เม.ย.-มิ.ย.'!M79</f>
        <v>1200</v>
      </c>
      <c r="N79" s="459">
        <f>+'ต.ค.-ธ.ค.'!N80+'ม.ค.-มี.ค.'!N79+'เม.ย.-มิ.ย.'!N79</f>
        <v>0</v>
      </c>
      <c r="O79" s="459">
        <f>+'ต.ค.-ธ.ค.'!O80+'ม.ค.-มี.ค.'!O79+'เม.ย.-มิ.ย.'!O79</f>
        <v>0</v>
      </c>
      <c r="P79" s="459">
        <f>+'ต.ค.-ธ.ค.'!P80+'ม.ค.-มี.ค.'!P79+'เม.ย.-มิ.ย.'!P79</f>
        <v>0</v>
      </c>
      <c r="Q79" s="459">
        <f>+'ต.ค.-ธ.ค.'!Q80+'ม.ค.-มี.ค.'!Q79+'เม.ย.-มิ.ย.'!Q79</f>
        <v>0</v>
      </c>
      <c r="R79" s="459">
        <f>+'ต.ค.-ธ.ค.'!R80+'ม.ค.-มี.ค.'!R79+'เม.ย.-มิ.ย.'!R79</f>
        <v>0</v>
      </c>
      <c r="S79" s="459">
        <f>+'ต.ค.-ธ.ค.'!S80+'ม.ค.-มี.ค.'!S79+'เม.ย.-มิ.ย.'!S79</f>
        <v>0</v>
      </c>
      <c r="T79" s="459">
        <f>+'ต.ค.-ธ.ค.'!U80+'ม.ค.-มี.ค.'!U79+'เม.ย.-มิ.ย.'!U79</f>
        <v>0</v>
      </c>
      <c r="U79" s="459">
        <f>+'ต.ค.-ธ.ค.'!V80+'ม.ค.-มี.ค.'!V79+'เม.ย.-มิ.ย.'!V79</f>
        <v>0</v>
      </c>
      <c r="W79"/>
    </row>
    <row r="80" spans="1:23" s="310" customFormat="1" ht="29.25" customHeight="1">
      <c r="A80" s="61"/>
      <c r="B80" s="389" t="s">
        <v>121</v>
      </c>
      <c r="C80" s="419">
        <f>100000+47000+3000-140000+40000</f>
        <v>50000</v>
      </c>
      <c r="D80" s="450"/>
      <c r="E80" s="459">
        <f>+'ต.ค.-ธ.ค.'!E81+'ม.ค.-มี.ค.'!E80+'เม.ย.-มิ.ย.'!E80</f>
        <v>0</v>
      </c>
      <c r="F80" s="459">
        <f>+'ต.ค.-ธ.ค.'!F81+'ม.ค.-มี.ค.'!F80+'เม.ย.-มิ.ย.'!F80</f>
        <v>23586</v>
      </c>
      <c r="G80" s="459">
        <f>+'ต.ค.-ธ.ค.'!G81+'ม.ค.-มี.ค.'!G80+'เม.ย.-มิ.ย.'!G80</f>
        <v>0</v>
      </c>
      <c r="H80" s="459">
        <f>+'ต.ค.-ธ.ค.'!H81+'ม.ค.-มี.ค.'!H80+'เม.ย.-มิ.ย.'!H80</f>
        <v>0</v>
      </c>
      <c r="I80" s="459">
        <f>+'ต.ค.-ธ.ค.'!I81+'ม.ค.-มี.ค.'!I80+'เม.ย.-มิ.ย.'!I80</f>
        <v>0</v>
      </c>
      <c r="J80" s="459">
        <f>+'ต.ค.-ธ.ค.'!J81+'ม.ค.-มี.ค.'!J80+'เม.ย.-มิ.ย.'!J80</f>
        <v>0</v>
      </c>
      <c r="K80" s="459">
        <f>+'ต.ค.-ธ.ค.'!K81+'ม.ค.-มี.ค.'!K80+'เม.ย.-มิ.ย.'!K80</f>
        <v>0</v>
      </c>
      <c r="L80" s="459">
        <f>+'ต.ค.-ธ.ค.'!L81+'ม.ค.-มี.ค.'!L80+'เม.ย.-มิ.ย.'!L80</f>
        <v>0</v>
      </c>
      <c r="M80" s="459">
        <f>+'ต.ค.-ธ.ค.'!M81+'ม.ค.-มี.ค.'!M80+'เม.ย.-มิ.ย.'!M80</f>
        <v>0</v>
      </c>
      <c r="N80" s="459">
        <f>+'ต.ค.-ธ.ค.'!N81+'ม.ค.-มี.ค.'!N80+'เม.ย.-มิ.ย.'!N80</f>
        <v>0</v>
      </c>
      <c r="O80" s="459">
        <f>+'ต.ค.-ธ.ค.'!O81+'ม.ค.-มี.ค.'!O80+'เม.ย.-มิ.ย.'!O80</f>
        <v>0</v>
      </c>
      <c r="P80" s="459">
        <f>+'ต.ค.-ธ.ค.'!P81+'ม.ค.-มี.ค.'!P80+'เม.ย.-มิ.ย.'!P80</f>
        <v>0</v>
      </c>
      <c r="Q80" s="459">
        <f>+'ต.ค.-ธ.ค.'!Q81+'ม.ค.-มี.ค.'!Q80+'เม.ย.-มิ.ย.'!Q80</f>
        <v>0</v>
      </c>
      <c r="R80" s="459">
        <f>+'ต.ค.-ธ.ค.'!R81+'ม.ค.-มี.ค.'!R80+'เม.ย.-มิ.ย.'!R80</f>
        <v>0</v>
      </c>
      <c r="S80" s="459">
        <f>+'ต.ค.-ธ.ค.'!S81+'ม.ค.-มี.ค.'!S80+'เม.ย.-มิ.ย.'!S80</f>
        <v>0</v>
      </c>
      <c r="T80" s="459">
        <f>+'ต.ค.-ธ.ค.'!U81+'ม.ค.-มี.ค.'!U80+'เม.ย.-มิ.ย.'!U80</f>
        <v>0</v>
      </c>
      <c r="U80" s="459">
        <f>+'ต.ค.-ธ.ค.'!V81+'ม.ค.-มี.ค.'!V80+'เม.ย.-มิ.ย.'!V80</f>
        <v>0</v>
      </c>
      <c r="W80"/>
    </row>
    <row r="81" spans="1:23" s="310" customFormat="1" ht="29.25" customHeight="1">
      <c r="A81" s="61"/>
      <c r="B81" s="389" t="s">
        <v>295</v>
      </c>
      <c r="C81" s="419">
        <f>40000+50000</f>
        <v>90000</v>
      </c>
      <c r="D81" s="450"/>
      <c r="E81" s="459">
        <f>+'ต.ค.-ธ.ค.'!E82+'ม.ค.-มี.ค.'!E81+'เม.ย.-มิ.ย.'!E81</f>
        <v>0</v>
      </c>
      <c r="F81" s="459">
        <f>+'ต.ค.-ธ.ค.'!F82+'ม.ค.-มี.ค.'!F81+'เม.ย.-มิ.ย.'!F81</f>
        <v>0</v>
      </c>
      <c r="G81" s="459">
        <f>+'ต.ค.-ธ.ค.'!G82+'ม.ค.-มี.ค.'!G81+'เม.ย.-มิ.ย.'!G81</f>
        <v>86208</v>
      </c>
      <c r="H81" s="459">
        <f>+'ต.ค.-ธ.ค.'!H82+'ม.ค.-มี.ค.'!H81+'เม.ย.-มิ.ย.'!H81</f>
        <v>0</v>
      </c>
      <c r="I81" s="459">
        <f>+'ต.ค.-ธ.ค.'!I82+'ม.ค.-มี.ค.'!I81+'เม.ย.-มิ.ย.'!I81</f>
        <v>0</v>
      </c>
      <c r="J81" s="459">
        <f>+'ต.ค.-ธ.ค.'!J82+'ม.ค.-มี.ค.'!J81+'เม.ย.-มิ.ย.'!J81</f>
        <v>0</v>
      </c>
      <c r="K81" s="459">
        <f>+'ต.ค.-ธ.ค.'!K82+'ม.ค.-มี.ค.'!K81+'เม.ย.-มิ.ย.'!K81</f>
        <v>0</v>
      </c>
      <c r="L81" s="459">
        <f>+'ต.ค.-ธ.ค.'!L82+'ม.ค.-มี.ค.'!L81+'เม.ย.-มิ.ย.'!L81</f>
        <v>0</v>
      </c>
      <c r="M81" s="459">
        <f>+'ต.ค.-ธ.ค.'!M82+'ม.ค.-มี.ค.'!M81+'เม.ย.-มิ.ย.'!M81</f>
        <v>0</v>
      </c>
      <c r="N81" s="459">
        <f>+'ต.ค.-ธ.ค.'!N82+'ม.ค.-มี.ค.'!N81+'เม.ย.-มิ.ย.'!N81</f>
        <v>0</v>
      </c>
      <c r="O81" s="459">
        <f>+'ต.ค.-ธ.ค.'!O82+'ม.ค.-มี.ค.'!O81+'เม.ย.-มิ.ย.'!O81</f>
        <v>0</v>
      </c>
      <c r="P81" s="459">
        <f>+'ต.ค.-ธ.ค.'!P82+'ม.ค.-มี.ค.'!P81+'เม.ย.-มิ.ย.'!P81</f>
        <v>0</v>
      </c>
      <c r="Q81" s="459">
        <f>+'ต.ค.-ธ.ค.'!Q82+'ม.ค.-มี.ค.'!Q81+'เม.ย.-มิ.ย.'!Q81</f>
        <v>0</v>
      </c>
      <c r="R81" s="459">
        <f>+'ต.ค.-ธ.ค.'!R82+'ม.ค.-มี.ค.'!R81+'เม.ย.-มิ.ย.'!R81</f>
        <v>0</v>
      </c>
      <c r="S81" s="459">
        <f>+'ต.ค.-ธ.ค.'!S82+'ม.ค.-มี.ค.'!S81+'เม.ย.-มิ.ย.'!S81</f>
        <v>0</v>
      </c>
      <c r="T81" s="459">
        <f>+'ต.ค.-ธ.ค.'!U82+'ม.ค.-มี.ค.'!U81+'เม.ย.-มิ.ย.'!U81</f>
        <v>0</v>
      </c>
      <c r="U81" s="459">
        <f>+'ต.ค.-ธ.ค.'!V82+'ม.ค.-มี.ค.'!V81+'เม.ย.-มิ.ย.'!V81</f>
        <v>0</v>
      </c>
      <c r="W81"/>
    </row>
    <row r="82" spans="1:23" s="310" customFormat="1" ht="29.25" customHeight="1">
      <c r="A82" s="61"/>
      <c r="B82" s="389" t="s">
        <v>296</v>
      </c>
      <c r="C82" s="419">
        <v>30000</v>
      </c>
      <c r="D82" s="450"/>
      <c r="E82" s="459">
        <f>+'ต.ค.-ธ.ค.'!E83+'ม.ค.-มี.ค.'!E82+'เม.ย.-มิ.ย.'!E82</f>
        <v>0</v>
      </c>
      <c r="F82" s="459">
        <f>+'ต.ค.-ธ.ค.'!F83+'ม.ค.-มี.ค.'!F82+'เม.ย.-มิ.ย.'!F82</f>
        <v>0</v>
      </c>
      <c r="G82" s="459">
        <f>+'ต.ค.-ธ.ค.'!G83+'ม.ค.-มี.ค.'!G82+'เม.ย.-มิ.ย.'!G82</f>
        <v>29690</v>
      </c>
      <c r="H82" s="459">
        <f>+'ต.ค.-ธ.ค.'!H83+'ม.ค.-มี.ค.'!H82+'เม.ย.-มิ.ย.'!H82</f>
        <v>0</v>
      </c>
      <c r="I82" s="459">
        <f>+'ต.ค.-ธ.ค.'!I83+'ม.ค.-มี.ค.'!I82+'เม.ย.-มิ.ย.'!I82</f>
        <v>0</v>
      </c>
      <c r="J82" s="459">
        <f>+'ต.ค.-ธ.ค.'!J83+'ม.ค.-มี.ค.'!J82+'เม.ย.-มิ.ย.'!J82</f>
        <v>0</v>
      </c>
      <c r="K82" s="459">
        <f>+'ต.ค.-ธ.ค.'!K83+'ม.ค.-มี.ค.'!K82+'เม.ย.-มิ.ย.'!K82</f>
        <v>0</v>
      </c>
      <c r="L82" s="459">
        <f>+'ต.ค.-ธ.ค.'!L83+'ม.ค.-มี.ค.'!L82+'เม.ย.-มิ.ย.'!L82</f>
        <v>0</v>
      </c>
      <c r="M82" s="459">
        <f>+'ต.ค.-ธ.ค.'!M83+'ม.ค.-มี.ค.'!M82+'เม.ย.-มิ.ย.'!M82</f>
        <v>0</v>
      </c>
      <c r="N82" s="459">
        <f>+'ต.ค.-ธ.ค.'!N83+'ม.ค.-มี.ค.'!N82+'เม.ย.-มิ.ย.'!N82</f>
        <v>0</v>
      </c>
      <c r="O82" s="459">
        <f>+'ต.ค.-ธ.ค.'!O83+'ม.ค.-มี.ค.'!O82+'เม.ย.-มิ.ย.'!O82</f>
        <v>0</v>
      </c>
      <c r="P82" s="459">
        <f>+'ต.ค.-ธ.ค.'!P83+'ม.ค.-มี.ค.'!P82+'เม.ย.-มิ.ย.'!P82</f>
        <v>0</v>
      </c>
      <c r="Q82" s="459">
        <f>+'ต.ค.-ธ.ค.'!Q83+'ม.ค.-มี.ค.'!Q82+'เม.ย.-มิ.ย.'!Q82</f>
        <v>0</v>
      </c>
      <c r="R82" s="459">
        <f>+'ต.ค.-ธ.ค.'!R83+'ม.ค.-มี.ค.'!R82+'เม.ย.-มิ.ย.'!R82</f>
        <v>0</v>
      </c>
      <c r="S82" s="459">
        <f>+'ต.ค.-ธ.ค.'!S83+'ม.ค.-มี.ค.'!S82+'เม.ย.-มิ.ย.'!S82</f>
        <v>0</v>
      </c>
      <c r="T82" s="459">
        <f>+'ต.ค.-ธ.ค.'!U83+'ม.ค.-มี.ค.'!U82+'เม.ย.-มิ.ย.'!U82</f>
        <v>0</v>
      </c>
      <c r="U82" s="459">
        <f>+'ต.ค.-ธ.ค.'!V83+'ม.ค.-มี.ค.'!V82+'เม.ย.-มิ.ย.'!V82</f>
        <v>0</v>
      </c>
      <c r="W82"/>
    </row>
    <row r="83" spans="1:23" s="310" customFormat="1" ht="29.25" customHeight="1">
      <c r="A83" s="61"/>
      <c r="B83" s="389" t="s">
        <v>210</v>
      </c>
      <c r="C83" s="419">
        <v>10000</v>
      </c>
      <c r="D83" s="450"/>
      <c r="E83" s="459">
        <f>+'ต.ค.-ธ.ค.'!E84+'ม.ค.-มี.ค.'!E83+'เม.ย.-มิ.ย.'!E83</f>
        <v>0</v>
      </c>
      <c r="F83" s="459">
        <f>+'ต.ค.-ธ.ค.'!F84+'ม.ค.-มี.ค.'!F83+'เม.ย.-มิ.ย.'!F83</f>
        <v>0</v>
      </c>
      <c r="G83" s="459">
        <f>+'ต.ค.-ธ.ค.'!G84+'ม.ค.-มี.ค.'!G83+'เม.ย.-มิ.ย.'!G83</f>
        <v>0</v>
      </c>
      <c r="H83" s="459">
        <f>+'ต.ค.-ธ.ค.'!H84+'ม.ค.-มี.ค.'!H83+'เม.ย.-มิ.ย.'!H83</f>
        <v>0</v>
      </c>
      <c r="I83" s="459">
        <f>+'ต.ค.-ธ.ค.'!I84+'ม.ค.-มี.ค.'!I83+'เม.ย.-มิ.ย.'!I83</f>
        <v>0</v>
      </c>
      <c r="J83" s="459">
        <f>+'ต.ค.-ธ.ค.'!J84+'ม.ค.-มี.ค.'!J83+'เม.ย.-มิ.ย.'!J83</f>
        <v>0</v>
      </c>
      <c r="K83" s="459">
        <f>+'ต.ค.-ธ.ค.'!K84+'ม.ค.-มี.ค.'!K83+'เม.ย.-มิ.ย.'!K83</f>
        <v>0</v>
      </c>
      <c r="L83" s="459">
        <f>+'ต.ค.-ธ.ค.'!L84+'ม.ค.-มี.ค.'!L83+'เม.ย.-มิ.ย.'!L83</f>
        <v>0</v>
      </c>
      <c r="M83" s="459">
        <f>+'ต.ค.-ธ.ค.'!M84+'ม.ค.-มี.ค.'!M83+'เม.ย.-มิ.ย.'!M83</f>
        <v>0</v>
      </c>
      <c r="N83" s="459">
        <f>+'ต.ค.-ธ.ค.'!N84+'ม.ค.-มี.ค.'!N83+'เม.ย.-มิ.ย.'!N83</f>
        <v>0</v>
      </c>
      <c r="O83" s="459">
        <f>+'ต.ค.-ธ.ค.'!O84+'ม.ค.-มี.ค.'!O83+'เม.ย.-มิ.ย.'!O83</f>
        <v>0</v>
      </c>
      <c r="P83" s="459">
        <f>+'ต.ค.-ธ.ค.'!P84+'ม.ค.-มี.ค.'!P83+'เม.ย.-มิ.ย.'!P83</f>
        <v>0</v>
      </c>
      <c r="Q83" s="459">
        <f>+'ต.ค.-ธ.ค.'!Q84+'ม.ค.-มี.ค.'!Q83+'เม.ย.-มิ.ย.'!Q83</f>
        <v>0</v>
      </c>
      <c r="R83" s="459">
        <f>+'ต.ค.-ธ.ค.'!R84+'ม.ค.-มี.ค.'!R83+'เม.ย.-มิ.ย.'!R83</f>
        <v>0</v>
      </c>
      <c r="S83" s="459">
        <f>+'ต.ค.-ธ.ค.'!S84+'ม.ค.-มี.ค.'!S83+'เม.ย.-มิ.ย.'!S83</f>
        <v>0</v>
      </c>
      <c r="T83" s="459">
        <f>+'ต.ค.-ธ.ค.'!U84+'ม.ค.-มี.ค.'!U83+'เม.ย.-มิ.ย.'!U83</f>
        <v>0</v>
      </c>
      <c r="U83" s="459">
        <f>+'ต.ค.-ธ.ค.'!V84+'ม.ค.-มี.ค.'!V83+'เม.ย.-มิ.ย.'!V83</f>
        <v>0</v>
      </c>
      <c r="W83"/>
    </row>
    <row r="84" spans="1:23" s="310" customFormat="1" ht="29.25" customHeight="1">
      <c r="A84" s="61"/>
      <c r="B84" s="388" t="s">
        <v>297</v>
      </c>
      <c r="C84" s="419">
        <v>20000</v>
      </c>
      <c r="D84" s="450"/>
      <c r="E84" s="459">
        <f>+'ต.ค.-ธ.ค.'!E85+'ม.ค.-มี.ค.'!E84+'เม.ย.-มิ.ย.'!E84</f>
        <v>0</v>
      </c>
      <c r="F84" s="459">
        <f>+'ต.ค.-ธ.ค.'!F85+'ม.ค.-มี.ค.'!F84+'เม.ย.-มิ.ย.'!F84</f>
        <v>0</v>
      </c>
      <c r="G84" s="459">
        <f>+'ต.ค.-ธ.ค.'!G85+'ม.ค.-มี.ค.'!G84+'เม.ย.-มิ.ย.'!G84</f>
        <v>0</v>
      </c>
      <c r="H84" s="459">
        <f>+'ต.ค.-ธ.ค.'!H85+'ม.ค.-มี.ค.'!H84+'เม.ย.-มิ.ย.'!H84</f>
        <v>0</v>
      </c>
      <c r="I84" s="459">
        <f>+'ต.ค.-ธ.ค.'!I85+'ม.ค.-มี.ค.'!I84+'เม.ย.-มิ.ย.'!I84</f>
        <v>0</v>
      </c>
      <c r="J84" s="459">
        <f>+'ต.ค.-ธ.ค.'!J85+'ม.ค.-มี.ค.'!J84+'เม.ย.-มิ.ย.'!J84</f>
        <v>0</v>
      </c>
      <c r="K84" s="459">
        <f>+'ต.ค.-ธ.ค.'!K85+'ม.ค.-มี.ค.'!K84+'เม.ย.-มิ.ย.'!K84</f>
        <v>0</v>
      </c>
      <c r="L84" s="459">
        <f>+'ต.ค.-ธ.ค.'!L85+'ม.ค.-มี.ค.'!L84+'เม.ย.-มิ.ย.'!L84</f>
        <v>0</v>
      </c>
      <c r="M84" s="459">
        <f>+'ต.ค.-ธ.ค.'!M85+'ม.ค.-มี.ค.'!M84+'เม.ย.-มิ.ย.'!M84</f>
        <v>0</v>
      </c>
      <c r="N84" s="459">
        <f>+'ต.ค.-ธ.ค.'!N85+'ม.ค.-มี.ค.'!N84+'เม.ย.-มิ.ย.'!N84</f>
        <v>0</v>
      </c>
      <c r="O84" s="459">
        <f>+'ต.ค.-ธ.ค.'!O85+'ม.ค.-มี.ค.'!O84+'เม.ย.-มิ.ย.'!O84</f>
        <v>0</v>
      </c>
      <c r="P84" s="459">
        <f>+'ต.ค.-ธ.ค.'!P85+'ม.ค.-มี.ค.'!P84+'เม.ย.-มิ.ย.'!P84</f>
        <v>0</v>
      </c>
      <c r="Q84" s="459">
        <f>+'ต.ค.-ธ.ค.'!Q85+'ม.ค.-มี.ค.'!Q84+'เม.ย.-มิ.ย.'!Q84</f>
        <v>0</v>
      </c>
      <c r="R84" s="459">
        <f>+'ต.ค.-ธ.ค.'!R85+'ม.ค.-มี.ค.'!R84+'เม.ย.-มิ.ย.'!R84</f>
        <v>0</v>
      </c>
      <c r="S84" s="459">
        <f>+'ต.ค.-ธ.ค.'!S85+'ม.ค.-มี.ค.'!S84+'เม.ย.-มิ.ย.'!S84</f>
        <v>0</v>
      </c>
      <c r="T84" s="459">
        <f>+'ต.ค.-ธ.ค.'!U85+'ม.ค.-มี.ค.'!U84+'เม.ย.-มิ.ย.'!U84</f>
        <v>0</v>
      </c>
      <c r="U84" s="459">
        <f>+'ต.ค.-ธ.ค.'!V85+'ม.ค.-มี.ค.'!V84+'เม.ย.-มิ.ย.'!V84</f>
        <v>0</v>
      </c>
      <c r="W84"/>
    </row>
    <row r="85" spans="1:23" s="310" customFormat="1" ht="29.25" customHeight="1">
      <c r="A85" s="61"/>
      <c r="B85" s="388" t="s">
        <v>298</v>
      </c>
      <c r="C85" s="419">
        <v>20000</v>
      </c>
      <c r="D85" s="450"/>
      <c r="E85" s="459">
        <f>+'ต.ค.-ธ.ค.'!E86+'ม.ค.-มี.ค.'!E85+'เม.ย.-มิ.ย.'!E85</f>
        <v>0</v>
      </c>
      <c r="F85" s="459">
        <f>+'ต.ค.-ธ.ค.'!F86+'ม.ค.-มี.ค.'!F85+'เม.ย.-มิ.ย.'!F85</f>
        <v>0</v>
      </c>
      <c r="G85" s="459">
        <f>+'ต.ค.-ธ.ค.'!G86+'ม.ค.-มี.ค.'!G85+'เม.ย.-มิ.ย.'!G85</f>
        <v>0</v>
      </c>
      <c r="H85" s="459">
        <f>+'ต.ค.-ธ.ค.'!H86+'ม.ค.-มี.ค.'!H85+'เม.ย.-มิ.ย.'!H85</f>
        <v>0</v>
      </c>
      <c r="I85" s="459">
        <f>+'ต.ค.-ธ.ค.'!I86+'ม.ค.-มี.ค.'!I85+'เม.ย.-มิ.ย.'!I85</f>
        <v>0</v>
      </c>
      <c r="J85" s="459">
        <f>+'ต.ค.-ธ.ค.'!J86+'ม.ค.-มี.ค.'!J85+'เม.ย.-มิ.ย.'!J85</f>
        <v>0</v>
      </c>
      <c r="K85" s="459">
        <f>+'ต.ค.-ธ.ค.'!K86+'ม.ค.-มี.ค.'!K85+'เม.ย.-มิ.ย.'!K85</f>
        <v>0</v>
      </c>
      <c r="L85" s="459">
        <f>+'ต.ค.-ธ.ค.'!L86+'ม.ค.-มี.ค.'!L85+'เม.ย.-มิ.ย.'!L85</f>
        <v>0</v>
      </c>
      <c r="M85" s="459">
        <f>+'ต.ค.-ธ.ค.'!M86+'ม.ค.-มี.ค.'!M85+'เม.ย.-มิ.ย.'!M85</f>
        <v>0</v>
      </c>
      <c r="N85" s="459">
        <f>+'ต.ค.-ธ.ค.'!N86+'ม.ค.-มี.ค.'!N85+'เม.ย.-มิ.ย.'!N85</f>
        <v>0</v>
      </c>
      <c r="O85" s="459">
        <f>+'ต.ค.-ธ.ค.'!O86+'ม.ค.-มี.ค.'!O85+'เม.ย.-มิ.ย.'!O85</f>
        <v>0</v>
      </c>
      <c r="P85" s="459">
        <f>+'ต.ค.-ธ.ค.'!P86+'ม.ค.-มี.ค.'!P85+'เม.ย.-มิ.ย.'!P85</f>
        <v>0</v>
      </c>
      <c r="Q85" s="459">
        <f>+'ต.ค.-ธ.ค.'!Q86+'ม.ค.-มี.ค.'!Q85+'เม.ย.-มิ.ย.'!Q85</f>
        <v>0</v>
      </c>
      <c r="R85" s="459">
        <f>+'ต.ค.-ธ.ค.'!R86+'ม.ค.-มี.ค.'!R85+'เม.ย.-มิ.ย.'!R85</f>
        <v>0</v>
      </c>
      <c r="S85" s="459">
        <f>+'ต.ค.-ธ.ค.'!S86+'ม.ค.-มี.ค.'!S85+'เม.ย.-มิ.ย.'!S85</f>
        <v>0</v>
      </c>
      <c r="T85" s="459">
        <f>+'ต.ค.-ธ.ค.'!U86+'ม.ค.-มี.ค.'!U85+'เม.ย.-มิ.ย.'!U85</f>
        <v>0</v>
      </c>
      <c r="U85" s="459">
        <f>+'ต.ค.-ธ.ค.'!V86+'ม.ค.-มี.ค.'!V85+'เม.ย.-มิ.ย.'!V85</f>
        <v>0</v>
      </c>
      <c r="W85"/>
    </row>
    <row r="86" spans="1:23" s="310" customFormat="1" ht="29.25" customHeight="1">
      <c r="A86" s="61"/>
      <c r="B86" s="388" t="s">
        <v>299</v>
      </c>
      <c r="C86" s="419">
        <v>15000</v>
      </c>
      <c r="D86" s="450"/>
      <c r="E86" s="459">
        <f>+'ต.ค.-ธ.ค.'!E87+'ม.ค.-มี.ค.'!E86+'เม.ย.-มิ.ย.'!E86</f>
        <v>0</v>
      </c>
      <c r="F86" s="459">
        <f>+'ต.ค.-ธ.ค.'!F87+'ม.ค.-มี.ค.'!F86+'เม.ย.-มิ.ย.'!F86</f>
        <v>0</v>
      </c>
      <c r="G86" s="459">
        <f>+'ต.ค.-ธ.ค.'!G87+'ม.ค.-มี.ค.'!G86+'เม.ย.-มิ.ย.'!G86</f>
        <v>0</v>
      </c>
      <c r="H86" s="459">
        <f>+'ต.ค.-ธ.ค.'!H87+'ม.ค.-มี.ค.'!H86+'เม.ย.-มิ.ย.'!H86</f>
        <v>15000</v>
      </c>
      <c r="I86" s="459">
        <f>+'ต.ค.-ธ.ค.'!I87+'ม.ค.-มี.ค.'!I86+'เม.ย.-มิ.ย.'!I86</f>
        <v>0</v>
      </c>
      <c r="J86" s="459">
        <f>+'ต.ค.-ธ.ค.'!J87+'ม.ค.-มี.ค.'!J86+'เม.ย.-มิ.ย.'!J86</f>
        <v>0</v>
      </c>
      <c r="K86" s="459">
        <f>+'ต.ค.-ธ.ค.'!K87+'ม.ค.-มี.ค.'!K86+'เม.ย.-มิ.ย.'!K86</f>
        <v>0</v>
      </c>
      <c r="L86" s="459">
        <f>+'ต.ค.-ธ.ค.'!L87+'ม.ค.-มี.ค.'!L86+'เม.ย.-มิ.ย.'!L86</f>
        <v>0</v>
      </c>
      <c r="M86" s="459">
        <f>+'ต.ค.-ธ.ค.'!M87+'ม.ค.-มี.ค.'!M86+'เม.ย.-มิ.ย.'!M86</f>
        <v>0</v>
      </c>
      <c r="N86" s="459">
        <f>+'ต.ค.-ธ.ค.'!N87+'ม.ค.-มี.ค.'!N86+'เม.ย.-มิ.ย.'!N86</f>
        <v>0</v>
      </c>
      <c r="O86" s="459">
        <f>+'ต.ค.-ธ.ค.'!O87+'ม.ค.-มี.ค.'!O86+'เม.ย.-มิ.ย.'!O86</f>
        <v>0</v>
      </c>
      <c r="P86" s="459">
        <f>+'ต.ค.-ธ.ค.'!P87+'ม.ค.-มี.ค.'!P86+'เม.ย.-มิ.ย.'!P86</f>
        <v>0</v>
      </c>
      <c r="Q86" s="459">
        <f>+'ต.ค.-ธ.ค.'!Q87+'ม.ค.-มี.ค.'!Q86+'เม.ย.-มิ.ย.'!Q86</f>
        <v>0</v>
      </c>
      <c r="R86" s="459">
        <f>+'ต.ค.-ธ.ค.'!R87+'ม.ค.-มี.ค.'!R86+'เม.ย.-มิ.ย.'!R86</f>
        <v>0</v>
      </c>
      <c r="S86" s="459">
        <f>+'ต.ค.-ธ.ค.'!S87+'ม.ค.-มี.ค.'!S86+'เม.ย.-มิ.ย.'!S86</f>
        <v>0</v>
      </c>
      <c r="T86" s="459">
        <f>+'ต.ค.-ธ.ค.'!U87+'ม.ค.-มี.ค.'!U86+'เม.ย.-มิ.ย.'!U86</f>
        <v>0</v>
      </c>
      <c r="U86" s="459">
        <f>+'ต.ค.-ธ.ค.'!V87+'ม.ค.-มี.ค.'!V86+'เม.ย.-มิ.ย.'!V86</f>
        <v>0</v>
      </c>
      <c r="W86"/>
    </row>
    <row r="87" spans="1:23" s="310" customFormat="1" ht="29.25" customHeight="1">
      <c r="A87" s="61"/>
      <c r="B87" s="388" t="s">
        <v>300</v>
      </c>
      <c r="C87" s="419">
        <v>10000</v>
      </c>
      <c r="D87" s="450"/>
      <c r="E87" s="459">
        <f>+'ต.ค.-ธ.ค.'!E88+'ม.ค.-มี.ค.'!E87+'เม.ย.-มิ.ย.'!E87</f>
        <v>0</v>
      </c>
      <c r="F87" s="459">
        <f>+'ต.ค.-ธ.ค.'!F88+'ม.ค.-มี.ค.'!F87+'เม.ย.-มิ.ย.'!F87</f>
        <v>0</v>
      </c>
      <c r="G87" s="459">
        <f>+'ต.ค.-ธ.ค.'!G88+'ม.ค.-มี.ค.'!G87+'เม.ย.-มิ.ย.'!G87</f>
        <v>0</v>
      </c>
      <c r="H87" s="459">
        <f>+'ต.ค.-ธ.ค.'!H88+'ม.ค.-มี.ค.'!H87+'เม.ย.-มิ.ย.'!H87</f>
        <v>10000</v>
      </c>
      <c r="I87" s="459">
        <f>+'ต.ค.-ธ.ค.'!I88+'ม.ค.-มี.ค.'!I87+'เม.ย.-มิ.ย.'!I87</f>
        <v>0</v>
      </c>
      <c r="J87" s="459">
        <f>+'ต.ค.-ธ.ค.'!J88+'ม.ค.-มี.ค.'!J87+'เม.ย.-มิ.ย.'!J87</f>
        <v>0</v>
      </c>
      <c r="K87" s="459">
        <f>+'ต.ค.-ธ.ค.'!K88+'ม.ค.-มี.ค.'!K87+'เม.ย.-มิ.ย.'!K87</f>
        <v>0</v>
      </c>
      <c r="L87" s="459">
        <f>+'ต.ค.-ธ.ค.'!L88+'ม.ค.-มี.ค.'!L87+'เม.ย.-มิ.ย.'!L87</f>
        <v>0</v>
      </c>
      <c r="M87" s="459">
        <f>+'ต.ค.-ธ.ค.'!M88+'ม.ค.-มี.ค.'!M87+'เม.ย.-มิ.ย.'!M87</f>
        <v>0</v>
      </c>
      <c r="N87" s="459">
        <f>+'ต.ค.-ธ.ค.'!N88+'ม.ค.-มี.ค.'!N87+'เม.ย.-มิ.ย.'!N87</f>
        <v>0</v>
      </c>
      <c r="O87" s="459">
        <f>+'ต.ค.-ธ.ค.'!O88+'ม.ค.-มี.ค.'!O87+'เม.ย.-มิ.ย.'!O87</f>
        <v>0</v>
      </c>
      <c r="P87" s="459">
        <f>+'ต.ค.-ธ.ค.'!P88+'ม.ค.-มี.ค.'!P87+'เม.ย.-มิ.ย.'!P87</f>
        <v>0</v>
      </c>
      <c r="Q87" s="459">
        <f>+'ต.ค.-ธ.ค.'!Q88+'ม.ค.-มี.ค.'!Q87+'เม.ย.-มิ.ย.'!Q87</f>
        <v>0</v>
      </c>
      <c r="R87" s="459">
        <f>+'ต.ค.-ธ.ค.'!R88+'ม.ค.-มี.ค.'!R87+'เม.ย.-มิ.ย.'!R87</f>
        <v>0</v>
      </c>
      <c r="S87" s="459">
        <f>+'ต.ค.-ธ.ค.'!S88+'ม.ค.-มี.ค.'!S87+'เม.ย.-มิ.ย.'!S87</f>
        <v>0</v>
      </c>
      <c r="T87" s="459">
        <f>+'ต.ค.-ธ.ค.'!U88+'ม.ค.-มี.ค.'!U87+'เม.ย.-มิ.ย.'!U87</f>
        <v>0</v>
      </c>
      <c r="U87" s="459">
        <f>+'ต.ค.-ธ.ค.'!V88+'ม.ค.-มี.ค.'!V87+'เม.ย.-มิ.ย.'!V87</f>
        <v>0</v>
      </c>
      <c r="W87"/>
    </row>
    <row r="88" spans="1:23" s="310" customFormat="1" ht="29.25" customHeight="1">
      <c r="A88" s="61"/>
      <c r="B88" s="388" t="s">
        <v>301</v>
      </c>
      <c r="C88" s="419">
        <v>345100</v>
      </c>
      <c r="D88" s="450"/>
      <c r="E88" s="459">
        <f>+'ต.ค.-ธ.ค.'!E89+'ม.ค.-มี.ค.'!E88+'เม.ย.-มิ.ย.'!E88</f>
        <v>0</v>
      </c>
      <c r="F88" s="459">
        <f>+'ต.ค.-ธ.ค.'!F89+'ม.ค.-มี.ค.'!F88+'เม.ย.-มิ.ย.'!F88</f>
        <v>0</v>
      </c>
      <c r="G88" s="459">
        <f>+'ต.ค.-ธ.ค.'!G89+'ม.ค.-มี.ค.'!G88+'เม.ย.-มิ.ย.'!G88</f>
        <v>0</v>
      </c>
      <c r="H88" s="459">
        <f>+'ต.ค.-ธ.ค.'!H89+'ม.ค.-มี.ค.'!H88+'เม.ย.-มิ.ย.'!H88</f>
        <v>345100</v>
      </c>
      <c r="I88" s="459">
        <f>+'ต.ค.-ธ.ค.'!I89+'ม.ค.-มี.ค.'!I88+'เม.ย.-มิ.ย.'!I88</f>
        <v>0</v>
      </c>
      <c r="J88" s="459">
        <f>+'ต.ค.-ธ.ค.'!J89+'ม.ค.-มี.ค.'!J88+'เม.ย.-มิ.ย.'!J88</f>
        <v>0</v>
      </c>
      <c r="K88" s="459">
        <f>+'ต.ค.-ธ.ค.'!K89+'ม.ค.-มี.ค.'!K88+'เม.ย.-มิ.ย.'!K88</f>
        <v>0</v>
      </c>
      <c r="L88" s="459">
        <f>+'ต.ค.-ธ.ค.'!L89+'ม.ค.-มี.ค.'!L88+'เม.ย.-มิ.ย.'!L88</f>
        <v>0</v>
      </c>
      <c r="M88" s="459">
        <f>+'ต.ค.-ธ.ค.'!M89+'ม.ค.-มี.ค.'!M88+'เม.ย.-มิ.ย.'!M88</f>
        <v>0</v>
      </c>
      <c r="N88" s="459">
        <f>+'ต.ค.-ธ.ค.'!N89+'ม.ค.-มี.ค.'!N88+'เม.ย.-มิ.ย.'!N88</f>
        <v>0</v>
      </c>
      <c r="O88" s="459">
        <f>+'ต.ค.-ธ.ค.'!O89+'ม.ค.-มี.ค.'!O88+'เม.ย.-มิ.ย.'!O88</f>
        <v>0</v>
      </c>
      <c r="P88" s="459">
        <f>+'ต.ค.-ธ.ค.'!P89+'ม.ค.-มี.ค.'!P88+'เม.ย.-มิ.ย.'!P88</f>
        <v>0</v>
      </c>
      <c r="Q88" s="459">
        <f>+'ต.ค.-ธ.ค.'!Q89+'ม.ค.-มี.ค.'!Q88+'เม.ย.-มิ.ย.'!Q88</f>
        <v>0</v>
      </c>
      <c r="R88" s="459">
        <f>+'ต.ค.-ธ.ค.'!R89+'ม.ค.-มี.ค.'!R88+'เม.ย.-มิ.ย.'!R88</f>
        <v>0</v>
      </c>
      <c r="S88" s="459">
        <f>+'ต.ค.-ธ.ค.'!S89+'ม.ค.-มี.ค.'!S88+'เม.ย.-มิ.ย.'!S88</f>
        <v>0</v>
      </c>
      <c r="T88" s="459">
        <f>+'ต.ค.-ธ.ค.'!U89+'ม.ค.-มี.ค.'!U88+'เม.ย.-มิ.ย.'!U88</f>
        <v>0</v>
      </c>
      <c r="U88" s="459">
        <f>+'ต.ค.-ธ.ค.'!V89+'ม.ค.-มี.ค.'!V88+'เม.ย.-มิ.ย.'!V88</f>
        <v>0</v>
      </c>
      <c r="W88"/>
    </row>
    <row r="89" spans="1:23" s="310" customFormat="1" ht="29.25" customHeight="1">
      <c r="A89" s="61"/>
      <c r="B89" s="388" t="s">
        <v>242</v>
      </c>
      <c r="C89" s="419">
        <v>40000</v>
      </c>
      <c r="D89" s="450"/>
      <c r="E89" s="459">
        <f>+'ต.ค.-ธ.ค.'!E90+'ม.ค.-มี.ค.'!E89+'เม.ย.-มิ.ย.'!E89</f>
        <v>0</v>
      </c>
      <c r="F89" s="459">
        <f>+'ต.ค.-ธ.ค.'!F90+'ม.ค.-มี.ค.'!F89+'เม.ย.-มิ.ย.'!F89</f>
        <v>0</v>
      </c>
      <c r="G89" s="459">
        <f>+'ต.ค.-ธ.ค.'!G90+'ม.ค.-มี.ค.'!G89+'เม.ย.-มิ.ย.'!G89</f>
        <v>0</v>
      </c>
      <c r="H89" s="459">
        <f>+'ต.ค.-ธ.ค.'!H90+'ม.ค.-มี.ค.'!H89+'เม.ย.-มิ.ย.'!H89</f>
        <v>0</v>
      </c>
      <c r="I89" s="459">
        <f>+'ต.ค.-ธ.ค.'!I90+'ม.ค.-มี.ค.'!I89+'เม.ย.-มิ.ย.'!I89</f>
        <v>40000</v>
      </c>
      <c r="J89" s="459">
        <f>+'ต.ค.-ธ.ค.'!J90+'ม.ค.-มี.ค.'!J89+'เม.ย.-มิ.ย.'!J89</f>
        <v>0</v>
      </c>
      <c r="K89" s="459">
        <f>+'ต.ค.-ธ.ค.'!K90+'ม.ค.-มี.ค.'!K89+'เม.ย.-มิ.ย.'!K89</f>
        <v>0</v>
      </c>
      <c r="L89" s="459">
        <f>+'ต.ค.-ธ.ค.'!L90+'ม.ค.-มี.ค.'!L89+'เม.ย.-มิ.ย.'!L89</f>
        <v>0</v>
      </c>
      <c r="M89" s="459">
        <f>+'ต.ค.-ธ.ค.'!M90+'ม.ค.-มี.ค.'!M89+'เม.ย.-มิ.ย.'!M89</f>
        <v>0</v>
      </c>
      <c r="N89" s="459">
        <f>+'ต.ค.-ธ.ค.'!N90+'ม.ค.-มี.ค.'!N89+'เม.ย.-มิ.ย.'!N89</f>
        <v>0</v>
      </c>
      <c r="O89" s="459">
        <f>+'ต.ค.-ธ.ค.'!O90+'ม.ค.-มี.ค.'!O89+'เม.ย.-มิ.ย.'!O89</f>
        <v>0</v>
      </c>
      <c r="P89" s="459">
        <f>+'ต.ค.-ธ.ค.'!P90+'ม.ค.-มี.ค.'!P89+'เม.ย.-มิ.ย.'!P89</f>
        <v>0</v>
      </c>
      <c r="Q89" s="459">
        <f>+'ต.ค.-ธ.ค.'!Q90+'ม.ค.-มี.ค.'!Q89+'เม.ย.-มิ.ย.'!Q89</f>
        <v>0</v>
      </c>
      <c r="R89" s="459">
        <f>+'ต.ค.-ธ.ค.'!R90+'ม.ค.-มี.ค.'!R89+'เม.ย.-มิ.ย.'!R89</f>
        <v>0</v>
      </c>
      <c r="S89" s="459">
        <f>+'ต.ค.-ธ.ค.'!S90+'ม.ค.-มี.ค.'!S89+'เม.ย.-มิ.ย.'!S89</f>
        <v>0</v>
      </c>
      <c r="T89" s="459">
        <f>+'ต.ค.-ธ.ค.'!U90+'ม.ค.-มี.ค.'!U89+'เม.ย.-มิ.ย.'!U89</f>
        <v>0</v>
      </c>
      <c r="U89" s="459">
        <f>+'ต.ค.-ธ.ค.'!V90+'ม.ค.-มี.ค.'!V89+'เม.ย.-มิ.ย.'!V89</f>
        <v>0</v>
      </c>
      <c r="W89"/>
    </row>
    <row r="90" spans="1:23" s="310" customFormat="1" ht="29.25" customHeight="1">
      <c r="A90" s="61"/>
      <c r="B90" s="388" t="s">
        <v>307</v>
      </c>
      <c r="C90" s="419">
        <f>10000-10000</f>
        <v>0</v>
      </c>
      <c r="D90" s="442"/>
      <c r="E90" s="459">
        <f>+'ต.ค.-ธ.ค.'!E91+'ม.ค.-มี.ค.'!E90+'เม.ย.-มิ.ย.'!E90</f>
        <v>0</v>
      </c>
      <c r="F90" s="459">
        <f>+'ต.ค.-ธ.ค.'!F91+'ม.ค.-มี.ค.'!F90+'เม.ย.-มิ.ย.'!F90</f>
        <v>0</v>
      </c>
      <c r="G90" s="459">
        <f>+'ต.ค.-ธ.ค.'!G91+'ม.ค.-มี.ค.'!G90+'เม.ย.-มิ.ย.'!G90</f>
        <v>0</v>
      </c>
      <c r="H90" s="459">
        <f>+'ต.ค.-ธ.ค.'!H91+'ม.ค.-มี.ค.'!H90+'เม.ย.-มิ.ย.'!H90</f>
        <v>0</v>
      </c>
      <c r="I90" s="459">
        <f>+'ต.ค.-ธ.ค.'!I91+'ม.ค.-มี.ค.'!I90+'เม.ย.-มิ.ย.'!I90</f>
        <v>0</v>
      </c>
      <c r="J90" s="459">
        <f>+'ต.ค.-ธ.ค.'!J91+'ม.ค.-มี.ค.'!J90+'เม.ย.-มิ.ย.'!J90</f>
        <v>0</v>
      </c>
      <c r="K90" s="459">
        <f>+'ต.ค.-ธ.ค.'!K91+'ม.ค.-มี.ค.'!K90+'เม.ย.-มิ.ย.'!K90</f>
        <v>0</v>
      </c>
      <c r="L90" s="459">
        <f>+'ต.ค.-ธ.ค.'!L91+'ม.ค.-มี.ค.'!L90+'เม.ย.-มิ.ย.'!L90</f>
        <v>0</v>
      </c>
      <c r="M90" s="459">
        <f>+'ต.ค.-ธ.ค.'!M91+'ม.ค.-มี.ค.'!M90+'เม.ย.-มิ.ย.'!M90</f>
        <v>0</v>
      </c>
      <c r="N90" s="459">
        <f>+'ต.ค.-ธ.ค.'!N91+'ม.ค.-มี.ค.'!N90+'เม.ย.-มิ.ย.'!N90</f>
        <v>0</v>
      </c>
      <c r="O90" s="459">
        <f>+'ต.ค.-ธ.ค.'!O91+'ม.ค.-มี.ค.'!O90+'เม.ย.-มิ.ย.'!O90</f>
        <v>0</v>
      </c>
      <c r="P90" s="459">
        <f>+'ต.ค.-ธ.ค.'!P91+'ม.ค.-มี.ค.'!P90+'เม.ย.-มิ.ย.'!P90</f>
        <v>0</v>
      </c>
      <c r="Q90" s="459">
        <f>+'ต.ค.-ธ.ค.'!Q91+'ม.ค.-มี.ค.'!Q90+'เม.ย.-มิ.ย.'!Q90</f>
        <v>0</v>
      </c>
      <c r="R90" s="459">
        <f>+'ต.ค.-ธ.ค.'!R91+'ม.ค.-มี.ค.'!R90+'เม.ย.-มิ.ย.'!R90</f>
        <v>0</v>
      </c>
      <c r="S90" s="459">
        <f>+'ต.ค.-ธ.ค.'!S91+'ม.ค.-มี.ค.'!S90+'เม.ย.-มิ.ย.'!S90</f>
        <v>0</v>
      </c>
      <c r="T90" s="459">
        <f>+'ต.ค.-ธ.ค.'!U91+'ม.ค.-มี.ค.'!U90+'เม.ย.-มิ.ย.'!U90</f>
        <v>0</v>
      </c>
      <c r="U90" s="459">
        <f>+'ต.ค.-ธ.ค.'!V91+'ม.ค.-มี.ค.'!V90+'เม.ย.-มิ.ย.'!V90</f>
        <v>0</v>
      </c>
      <c r="W90"/>
    </row>
    <row r="91" spans="1:23" s="310" customFormat="1" ht="29.25" customHeight="1">
      <c r="A91" s="61"/>
      <c r="B91" s="388" t="s">
        <v>134</v>
      </c>
      <c r="C91" s="419">
        <f>15000-10000</f>
        <v>5000</v>
      </c>
      <c r="D91" s="450"/>
      <c r="E91" s="459">
        <f>+'ต.ค.-ธ.ค.'!E92+'ม.ค.-มี.ค.'!E91+'เม.ย.-มิ.ย.'!E91</f>
        <v>0</v>
      </c>
      <c r="F91" s="459">
        <f>+'ต.ค.-ธ.ค.'!F92+'ม.ค.-มี.ค.'!F91+'เม.ย.-มิ.ย.'!F91</f>
        <v>0</v>
      </c>
      <c r="G91" s="459">
        <f>+'ต.ค.-ธ.ค.'!G92+'ม.ค.-มี.ค.'!G91+'เม.ย.-มิ.ย.'!G91</f>
        <v>0</v>
      </c>
      <c r="H91" s="459">
        <f>+'ต.ค.-ธ.ค.'!H92+'ม.ค.-มี.ค.'!H91+'เม.ย.-มิ.ย.'!H91</f>
        <v>0</v>
      </c>
      <c r="I91" s="459">
        <f>+'ต.ค.-ธ.ค.'!I92+'ม.ค.-มี.ค.'!I91+'เม.ย.-มิ.ย.'!I91</f>
        <v>5000</v>
      </c>
      <c r="J91" s="459">
        <f>+'ต.ค.-ธ.ค.'!J92+'ม.ค.-มี.ค.'!J91+'เม.ย.-มิ.ย.'!J91</f>
        <v>0</v>
      </c>
      <c r="K91" s="459">
        <f>+'ต.ค.-ธ.ค.'!K92+'ม.ค.-มี.ค.'!K91+'เม.ย.-มิ.ย.'!K91</f>
        <v>0</v>
      </c>
      <c r="L91" s="459">
        <f>+'ต.ค.-ธ.ค.'!L92+'ม.ค.-มี.ค.'!L91+'เม.ย.-มิ.ย.'!L91</f>
        <v>0</v>
      </c>
      <c r="M91" s="459">
        <f>+'ต.ค.-ธ.ค.'!M92+'ม.ค.-มี.ค.'!M91+'เม.ย.-มิ.ย.'!M91</f>
        <v>0</v>
      </c>
      <c r="N91" s="459">
        <f>+'ต.ค.-ธ.ค.'!N92+'ม.ค.-มี.ค.'!N91+'เม.ย.-มิ.ย.'!N91</f>
        <v>0</v>
      </c>
      <c r="O91" s="459">
        <f>+'ต.ค.-ธ.ค.'!O92+'ม.ค.-มี.ค.'!O91+'เม.ย.-มิ.ย.'!O91</f>
        <v>0</v>
      </c>
      <c r="P91" s="459">
        <f>+'ต.ค.-ธ.ค.'!P92+'ม.ค.-มี.ค.'!P91+'เม.ย.-มิ.ย.'!P91</f>
        <v>0</v>
      </c>
      <c r="Q91" s="459">
        <f>+'ต.ค.-ธ.ค.'!Q92+'ม.ค.-มี.ค.'!Q91+'เม.ย.-มิ.ย.'!Q91</f>
        <v>0</v>
      </c>
      <c r="R91" s="459">
        <f>+'ต.ค.-ธ.ค.'!R92+'ม.ค.-มี.ค.'!R91+'เม.ย.-มิ.ย.'!R91</f>
        <v>0</v>
      </c>
      <c r="S91" s="459">
        <f>+'ต.ค.-ธ.ค.'!S92+'ม.ค.-มี.ค.'!S91+'เม.ย.-มิ.ย.'!S91</f>
        <v>0</v>
      </c>
      <c r="T91" s="459">
        <f>+'ต.ค.-ธ.ค.'!U92+'ม.ค.-มี.ค.'!U91+'เม.ย.-มิ.ย.'!U91</f>
        <v>0</v>
      </c>
      <c r="U91" s="459">
        <f>+'ต.ค.-ธ.ค.'!V92+'ม.ค.-มี.ค.'!V91+'เม.ย.-มิ.ย.'!V91</f>
        <v>0</v>
      </c>
      <c r="W91"/>
    </row>
    <row r="92" spans="1:23" s="310" customFormat="1" ht="29.25" customHeight="1">
      <c r="A92" s="61"/>
      <c r="B92" s="388" t="s">
        <v>308</v>
      </c>
      <c r="C92" s="419">
        <f>2500-2500</f>
        <v>0</v>
      </c>
      <c r="D92" s="450"/>
      <c r="E92" s="459">
        <f>+'ต.ค.-ธ.ค.'!E93+'ม.ค.-มี.ค.'!E92+'เม.ย.-มิ.ย.'!E92</f>
        <v>0</v>
      </c>
      <c r="F92" s="459">
        <f>+'ต.ค.-ธ.ค.'!F93+'ม.ค.-มี.ค.'!F92+'เม.ย.-มิ.ย.'!F92</f>
        <v>0</v>
      </c>
      <c r="G92" s="459">
        <f>+'ต.ค.-ธ.ค.'!G93+'ม.ค.-มี.ค.'!G92+'เม.ย.-มิ.ย.'!G92</f>
        <v>0</v>
      </c>
      <c r="H92" s="459">
        <f>+'ต.ค.-ธ.ค.'!H93+'ม.ค.-มี.ค.'!H92+'เม.ย.-มิ.ย.'!H92</f>
        <v>0</v>
      </c>
      <c r="I92" s="459">
        <f>+'ต.ค.-ธ.ค.'!I93+'ม.ค.-มี.ค.'!I92+'เม.ย.-มิ.ย.'!I92</f>
        <v>0</v>
      </c>
      <c r="J92" s="459">
        <f>+'ต.ค.-ธ.ค.'!J93+'ม.ค.-มี.ค.'!J92+'เม.ย.-มิ.ย.'!J92</f>
        <v>0</v>
      </c>
      <c r="K92" s="459">
        <f>+'ต.ค.-ธ.ค.'!K93+'ม.ค.-มี.ค.'!K92+'เม.ย.-มิ.ย.'!K92</f>
        <v>0</v>
      </c>
      <c r="L92" s="459">
        <f>+'ต.ค.-ธ.ค.'!L93+'ม.ค.-มี.ค.'!L92+'เม.ย.-มิ.ย.'!L92</f>
        <v>0</v>
      </c>
      <c r="M92" s="459">
        <f>+'ต.ค.-ธ.ค.'!M93+'ม.ค.-มี.ค.'!M92+'เม.ย.-มิ.ย.'!M92</f>
        <v>0</v>
      </c>
      <c r="N92" s="459">
        <f>+'ต.ค.-ธ.ค.'!N93+'ม.ค.-มี.ค.'!N92+'เม.ย.-มิ.ย.'!N92</f>
        <v>0</v>
      </c>
      <c r="O92" s="459">
        <f>+'ต.ค.-ธ.ค.'!O93+'ม.ค.-มี.ค.'!O92+'เม.ย.-มิ.ย.'!O92</f>
        <v>0</v>
      </c>
      <c r="P92" s="459">
        <f>+'ต.ค.-ธ.ค.'!P93+'ม.ค.-มี.ค.'!P92+'เม.ย.-มิ.ย.'!P92</f>
        <v>0</v>
      </c>
      <c r="Q92" s="459">
        <f>+'ต.ค.-ธ.ค.'!Q93+'ม.ค.-มี.ค.'!Q92+'เม.ย.-มิ.ย.'!Q92</f>
        <v>0</v>
      </c>
      <c r="R92" s="459">
        <f>+'ต.ค.-ธ.ค.'!R93+'ม.ค.-มี.ค.'!R92+'เม.ย.-มิ.ย.'!R92</f>
        <v>0</v>
      </c>
      <c r="S92" s="459">
        <f>+'ต.ค.-ธ.ค.'!S93+'ม.ค.-มี.ค.'!S92+'เม.ย.-มิ.ย.'!S92</f>
        <v>0</v>
      </c>
      <c r="T92" s="459">
        <f>+'ต.ค.-ธ.ค.'!U93+'ม.ค.-มี.ค.'!U92+'เม.ย.-มิ.ย.'!U92</f>
        <v>0</v>
      </c>
      <c r="U92" s="459">
        <f>+'ต.ค.-ธ.ค.'!V93+'ม.ค.-มี.ค.'!V92+'เม.ย.-มิ.ย.'!V92</f>
        <v>0</v>
      </c>
      <c r="W92"/>
    </row>
    <row r="93" spans="1:23" s="310" customFormat="1" ht="29.25" customHeight="1">
      <c r="A93" s="61"/>
      <c r="B93" s="388" t="s">
        <v>309</v>
      </c>
      <c r="C93" s="419">
        <f>2500-2500</f>
        <v>0</v>
      </c>
      <c r="D93" s="450"/>
      <c r="E93" s="459">
        <f>+'ต.ค.-ธ.ค.'!E94+'ม.ค.-มี.ค.'!E93+'เม.ย.-มิ.ย.'!E93</f>
        <v>0</v>
      </c>
      <c r="F93" s="459">
        <f>+'ต.ค.-ธ.ค.'!F94+'ม.ค.-มี.ค.'!F93+'เม.ย.-มิ.ย.'!F93</f>
        <v>0</v>
      </c>
      <c r="G93" s="459">
        <f>+'ต.ค.-ธ.ค.'!G94+'ม.ค.-มี.ค.'!G93+'เม.ย.-มิ.ย.'!G93</f>
        <v>0</v>
      </c>
      <c r="H93" s="459">
        <f>+'ต.ค.-ธ.ค.'!H94+'ม.ค.-มี.ค.'!H93+'เม.ย.-มิ.ย.'!H93</f>
        <v>0</v>
      </c>
      <c r="I93" s="459">
        <f>+'ต.ค.-ธ.ค.'!I94+'ม.ค.-มี.ค.'!I93+'เม.ย.-มิ.ย.'!I93</f>
        <v>0</v>
      </c>
      <c r="J93" s="459">
        <f>+'ต.ค.-ธ.ค.'!J94+'ม.ค.-มี.ค.'!J93+'เม.ย.-มิ.ย.'!J93</f>
        <v>0</v>
      </c>
      <c r="K93" s="459">
        <f>+'ต.ค.-ธ.ค.'!K94+'ม.ค.-มี.ค.'!K93+'เม.ย.-มิ.ย.'!K93</f>
        <v>0</v>
      </c>
      <c r="L93" s="459">
        <f>+'ต.ค.-ธ.ค.'!L94+'ม.ค.-มี.ค.'!L93+'เม.ย.-มิ.ย.'!L93</f>
        <v>0</v>
      </c>
      <c r="M93" s="459">
        <f>+'ต.ค.-ธ.ค.'!M94+'ม.ค.-มี.ค.'!M93+'เม.ย.-มิ.ย.'!M93</f>
        <v>0</v>
      </c>
      <c r="N93" s="459">
        <f>+'ต.ค.-ธ.ค.'!N94+'ม.ค.-มี.ค.'!N93+'เม.ย.-มิ.ย.'!N93</f>
        <v>0</v>
      </c>
      <c r="O93" s="459">
        <f>+'ต.ค.-ธ.ค.'!O94+'ม.ค.-มี.ค.'!O93+'เม.ย.-มิ.ย.'!O93</f>
        <v>0</v>
      </c>
      <c r="P93" s="459">
        <f>+'ต.ค.-ธ.ค.'!P94+'ม.ค.-มี.ค.'!P93+'เม.ย.-มิ.ย.'!P93</f>
        <v>0</v>
      </c>
      <c r="Q93" s="459">
        <f>+'ต.ค.-ธ.ค.'!Q94+'ม.ค.-มี.ค.'!Q93+'เม.ย.-มิ.ย.'!Q93</f>
        <v>0</v>
      </c>
      <c r="R93" s="459">
        <f>+'ต.ค.-ธ.ค.'!R94+'ม.ค.-มี.ค.'!R93+'เม.ย.-มิ.ย.'!R93</f>
        <v>0</v>
      </c>
      <c r="S93" s="459">
        <f>+'ต.ค.-ธ.ค.'!S94+'ม.ค.-มี.ค.'!S93+'เม.ย.-มิ.ย.'!S93</f>
        <v>0</v>
      </c>
      <c r="T93" s="459">
        <f>+'ต.ค.-ธ.ค.'!U94+'ม.ค.-มี.ค.'!U93+'เม.ย.-มิ.ย.'!U93</f>
        <v>0</v>
      </c>
      <c r="U93" s="459">
        <f>+'ต.ค.-ธ.ค.'!V94+'ม.ค.-มี.ค.'!V93+'เม.ย.-มิ.ย.'!V93</f>
        <v>0</v>
      </c>
      <c r="W93"/>
    </row>
    <row r="94" spans="1:23" s="310" customFormat="1" ht="29.25" customHeight="1">
      <c r="A94" s="61"/>
      <c r="B94" s="388" t="s">
        <v>310</v>
      </c>
      <c r="C94" s="419">
        <f>2500-2500</f>
        <v>0</v>
      </c>
      <c r="D94" s="450"/>
      <c r="E94" s="459">
        <f>+'ต.ค.-ธ.ค.'!E95+'ม.ค.-มี.ค.'!E94+'เม.ย.-มิ.ย.'!E94</f>
        <v>0</v>
      </c>
      <c r="F94" s="459">
        <f>+'ต.ค.-ธ.ค.'!F95+'ม.ค.-มี.ค.'!F94+'เม.ย.-มิ.ย.'!F94</f>
        <v>0</v>
      </c>
      <c r="G94" s="459">
        <f>+'ต.ค.-ธ.ค.'!G95+'ม.ค.-มี.ค.'!G94+'เม.ย.-มิ.ย.'!G94</f>
        <v>0</v>
      </c>
      <c r="H94" s="459">
        <f>+'ต.ค.-ธ.ค.'!H95+'ม.ค.-มี.ค.'!H94+'เม.ย.-มิ.ย.'!H94</f>
        <v>0</v>
      </c>
      <c r="I94" s="459">
        <f>+'ต.ค.-ธ.ค.'!I95+'ม.ค.-มี.ค.'!I94+'เม.ย.-มิ.ย.'!I94</f>
        <v>0</v>
      </c>
      <c r="J94" s="459">
        <f>+'ต.ค.-ธ.ค.'!J95+'ม.ค.-มี.ค.'!J94+'เม.ย.-มิ.ย.'!J94</f>
        <v>0</v>
      </c>
      <c r="K94" s="459">
        <f>+'ต.ค.-ธ.ค.'!K95+'ม.ค.-มี.ค.'!K94+'เม.ย.-มิ.ย.'!K94</f>
        <v>0</v>
      </c>
      <c r="L94" s="459">
        <f>+'ต.ค.-ธ.ค.'!L95+'ม.ค.-มี.ค.'!L94+'เม.ย.-มิ.ย.'!L94</f>
        <v>0</v>
      </c>
      <c r="M94" s="459">
        <f>+'ต.ค.-ธ.ค.'!M95+'ม.ค.-มี.ค.'!M94+'เม.ย.-มิ.ย.'!M94</f>
        <v>0</v>
      </c>
      <c r="N94" s="459">
        <f>+'ต.ค.-ธ.ค.'!N95+'ม.ค.-มี.ค.'!N94+'เม.ย.-มิ.ย.'!N94</f>
        <v>0</v>
      </c>
      <c r="O94" s="459">
        <f>+'ต.ค.-ธ.ค.'!O95+'ม.ค.-มี.ค.'!O94+'เม.ย.-มิ.ย.'!O94</f>
        <v>0</v>
      </c>
      <c r="P94" s="459">
        <f>+'ต.ค.-ธ.ค.'!P95+'ม.ค.-มี.ค.'!P94+'เม.ย.-มิ.ย.'!P94</f>
        <v>0</v>
      </c>
      <c r="Q94" s="459">
        <f>+'ต.ค.-ธ.ค.'!Q95+'ม.ค.-มี.ค.'!Q94+'เม.ย.-มิ.ย.'!Q94</f>
        <v>0</v>
      </c>
      <c r="R94" s="459">
        <f>+'ต.ค.-ธ.ค.'!R95+'ม.ค.-มี.ค.'!R94+'เม.ย.-มิ.ย.'!R94</f>
        <v>0</v>
      </c>
      <c r="S94" s="459">
        <f>+'ต.ค.-ธ.ค.'!S95+'ม.ค.-มี.ค.'!S94+'เม.ย.-มิ.ย.'!S94</f>
        <v>0</v>
      </c>
      <c r="T94" s="459">
        <f>+'ต.ค.-ธ.ค.'!U95+'ม.ค.-มี.ค.'!U94+'เม.ย.-มิ.ย.'!U94</f>
        <v>0</v>
      </c>
      <c r="U94" s="459">
        <f>+'ต.ค.-ธ.ค.'!V95+'ม.ค.-มี.ค.'!V94+'เม.ย.-มิ.ย.'!V94</f>
        <v>0</v>
      </c>
      <c r="W94"/>
    </row>
    <row r="95" spans="1:23" s="310" customFormat="1" ht="29.25" customHeight="1">
      <c r="A95" s="61"/>
      <c r="B95" s="388" t="s">
        <v>311</v>
      </c>
      <c r="C95" s="419">
        <f>2500-2500</f>
        <v>0</v>
      </c>
      <c r="D95" s="450"/>
      <c r="E95" s="459">
        <f>+'ต.ค.-ธ.ค.'!E96+'ม.ค.-มี.ค.'!E95+'เม.ย.-มิ.ย.'!E95</f>
        <v>0</v>
      </c>
      <c r="F95" s="459">
        <f>+'ต.ค.-ธ.ค.'!F96+'ม.ค.-มี.ค.'!F95+'เม.ย.-มิ.ย.'!F95</f>
        <v>0</v>
      </c>
      <c r="G95" s="459">
        <f>+'ต.ค.-ธ.ค.'!G96+'ม.ค.-มี.ค.'!G95+'เม.ย.-มิ.ย.'!G95</f>
        <v>0</v>
      </c>
      <c r="H95" s="459">
        <f>+'ต.ค.-ธ.ค.'!H96+'ม.ค.-มี.ค.'!H95+'เม.ย.-มิ.ย.'!H95</f>
        <v>0</v>
      </c>
      <c r="I95" s="459">
        <f>+'ต.ค.-ธ.ค.'!I96+'ม.ค.-มี.ค.'!I95+'เม.ย.-มิ.ย.'!I95</f>
        <v>0</v>
      </c>
      <c r="J95" s="459">
        <f>+'ต.ค.-ธ.ค.'!J96+'ม.ค.-มี.ค.'!J95+'เม.ย.-มิ.ย.'!J95</f>
        <v>0</v>
      </c>
      <c r="K95" s="459">
        <f>+'ต.ค.-ธ.ค.'!K96+'ม.ค.-มี.ค.'!K95+'เม.ย.-มิ.ย.'!K95</f>
        <v>0</v>
      </c>
      <c r="L95" s="459">
        <f>+'ต.ค.-ธ.ค.'!L96+'ม.ค.-มี.ค.'!L95+'เม.ย.-มิ.ย.'!L95</f>
        <v>0</v>
      </c>
      <c r="M95" s="459">
        <f>+'ต.ค.-ธ.ค.'!M96+'ม.ค.-มี.ค.'!M95+'เม.ย.-มิ.ย.'!M95</f>
        <v>0</v>
      </c>
      <c r="N95" s="459">
        <f>+'ต.ค.-ธ.ค.'!N96+'ม.ค.-มี.ค.'!N95+'เม.ย.-มิ.ย.'!N95</f>
        <v>0</v>
      </c>
      <c r="O95" s="459">
        <f>+'ต.ค.-ธ.ค.'!O96+'ม.ค.-มี.ค.'!O95+'เม.ย.-มิ.ย.'!O95</f>
        <v>0</v>
      </c>
      <c r="P95" s="459">
        <f>+'ต.ค.-ธ.ค.'!P96+'ม.ค.-มี.ค.'!P95+'เม.ย.-มิ.ย.'!P95</f>
        <v>0</v>
      </c>
      <c r="Q95" s="459">
        <f>+'ต.ค.-ธ.ค.'!Q96+'ม.ค.-มี.ค.'!Q95+'เม.ย.-มิ.ย.'!Q95</f>
        <v>0</v>
      </c>
      <c r="R95" s="459">
        <f>+'ต.ค.-ธ.ค.'!R96+'ม.ค.-มี.ค.'!R95+'เม.ย.-มิ.ย.'!R95</f>
        <v>0</v>
      </c>
      <c r="S95" s="459">
        <f>+'ต.ค.-ธ.ค.'!S96+'ม.ค.-มี.ค.'!S95+'เม.ย.-มิ.ย.'!S95</f>
        <v>0</v>
      </c>
      <c r="T95" s="459">
        <f>+'ต.ค.-ธ.ค.'!U96+'ม.ค.-มี.ค.'!U95+'เม.ย.-มิ.ย.'!U95</f>
        <v>0</v>
      </c>
      <c r="U95" s="459">
        <f>+'ต.ค.-ธ.ค.'!V96+'ม.ค.-มี.ค.'!V95+'เม.ย.-มิ.ย.'!V95</f>
        <v>0</v>
      </c>
      <c r="W95"/>
    </row>
    <row r="96" spans="1:23" s="310" customFormat="1" ht="29.25" customHeight="1">
      <c r="A96" s="61"/>
      <c r="B96" s="388" t="s">
        <v>243</v>
      </c>
      <c r="C96" s="419">
        <v>2000</v>
      </c>
      <c r="D96" s="450"/>
      <c r="E96" s="459">
        <f>+'ต.ค.-ธ.ค.'!E97+'ม.ค.-มี.ค.'!E96+'เม.ย.-มิ.ย.'!E96</f>
        <v>0</v>
      </c>
      <c r="F96" s="459">
        <f>+'ต.ค.-ธ.ค.'!F97+'ม.ค.-มี.ค.'!F96+'เม.ย.-มิ.ย.'!F96</f>
        <v>0</v>
      </c>
      <c r="G96" s="459">
        <f>+'ต.ค.-ธ.ค.'!G97+'ม.ค.-มี.ค.'!G96+'เม.ย.-มิ.ย.'!G96</f>
        <v>0</v>
      </c>
      <c r="H96" s="459">
        <f>+'ต.ค.-ธ.ค.'!H97+'ม.ค.-มี.ค.'!H96+'เม.ย.-มิ.ย.'!H96</f>
        <v>0</v>
      </c>
      <c r="I96" s="459">
        <f>+'ต.ค.-ธ.ค.'!I97+'ม.ค.-มี.ค.'!I96+'เม.ย.-มิ.ย.'!I96</f>
        <v>2000</v>
      </c>
      <c r="J96" s="459">
        <f>+'ต.ค.-ธ.ค.'!J97+'ม.ค.-มี.ค.'!J96+'เม.ย.-มิ.ย.'!J96</f>
        <v>0</v>
      </c>
      <c r="K96" s="459">
        <f>+'ต.ค.-ธ.ค.'!K97+'ม.ค.-มี.ค.'!K96+'เม.ย.-มิ.ย.'!K96</f>
        <v>0</v>
      </c>
      <c r="L96" s="459">
        <f>+'ต.ค.-ธ.ค.'!L97+'ม.ค.-มี.ค.'!L96+'เม.ย.-มิ.ย.'!L96</f>
        <v>0</v>
      </c>
      <c r="M96" s="459">
        <f>+'ต.ค.-ธ.ค.'!M97+'ม.ค.-มี.ค.'!M96+'เม.ย.-มิ.ย.'!M96</f>
        <v>0</v>
      </c>
      <c r="N96" s="459">
        <f>+'ต.ค.-ธ.ค.'!N97+'ม.ค.-มี.ค.'!N96+'เม.ย.-มิ.ย.'!N96</f>
        <v>0</v>
      </c>
      <c r="O96" s="459">
        <f>+'ต.ค.-ธ.ค.'!O97+'ม.ค.-มี.ค.'!O96+'เม.ย.-มิ.ย.'!O96</f>
        <v>0</v>
      </c>
      <c r="P96" s="459">
        <f>+'ต.ค.-ธ.ค.'!P97+'ม.ค.-มี.ค.'!P96+'เม.ย.-มิ.ย.'!P96</f>
        <v>0</v>
      </c>
      <c r="Q96" s="459">
        <f>+'ต.ค.-ธ.ค.'!Q97+'ม.ค.-มี.ค.'!Q96+'เม.ย.-มิ.ย.'!Q96</f>
        <v>0</v>
      </c>
      <c r="R96" s="459">
        <f>+'ต.ค.-ธ.ค.'!R97+'ม.ค.-มี.ค.'!R96+'เม.ย.-มิ.ย.'!R96</f>
        <v>0</v>
      </c>
      <c r="S96" s="459">
        <f>+'ต.ค.-ธ.ค.'!S97+'ม.ค.-มี.ค.'!S96+'เม.ย.-มิ.ย.'!S96</f>
        <v>0</v>
      </c>
      <c r="T96" s="459">
        <f>+'ต.ค.-ธ.ค.'!U97+'ม.ค.-มี.ค.'!U96+'เม.ย.-มิ.ย.'!U96</f>
        <v>0</v>
      </c>
      <c r="U96" s="459">
        <f>+'ต.ค.-ธ.ค.'!V97+'ม.ค.-มี.ค.'!V96+'เม.ย.-มิ.ย.'!V96</f>
        <v>0</v>
      </c>
      <c r="W96"/>
    </row>
    <row r="97" spans="1:23" s="310" customFormat="1" ht="29.25" customHeight="1">
      <c r="A97" s="61"/>
      <c r="B97" s="388" t="s">
        <v>248</v>
      </c>
      <c r="C97" s="419">
        <v>2000</v>
      </c>
      <c r="D97" s="450"/>
      <c r="E97" s="459">
        <f>+'ต.ค.-ธ.ค.'!E98+'ม.ค.-มี.ค.'!E97+'เม.ย.-มิ.ย.'!E97</f>
        <v>0</v>
      </c>
      <c r="F97" s="459">
        <f>+'ต.ค.-ธ.ค.'!F98+'ม.ค.-มี.ค.'!F97+'เม.ย.-มิ.ย.'!F97</f>
        <v>0</v>
      </c>
      <c r="G97" s="459">
        <f>+'ต.ค.-ธ.ค.'!G98+'ม.ค.-มี.ค.'!G97+'เม.ย.-มิ.ย.'!G97</f>
        <v>0</v>
      </c>
      <c r="H97" s="459">
        <f>+'ต.ค.-ธ.ค.'!H98+'ม.ค.-มี.ค.'!H97+'เม.ย.-มิ.ย.'!H97</f>
        <v>0</v>
      </c>
      <c r="I97" s="459">
        <f>+'ต.ค.-ธ.ค.'!I98+'ม.ค.-มี.ค.'!I97+'เม.ย.-มิ.ย.'!I97</f>
        <v>2000</v>
      </c>
      <c r="J97" s="459">
        <f>+'ต.ค.-ธ.ค.'!J98+'ม.ค.-มี.ค.'!J97+'เม.ย.-มิ.ย.'!J97</f>
        <v>0</v>
      </c>
      <c r="K97" s="459">
        <f>+'ต.ค.-ธ.ค.'!K98+'ม.ค.-มี.ค.'!K97+'เม.ย.-มิ.ย.'!K97</f>
        <v>0</v>
      </c>
      <c r="L97" s="459">
        <f>+'ต.ค.-ธ.ค.'!L98+'ม.ค.-มี.ค.'!L97+'เม.ย.-มิ.ย.'!L97</f>
        <v>0</v>
      </c>
      <c r="M97" s="459">
        <f>+'ต.ค.-ธ.ค.'!M98+'ม.ค.-มี.ค.'!M97+'เม.ย.-มิ.ย.'!M97</f>
        <v>0</v>
      </c>
      <c r="N97" s="459">
        <f>+'ต.ค.-ธ.ค.'!N98+'ม.ค.-มี.ค.'!N97+'เม.ย.-มิ.ย.'!N97</f>
        <v>0</v>
      </c>
      <c r="O97" s="459">
        <f>+'ต.ค.-ธ.ค.'!O98+'ม.ค.-มี.ค.'!O97+'เม.ย.-มิ.ย.'!O97</f>
        <v>0</v>
      </c>
      <c r="P97" s="459">
        <f>+'ต.ค.-ธ.ค.'!P98+'ม.ค.-มี.ค.'!P97+'เม.ย.-มิ.ย.'!P97</f>
        <v>0</v>
      </c>
      <c r="Q97" s="459">
        <f>+'ต.ค.-ธ.ค.'!Q98+'ม.ค.-มี.ค.'!Q97+'เม.ย.-มิ.ย.'!Q97</f>
        <v>0</v>
      </c>
      <c r="R97" s="459">
        <f>+'ต.ค.-ธ.ค.'!R98+'ม.ค.-มี.ค.'!R97+'เม.ย.-มิ.ย.'!R97</f>
        <v>0</v>
      </c>
      <c r="S97" s="459">
        <f>+'ต.ค.-ธ.ค.'!S98+'ม.ค.-มี.ค.'!S97+'เม.ย.-มิ.ย.'!S97</f>
        <v>0</v>
      </c>
      <c r="T97" s="459">
        <f>+'ต.ค.-ธ.ค.'!U98+'ม.ค.-มี.ค.'!U97+'เม.ย.-มิ.ย.'!U97</f>
        <v>0</v>
      </c>
      <c r="U97" s="459">
        <f>+'ต.ค.-ธ.ค.'!V98+'ม.ค.-มี.ค.'!V97+'เม.ย.-มิ.ย.'!V97</f>
        <v>0</v>
      </c>
      <c r="W97"/>
    </row>
    <row r="98" spans="1:23" s="310" customFormat="1" ht="29.25" customHeight="1">
      <c r="A98" s="61"/>
      <c r="B98" s="388" t="s">
        <v>244</v>
      </c>
      <c r="C98" s="419">
        <v>2000</v>
      </c>
      <c r="D98" s="450"/>
      <c r="E98" s="459">
        <f>+'ต.ค.-ธ.ค.'!E99+'ม.ค.-มี.ค.'!E98+'เม.ย.-มิ.ย.'!E98</f>
        <v>0</v>
      </c>
      <c r="F98" s="459">
        <f>+'ต.ค.-ธ.ค.'!F99+'ม.ค.-มี.ค.'!F98+'เม.ย.-มิ.ย.'!F98</f>
        <v>0</v>
      </c>
      <c r="G98" s="459">
        <f>+'ต.ค.-ธ.ค.'!G99+'ม.ค.-มี.ค.'!G98+'เม.ย.-มิ.ย.'!G98</f>
        <v>0</v>
      </c>
      <c r="H98" s="459">
        <f>+'ต.ค.-ธ.ค.'!H99+'ม.ค.-มี.ค.'!H98+'เม.ย.-มิ.ย.'!H98</f>
        <v>0</v>
      </c>
      <c r="I98" s="459">
        <f>+'ต.ค.-ธ.ค.'!I99+'ม.ค.-มี.ค.'!I98+'เม.ย.-มิ.ย.'!I98</f>
        <v>1995</v>
      </c>
      <c r="J98" s="459">
        <f>+'ต.ค.-ธ.ค.'!J99+'ม.ค.-มี.ค.'!J98+'เม.ย.-มิ.ย.'!J98</f>
        <v>0</v>
      </c>
      <c r="K98" s="459">
        <f>+'ต.ค.-ธ.ค.'!K99+'ม.ค.-มี.ค.'!K98+'เม.ย.-มิ.ย.'!K98</f>
        <v>0</v>
      </c>
      <c r="L98" s="459">
        <f>+'ต.ค.-ธ.ค.'!L99+'ม.ค.-มี.ค.'!L98+'เม.ย.-มิ.ย.'!L98</f>
        <v>0</v>
      </c>
      <c r="M98" s="459">
        <f>+'ต.ค.-ธ.ค.'!M99+'ม.ค.-มี.ค.'!M98+'เม.ย.-มิ.ย.'!M98</f>
        <v>0</v>
      </c>
      <c r="N98" s="459">
        <f>+'ต.ค.-ธ.ค.'!N99+'ม.ค.-มี.ค.'!N98+'เม.ย.-มิ.ย.'!N98</f>
        <v>0</v>
      </c>
      <c r="O98" s="459">
        <f>+'ต.ค.-ธ.ค.'!O99+'ม.ค.-มี.ค.'!O98+'เม.ย.-มิ.ย.'!O98</f>
        <v>0</v>
      </c>
      <c r="P98" s="459">
        <f>+'ต.ค.-ธ.ค.'!P99+'ม.ค.-มี.ค.'!P98+'เม.ย.-มิ.ย.'!P98</f>
        <v>0</v>
      </c>
      <c r="Q98" s="459">
        <f>+'ต.ค.-ธ.ค.'!Q99+'ม.ค.-มี.ค.'!Q98+'เม.ย.-มิ.ย.'!Q98</f>
        <v>0</v>
      </c>
      <c r="R98" s="459">
        <f>+'ต.ค.-ธ.ค.'!R99+'ม.ค.-มี.ค.'!R98+'เม.ย.-มิ.ย.'!R98</f>
        <v>0</v>
      </c>
      <c r="S98" s="459">
        <f>+'ต.ค.-ธ.ค.'!S99+'ม.ค.-มี.ค.'!S98+'เม.ย.-มิ.ย.'!S98</f>
        <v>0</v>
      </c>
      <c r="T98" s="459">
        <f>+'ต.ค.-ธ.ค.'!U99+'ม.ค.-มี.ค.'!U98+'เม.ย.-มิ.ย.'!U98</f>
        <v>0</v>
      </c>
      <c r="U98" s="459">
        <f>+'ต.ค.-ธ.ค.'!V99+'ม.ค.-มี.ค.'!V98+'เม.ย.-มิ.ย.'!V98</f>
        <v>0</v>
      </c>
      <c r="W98"/>
    </row>
    <row r="99" spans="1:23" s="310" customFormat="1" ht="29.25" customHeight="1">
      <c r="A99" s="61"/>
      <c r="B99" s="388" t="s">
        <v>245</v>
      </c>
      <c r="C99" s="419">
        <v>2000</v>
      </c>
      <c r="D99" s="450"/>
      <c r="E99" s="459">
        <f>+'ต.ค.-ธ.ค.'!E100+'ม.ค.-มี.ค.'!E99+'เม.ย.-มิ.ย.'!E99</f>
        <v>0</v>
      </c>
      <c r="F99" s="459">
        <f>+'ต.ค.-ธ.ค.'!F100+'ม.ค.-มี.ค.'!F99+'เม.ย.-มิ.ย.'!F99</f>
        <v>0</v>
      </c>
      <c r="G99" s="459">
        <f>+'ต.ค.-ธ.ค.'!G100+'ม.ค.-มี.ค.'!G99+'เม.ย.-มิ.ย.'!G99</f>
        <v>0</v>
      </c>
      <c r="H99" s="459">
        <f>+'ต.ค.-ธ.ค.'!H100+'ม.ค.-มี.ค.'!H99+'เม.ย.-มิ.ย.'!H99</f>
        <v>0</v>
      </c>
      <c r="I99" s="459">
        <f>+'ต.ค.-ธ.ค.'!I100+'ม.ค.-มี.ค.'!I99+'เม.ย.-มิ.ย.'!I99</f>
        <v>2000</v>
      </c>
      <c r="J99" s="459">
        <f>+'ต.ค.-ธ.ค.'!J100+'ม.ค.-มี.ค.'!J99+'เม.ย.-มิ.ย.'!J99</f>
        <v>0</v>
      </c>
      <c r="K99" s="459">
        <f>+'ต.ค.-ธ.ค.'!K100+'ม.ค.-มี.ค.'!K99+'เม.ย.-มิ.ย.'!K99</f>
        <v>0</v>
      </c>
      <c r="L99" s="459">
        <f>+'ต.ค.-ธ.ค.'!L100+'ม.ค.-มี.ค.'!L99+'เม.ย.-มิ.ย.'!L99</f>
        <v>0</v>
      </c>
      <c r="M99" s="459">
        <f>+'ต.ค.-ธ.ค.'!M100+'ม.ค.-มี.ค.'!M99+'เม.ย.-มิ.ย.'!M99</f>
        <v>0</v>
      </c>
      <c r="N99" s="459">
        <f>+'ต.ค.-ธ.ค.'!N100+'ม.ค.-มี.ค.'!N99+'เม.ย.-มิ.ย.'!N99</f>
        <v>0</v>
      </c>
      <c r="O99" s="459">
        <f>+'ต.ค.-ธ.ค.'!O100+'ม.ค.-มี.ค.'!O99+'เม.ย.-มิ.ย.'!O99</f>
        <v>0</v>
      </c>
      <c r="P99" s="459">
        <f>+'ต.ค.-ธ.ค.'!P100+'ม.ค.-มี.ค.'!P99+'เม.ย.-มิ.ย.'!P99</f>
        <v>0</v>
      </c>
      <c r="Q99" s="459">
        <f>+'ต.ค.-ธ.ค.'!Q100+'ม.ค.-มี.ค.'!Q99+'เม.ย.-มิ.ย.'!Q99</f>
        <v>0</v>
      </c>
      <c r="R99" s="459">
        <f>+'ต.ค.-ธ.ค.'!R100+'ม.ค.-มี.ค.'!R99+'เม.ย.-มิ.ย.'!R99</f>
        <v>0</v>
      </c>
      <c r="S99" s="459">
        <f>+'ต.ค.-ธ.ค.'!S100+'ม.ค.-มี.ค.'!S99+'เม.ย.-มิ.ย.'!S99</f>
        <v>0</v>
      </c>
      <c r="T99" s="459">
        <f>+'ต.ค.-ธ.ค.'!U100+'ม.ค.-มี.ค.'!U99+'เม.ย.-มิ.ย.'!U99</f>
        <v>0</v>
      </c>
      <c r="U99" s="459">
        <f>+'ต.ค.-ธ.ค.'!V100+'ม.ค.-มี.ค.'!V99+'เม.ย.-มิ.ย.'!V99</f>
        <v>0</v>
      </c>
      <c r="W99"/>
    </row>
    <row r="100" spans="1:23" s="310" customFormat="1" ht="29.25" customHeight="1">
      <c r="A100" s="61"/>
      <c r="B100" s="388" t="s">
        <v>246</v>
      </c>
      <c r="C100" s="419">
        <v>2000</v>
      </c>
      <c r="D100" s="450"/>
      <c r="E100" s="459">
        <f>+'ต.ค.-ธ.ค.'!E101+'ม.ค.-มี.ค.'!E100+'เม.ย.-มิ.ย.'!E100</f>
        <v>0</v>
      </c>
      <c r="F100" s="459">
        <f>+'ต.ค.-ธ.ค.'!F101+'ม.ค.-มี.ค.'!F100+'เม.ย.-มิ.ย.'!F100</f>
        <v>0</v>
      </c>
      <c r="G100" s="459">
        <f>+'ต.ค.-ธ.ค.'!G101+'ม.ค.-มี.ค.'!G100+'เม.ย.-มิ.ย.'!G100</f>
        <v>0</v>
      </c>
      <c r="H100" s="459">
        <f>+'ต.ค.-ธ.ค.'!H101+'ม.ค.-มี.ค.'!H100+'เม.ย.-มิ.ย.'!H100</f>
        <v>0</v>
      </c>
      <c r="I100" s="459">
        <f>+'ต.ค.-ธ.ค.'!I101+'ม.ค.-มี.ค.'!I100+'เม.ย.-มิ.ย.'!I100</f>
        <v>1000</v>
      </c>
      <c r="J100" s="459">
        <f>+'ต.ค.-ธ.ค.'!J101+'ม.ค.-มี.ค.'!J100+'เม.ย.-มิ.ย.'!J100</f>
        <v>0</v>
      </c>
      <c r="K100" s="459">
        <f>+'ต.ค.-ธ.ค.'!K101+'ม.ค.-มี.ค.'!K100+'เม.ย.-มิ.ย.'!K100</f>
        <v>0</v>
      </c>
      <c r="L100" s="459">
        <f>+'ต.ค.-ธ.ค.'!L101+'ม.ค.-มี.ค.'!L100+'เม.ย.-มิ.ย.'!L100</f>
        <v>0</v>
      </c>
      <c r="M100" s="459">
        <f>+'ต.ค.-ธ.ค.'!M101+'ม.ค.-มี.ค.'!M100+'เม.ย.-มิ.ย.'!M100</f>
        <v>0</v>
      </c>
      <c r="N100" s="459">
        <f>+'ต.ค.-ธ.ค.'!N101+'ม.ค.-มี.ค.'!N100+'เม.ย.-มิ.ย.'!N100</f>
        <v>0</v>
      </c>
      <c r="O100" s="459">
        <f>+'ต.ค.-ธ.ค.'!O101+'ม.ค.-มี.ค.'!O100+'เม.ย.-มิ.ย.'!O100</f>
        <v>0</v>
      </c>
      <c r="P100" s="459">
        <f>+'ต.ค.-ธ.ค.'!P101+'ม.ค.-มี.ค.'!P100+'เม.ย.-มิ.ย.'!P100</f>
        <v>0</v>
      </c>
      <c r="Q100" s="459">
        <f>+'ต.ค.-ธ.ค.'!Q101+'ม.ค.-มี.ค.'!Q100+'เม.ย.-มิ.ย.'!Q100</f>
        <v>0</v>
      </c>
      <c r="R100" s="459">
        <f>+'ต.ค.-ธ.ค.'!R101+'ม.ค.-มี.ค.'!R100+'เม.ย.-มิ.ย.'!R100</f>
        <v>0</v>
      </c>
      <c r="S100" s="459">
        <f>+'ต.ค.-ธ.ค.'!S101+'ม.ค.-มี.ค.'!S100+'เม.ย.-มิ.ย.'!S100</f>
        <v>0</v>
      </c>
      <c r="T100" s="459">
        <f>+'ต.ค.-ธ.ค.'!U101+'ม.ค.-มี.ค.'!U100+'เม.ย.-มิ.ย.'!U100</f>
        <v>0</v>
      </c>
      <c r="U100" s="459">
        <f>+'ต.ค.-ธ.ค.'!V101+'ม.ค.-มี.ค.'!V100+'เม.ย.-มิ.ย.'!V100</f>
        <v>0</v>
      </c>
      <c r="W100"/>
    </row>
    <row r="101" spans="1:23" s="310" customFormat="1" ht="29.25" customHeight="1">
      <c r="A101" s="61"/>
      <c r="B101" s="388" t="s">
        <v>247</v>
      </c>
      <c r="C101" s="419">
        <v>2000</v>
      </c>
      <c r="D101" s="450"/>
      <c r="E101" s="459">
        <f>+'ต.ค.-ธ.ค.'!E102+'ม.ค.-มี.ค.'!E101+'เม.ย.-มิ.ย.'!E101</f>
        <v>0</v>
      </c>
      <c r="F101" s="459">
        <f>+'ต.ค.-ธ.ค.'!F102+'ม.ค.-มี.ค.'!F101+'เม.ย.-มิ.ย.'!F101</f>
        <v>0</v>
      </c>
      <c r="G101" s="459">
        <f>+'ต.ค.-ธ.ค.'!G102+'ม.ค.-มี.ค.'!G101+'เม.ย.-มิ.ย.'!G101</f>
        <v>0</v>
      </c>
      <c r="H101" s="459">
        <f>+'ต.ค.-ธ.ค.'!H102+'ม.ค.-มี.ค.'!H101+'เม.ย.-มิ.ย.'!H101</f>
        <v>0</v>
      </c>
      <c r="I101" s="459">
        <f>+'ต.ค.-ธ.ค.'!I102+'ม.ค.-มี.ค.'!I101+'เม.ย.-มิ.ย.'!I101</f>
        <v>1000</v>
      </c>
      <c r="J101" s="459">
        <f>+'ต.ค.-ธ.ค.'!J102+'ม.ค.-มี.ค.'!J101+'เม.ย.-มิ.ย.'!J101</f>
        <v>0</v>
      </c>
      <c r="K101" s="459">
        <f>+'ต.ค.-ธ.ค.'!K102+'ม.ค.-มี.ค.'!K101+'เม.ย.-มิ.ย.'!K101</f>
        <v>0</v>
      </c>
      <c r="L101" s="459">
        <f>+'ต.ค.-ธ.ค.'!L102+'ม.ค.-มี.ค.'!L101+'เม.ย.-มิ.ย.'!L101</f>
        <v>0</v>
      </c>
      <c r="M101" s="459">
        <f>+'ต.ค.-ธ.ค.'!M102+'ม.ค.-มี.ค.'!M101+'เม.ย.-มิ.ย.'!M101</f>
        <v>0</v>
      </c>
      <c r="N101" s="459">
        <f>+'ต.ค.-ธ.ค.'!N102+'ม.ค.-มี.ค.'!N101+'เม.ย.-มิ.ย.'!N101</f>
        <v>0</v>
      </c>
      <c r="O101" s="459">
        <f>+'ต.ค.-ธ.ค.'!O102+'ม.ค.-มี.ค.'!O101+'เม.ย.-มิ.ย.'!O101</f>
        <v>0</v>
      </c>
      <c r="P101" s="459">
        <f>+'ต.ค.-ธ.ค.'!P102+'ม.ค.-มี.ค.'!P101+'เม.ย.-มิ.ย.'!P101</f>
        <v>0</v>
      </c>
      <c r="Q101" s="459">
        <f>+'ต.ค.-ธ.ค.'!Q102+'ม.ค.-มี.ค.'!Q101+'เม.ย.-มิ.ย.'!Q101</f>
        <v>0</v>
      </c>
      <c r="R101" s="459">
        <f>+'ต.ค.-ธ.ค.'!R102+'ม.ค.-มี.ค.'!R101+'เม.ย.-มิ.ย.'!R101</f>
        <v>0</v>
      </c>
      <c r="S101" s="459">
        <f>+'ต.ค.-ธ.ค.'!S102+'ม.ค.-มี.ค.'!S101+'เม.ย.-มิ.ย.'!S101</f>
        <v>0</v>
      </c>
      <c r="T101" s="459">
        <f>+'ต.ค.-ธ.ค.'!U102+'ม.ค.-มี.ค.'!U101+'เม.ย.-มิ.ย.'!U101</f>
        <v>0</v>
      </c>
      <c r="U101" s="459">
        <f>+'ต.ค.-ธ.ค.'!V102+'ม.ค.-มี.ค.'!V101+'เม.ย.-มิ.ย.'!V101</f>
        <v>0</v>
      </c>
      <c r="W101"/>
    </row>
    <row r="102" spans="1:23" s="310" customFormat="1" ht="29.25" customHeight="1">
      <c r="A102" s="61"/>
      <c r="B102" s="388" t="s">
        <v>249</v>
      </c>
      <c r="C102" s="419">
        <v>2000</v>
      </c>
      <c r="D102" s="450"/>
      <c r="E102" s="459">
        <f>+'ต.ค.-ธ.ค.'!E103+'ม.ค.-มี.ค.'!E102+'เม.ย.-มิ.ย.'!E102</f>
        <v>0</v>
      </c>
      <c r="F102" s="459">
        <f>+'ต.ค.-ธ.ค.'!F103+'ม.ค.-มี.ค.'!F102+'เม.ย.-มิ.ย.'!F102</f>
        <v>0</v>
      </c>
      <c r="G102" s="459">
        <f>+'ต.ค.-ธ.ค.'!G103+'ม.ค.-มี.ค.'!G102+'เม.ย.-มิ.ย.'!G102</f>
        <v>0</v>
      </c>
      <c r="H102" s="459">
        <f>+'ต.ค.-ธ.ค.'!H103+'ม.ค.-มี.ค.'!H102+'เม.ย.-มิ.ย.'!H102</f>
        <v>0</v>
      </c>
      <c r="I102" s="459">
        <f>+'ต.ค.-ธ.ค.'!I103+'ม.ค.-มี.ค.'!I102+'เม.ย.-มิ.ย.'!I102</f>
        <v>1000</v>
      </c>
      <c r="J102" s="459">
        <f>+'ต.ค.-ธ.ค.'!J103+'ม.ค.-มี.ค.'!J102+'เม.ย.-มิ.ย.'!J102</f>
        <v>0</v>
      </c>
      <c r="K102" s="459">
        <f>+'ต.ค.-ธ.ค.'!K103+'ม.ค.-มี.ค.'!K102+'เม.ย.-มิ.ย.'!K102</f>
        <v>0</v>
      </c>
      <c r="L102" s="459">
        <f>+'ต.ค.-ธ.ค.'!L103+'ม.ค.-มี.ค.'!L102+'เม.ย.-มิ.ย.'!L102</f>
        <v>0</v>
      </c>
      <c r="M102" s="459">
        <f>+'ต.ค.-ธ.ค.'!M103+'ม.ค.-มี.ค.'!M102+'เม.ย.-มิ.ย.'!M102</f>
        <v>0</v>
      </c>
      <c r="N102" s="459">
        <f>+'ต.ค.-ธ.ค.'!N103+'ม.ค.-มี.ค.'!N102+'เม.ย.-มิ.ย.'!N102</f>
        <v>0</v>
      </c>
      <c r="O102" s="459">
        <f>+'ต.ค.-ธ.ค.'!O103+'ม.ค.-มี.ค.'!O102+'เม.ย.-มิ.ย.'!O102</f>
        <v>0</v>
      </c>
      <c r="P102" s="459">
        <f>+'ต.ค.-ธ.ค.'!P103+'ม.ค.-มี.ค.'!P102+'เม.ย.-มิ.ย.'!P102</f>
        <v>0</v>
      </c>
      <c r="Q102" s="459">
        <f>+'ต.ค.-ธ.ค.'!Q103+'ม.ค.-มี.ค.'!Q102+'เม.ย.-มิ.ย.'!Q102</f>
        <v>0</v>
      </c>
      <c r="R102" s="459">
        <f>+'ต.ค.-ธ.ค.'!R103+'ม.ค.-มี.ค.'!R102+'เม.ย.-มิ.ย.'!R102</f>
        <v>0</v>
      </c>
      <c r="S102" s="459">
        <f>+'ต.ค.-ธ.ค.'!S103+'ม.ค.-มี.ค.'!S102+'เม.ย.-มิ.ย.'!S102</f>
        <v>0</v>
      </c>
      <c r="T102" s="459">
        <f>+'ต.ค.-ธ.ค.'!U103+'ม.ค.-มี.ค.'!U102+'เม.ย.-มิ.ย.'!U102</f>
        <v>0</v>
      </c>
      <c r="U102" s="459">
        <f>+'ต.ค.-ธ.ค.'!V103+'ม.ค.-มี.ค.'!V102+'เม.ย.-มิ.ย.'!V102</f>
        <v>0</v>
      </c>
      <c r="W102"/>
    </row>
    <row r="103" spans="1:23" s="310" customFormat="1" ht="29.25" customHeight="1">
      <c r="A103" s="61"/>
      <c r="B103" s="388" t="s">
        <v>250</v>
      </c>
      <c r="C103" s="419">
        <v>2000</v>
      </c>
      <c r="D103" s="450"/>
      <c r="E103" s="459">
        <f>+'ต.ค.-ธ.ค.'!E104+'ม.ค.-มี.ค.'!E103+'เม.ย.-มิ.ย.'!E103</f>
        <v>0</v>
      </c>
      <c r="F103" s="459">
        <f>+'ต.ค.-ธ.ค.'!F104+'ม.ค.-มี.ค.'!F103+'เม.ย.-มิ.ย.'!F103</f>
        <v>0</v>
      </c>
      <c r="G103" s="459">
        <f>+'ต.ค.-ธ.ค.'!G104+'ม.ค.-มี.ค.'!G103+'เม.ย.-มิ.ย.'!G103</f>
        <v>0</v>
      </c>
      <c r="H103" s="459">
        <f>+'ต.ค.-ธ.ค.'!H104+'ม.ค.-มี.ค.'!H103+'เม.ย.-มิ.ย.'!H103</f>
        <v>0</v>
      </c>
      <c r="I103" s="459">
        <f>+'ต.ค.-ธ.ค.'!I104+'ม.ค.-มี.ค.'!I103+'เม.ย.-มิ.ย.'!I103</f>
        <v>1000</v>
      </c>
      <c r="J103" s="459">
        <f>+'ต.ค.-ธ.ค.'!J104+'ม.ค.-มี.ค.'!J103+'เม.ย.-มิ.ย.'!J103</f>
        <v>0</v>
      </c>
      <c r="K103" s="459">
        <f>+'ต.ค.-ธ.ค.'!K104+'ม.ค.-มี.ค.'!K103+'เม.ย.-มิ.ย.'!K103</f>
        <v>0</v>
      </c>
      <c r="L103" s="459">
        <f>+'ต.ค.-ธ.ค.'!L104+'ม.ค.-มี.ค.'!L103+'เม.ย.-มิ.ย.'!L103</f>
        <v>0</v>
      </c>
      <c r="M103" s="459">
        <f>+'ต.ค.-ธ.ค.'!M104+'ม.ค.-มี.ค.'!M103+'เม.ย.-มิ.ย.'!M103</f>
        <v>0</v>
      </c>
      <c r="N103" s="459">
        <f>+'ต.ค.-ธ.ค.'!N104+'ม.ค.-มี.ค.'!N103+'เม.ย.-มิ.ย.'!N103</f>
        <v>0</v>
      </c>
      <c r="O103" s="459">
        <f>+'ต.ค.-ธ.ค.'!O104+'ม.ค.-มี.ค.'!O103+'เม.ย.-มิ.ย.'!O103</f>
        <v>0</v>
      </c>
      <c r="P103" s="459">
        <f>+'ต.ค.-ธ.ค.'!P104+'ม.ค.-มี.ค.'!P103+'เม.ย.-มิ.ย.'!P103</f>
        <v>0</v>
      </c>
      <c r="Q103" s="459">
        <f>+'ต.ค.-ธ.ค.'!Q104+'ม.ค.-มี.ค.'!Q103+'เม.ย.-มิ.ย.'!Q103</f>
        <v>0</v>
      </c>
      <c r="R103" s="459">
        <f>+'ต.ค.-ธ.ค.'!R104+'ม.ค.-มี.ค.'!R103+'เม.ย.-มิ.ย.'!R103</f>
        <v>0</v>
      </c>
      <c r="S103" s="459">
        <f>+'ต.ค.-ธ.ค.'!S104+'ม.ค.-มี.ค.'!S103+'เม.ย.-มิ.ย.'!S103</f>
        <v>0</v>
      </c>
      <c r="T103" s="459">
        <f>+'ต.ค.-ธ.ค.'!U104+'ม.ค.-มี.ค.'!U103+'เม.ย.-มิ.ย.'!U103</f>
        <v>0</v>
      </c>
      <c r="U103" s="459">
        <f>+'ต.ค.-ธ.ค.'!V104+'ม.ค.-มี.ค.'!V103+'เม.ย.-มิ.ย.'!V103</f>
        <v>0</v>
      </c>
      <c r="W103"/>
    </row>
    <row r="104" spans="1:23" s="310" customFormat="1" ht="29.25" customHeight="1">
      <c r="A104" s="61"/>
      <c r="B104" s="388" t="s">
        <v>251</v>
      </c>
      <c r="C104" s="419">
        <v>2000</v>
      </c>
      <c r="D104" s="450"/>
      <c r="E104" s="459">
        <f>+'ต.ค.-ธ.ค.'!E105+'ม.ค.-มี.ค.'!E104+'เม.ย.-มิ.ย.'!E104</f>
        <v>0</v>
      </c>
      <c r="F104" s="459">
        <f>+'ต.ค.-ธ.ค.'!F105+'ม.ค.-มี.ค.'!F104+'เม.ย.-มิ.ย.'!F104</f>
        <v>0</v>
      </c>
      <c r="G104" s="459">
        <f>+'ต.ค.-ธ.ค.'!G105+'ม.ค.-มี.ค.'!G104+'เม.ย.-มิ.ย.'!G104</f>
        <v>0</v>
      </c>
      <c r="H104" s="459">
        <f>+'ต.ค.-ธ.ค.'!H105+'ม.ค.-มี.ค.'!H104+'เม.ย.-มิ.ย.'!H104</f>
        <v>0</v>
      </c>
      <c r="I104" s="459">
        <f>+'ต.ค.-ธ.ค.'!I105+'ม.ค.-มี.ค.'!I104+'เม.ย.-มิ.ย.'!I104</f>
        <v>0</v>
      </c>
      <c r="J104" s="459">
        <f>+'ต.ค.-ธ.ค.'!J105+'ม.ค.-มี.ค.'!J104+'เม.ย.-มิ.ย.'!J104</f>
        <v>0</v>
      </c>
      <c r="K104" s="459">
        <f>+'ต.ค.-ธ.ค.'!K105+'ม.ค.-มี.ค.'!K104+'เม.ย.-มิ.ย.'!K104</f>
        <v>0</v>
      </c>
      <c r="L104" s="459">
        <f>+'ต.ค.-ธ.ค.'!L105+'ม.ค.-มี.ค.'!L104+'เม.ย.-มิ.ย.'!L104</f>
        <v>0</v>
      </c>
      <c r="M104" s="459">
        <f>+'ต.ค.-ธ.ค.'!M105+'ม.ค.-มี.ค.'!M104+'เม.ย.-มิ.ย.'!M104</f>
        <v>0</v>
      </c>
      <c r="N104" s="459">
        <f>+'ต.ค.-ธ.ค.'!N105+'ม.ค.-มี.ค.'!N104+'เม.ย.-มิ.ย.'!N104</f>
        <v>0</v>
      </c>
      <c r="O104" s="459">
        <f>+'ต.ค.-ธ.ค.'!O105+'ม.ค.-มี.ค.'!O104+'เม.ย.-มิ.ย.'!O104</f>
        <v>0</v>
      </c>
      <c r="P104" s="459">
        <f>+'ต.ค.-ธ.ค.'!P105+'ม.ค.-มี.ค.'!P104+'เม.ย.-มิ.ย.'!P104</f>
        <v>0</v>
      </c>
      <c r="Q104" s="459">
        <f>+'ต.ค.-ธ.ค.'!Q105+'ม.ค.-มี.ค.'!Q104+'เม.ย.-มิ.ย.'!Q104</f>
        <v>0</v>
      </c>
      <c r="R104" s="459">
        <f>+'ต.ค.-ธ.ค.'!R105+'ม.ค.-มี.ค.'!R104+'เม.ย.-มิ.ย.'!R104</f>
        <v>0</v>
      </c>
      <c r="S104" s="459">
        <f>+'ต.ค.-ธ.ค.'!S105+'ม.ค.-มี.ค.'!S104+'เม.ย.-มิ.ย.'!S104</f>
        <v>0</v>
      </c>
      <c r="T104" s="459">
        <f>+'ต.ค.-ธ.ค.'!U105+'ม.ค.-มี.ค.'!U104+'เม.ย.-มิ.ย.'!U104</f>
        <v>0</v>
      </c>
      <c r="U104" s="459">
        <f>+'ต.ค.-ธ.ค.'!V105+'ม.ค.-มี.ค.'!V104+'เม.ย.-มิ.ย.'!V104</f>
        <v>0</v>
      </c>
      <c r="W104"/>
    </row>
    <row r="105" spans="1:23" s="310" customFormat="1" ht="29.25" customHeight="1">
      <c r="A105" s="61"/>
      <c r="B105" s="388" t="s">
        <v>252</v>
      </c>
      <c r="C105" s="419">
        <v>2000</v>
      </c>
      <c r="D105" s="450"/>
      <c r="E105" s="459">
        <f>+'ต.ค.-ธ.ค.'!E106+'ม.ค.-มี.ค.'!E105+'เม.ย.-มิ.ย.'!E105</f>
        <v>0</v>
      </c>
      <c r="F105" s="459">
        <f>+'ต.ค.-ธ.ค.'!F106+'ม.ค.-มี.ค.'!F105+'เม.ย.-มิ.ย.'!F105</f>
        <v>0</v>
      </c>
      <c r="G105" s="459">
        <f>+'ต.ค.-ธ.ค.'!G106+'ม.ค.-มี.ค.'!G105+'เม.ย.-มิ.ย.'!G105</f>
        <v>0</v>
      </c>
      <c r="H105" s="459">
        <f>+'ต.ค.-ธ.ค.'!H106+'ม.ค.-มี.ค.'!H105+'เม.ย.-มิ.ย.'!H105</f>
        <v>0</v>
      </c>
      <c r="I105" s="459">
        <f>+'ต.ค.-ธ.ค.'!I106+'ม.ค.-มี.ค.'!I105+'เม.ย.-มิ.ย.'!I105</f>
        <v>0</v>
      </c>
      <c r="J105" s="459">
        <f>+'ต.ค.-ธ.ค.'!J106+'ม.ค.-มี.ค.'!J105+'เม.ย.-มิ.ย.'!J105</f>
        <v>0</v>
      </c>
      <c r="K105" s="459">
        <f>+'ต.ค.-ธ.ค.'!K106+'ม.ค.-มี.ค.'!K105+'เม.ย.-มิ.ย.'!K105</f>
        <v>0</v>
      </c>
      <c r="L105" s="459">
        <f>+'ต.ค.-ธ.ค.'!L106+'ม.ค.-มี.ค.'!L105+'เม.ย.-มิ.ย.'!L105</f>
        <v>0</v>
      </c>
      <c r="M105" s="459">
        <f>+'ต.ค.-ธ.ค.'!M106+'ม.ค.-มี.ค.'!M105+'เม.ย.-มิ.ย.'!M105</f>
        <v>0</v>
      </c>
      <c r="N105" s="459">
        <f>+'ต.ค.-ธ.ค.'!N106+'ม.ค.-มี.ค.'!N105+'เม.ย.-มิ.ย.'!N105</f>
        <v>0</v>
      </c>
      <c r="O105" s="459">
        <f>+'ต.ค.-ธ.ค.'!O106+'ม.ค.-มี.ค.'!O105+'เม.ย.-มิ.ย.'!O105</f>
        <v>0</v>
      </c>
      <c r="P105" s="459">
        <f>+'ต.ค.-ธ.ค.'!P106+'ม.ค.-มี.ค.'!P105+'เม.ย.-มิ.ย.'!P105</f>
        <v>0</v>
      </c>
      <c r="Q105" s="459">
        <f>+'ต.ค.-ธ.ค.'!Q106+'ม.ค.-มี.ค.'!Q105+'เม.ย.-มิ.ย.'!Q105</f>
        <v>0</v>
      </c>
      <c r="R105" s="459">
        <f>+'ต.ค.-ธ.ค.'!R106+'ม.ค.-มี.ค.'!R105+'เม.ย.-มิ.ย.'!R105</f>
        <v>0</v>
      </c>
      <c r="S105" s="459">
        <f>+'ต.ค.-ธ.ค.'!S106+'ม.ค.-มี.ค.'!S105+'เม.ย.-มิ.ย.'!S105</f>
        <v>0</v>
      </c>
      <c r="T105" s="459">
        <f>+'ต.ค.-ธ.ค.'!U106+'ม.ค.-มี.ค.'!U105+'เม.ย.-มิ.ย.'!U105</f>
        <v>0</v>
      </c>
      <c r="U105" s="459">
        <f>+'ต.ค.-ธ.ค.'!V106+'ม.ค.-มี.ค.'!V105+'เม.ย.-มิ.ย.'!V105</f>
        <v>0</v>
      </c>
      <c r="W105"/>
    </row>
    <row r="106" spans="1:23" s="310" customFormat="1" ht="29.25" customHeight="1">
      <c r="A106" s="61"/>
      <c r="B106" s="388" t="s">
        <v>253</v>
      </c>
      <c r="C106" s="419">
        <v>2000</v>
      </c>
      <c r="D106" s="450"/>
      <c r="E106" s="459">
        <f>+'ต.ค.-ธ.ค.'!E107+'ม.ค.-มี.ค.'!E106+'เม.ย.-มิ.ย.'!E106</f>
        <v>0</v>
      </c>
      <c r="F106" s="459">
        <f>+'ต.ค.-ธ.ค.'!F107+'ม.ค.-มี.ค.'!F106+'เม.ย.-มิ.ย.'!F106</f>
        <v>0</v>
      </c>
      <c r="G106" s="459">
        <f>+'ต.ค.-ธ.ค.'!G107+'ม.ค.-มี.ค.'!G106+'เม.ย.-มิ.ย.'!G106</f>
        <v>0</v>
      </c>
      <c r="H106" s="459">
        <f>+'ต.ค.-ธ.ค.'!H107+'ม.ค.-มี.ค.'!H106+'เม.ย.-มิ.ย.'!H106</f>
        <v>0</v>
      </c>
      <c r="I106" s="459">
        <f>+'ต.ค.-ธ.ค.'!I107+'ม.ค.-มี.ค.'!I106+'เม.ย.-มิ.ย.'!I106</f>
        <v>0</v>
      </c>
      <c r="J106" s="459">
        <f>+'ต.ค.-ธ.ค.'!J107+'ม.ค.-มี.ค.'!J106+'เม.ย.-มิ.ย.'!J106</f>
        <v>0</v>
      </c>
      <c r="K106" s="459">
        <f>+'ต.ค.-ธ.ค.'!K107+'ม.ค.-มี.ค.'!K106+'เม.ย.-มิ.ย.'!K106</f>
        <v>0</v>
      </c>
      <c r="L106" s="459">
        <f>+'ต.ค.-ธ.ค.'!L107+'ม.ค.-มี.ค.'!L106+'เม.ย.-มิ.ย.'!L106</f>
        <v>0</v>
      </c>
      <c r="M106" s="459">
        <f>+'ต.ค.-ธ.ค.'!M107+'ม.ค.-มี.ค.'!M106+'เม.ย.-มิ.ย.'!M106</f>
        <v>0</v>
      </c>
      <c r="N106" s="459">
        <f>+'ต.ค.-ธ.ค.'!N107+'ม.ค.-มี.ค.'!N106+'เม.ย.-มิ.ย.'!N106</f>
        <v>0</v>
      </c>
      <c r="O106" s="459">
        <f>+'ต.ค.-ธ.ค.'!O107+'ม.ค.-มี.ค.'!O106+'เม.ย.-มิ.ย.'!O106</f>
        <v>0</v>
      </c>
      <c r="P106" s="459">
        <f>+'ต.ค.-ธ.ค.'!P107+'ม.ค.-มี.ค.'!P106+'เม.ย.-มิ.ย.'!P106</f>
        <v>0</v>
      </c>
      <c r="Q106" s="459">
        <f>+'ต.ค.-ธ.ค.'!Q107+'ม.ค.-มี.ค.'!Q106+'เม.ย.-มิ.ย.'!Q106</f>
        <v>0</v>
      </c>
      <c r="R106" s="459">
        <f>+'ต.ค.-ธ.ค.'!R107+'ม.ค.-มี.ค.'!R106+'เม.ย.-มิ.ย.'!R106</f>
        <v>0</v>
      </c>
      <c r="S106" s="459">
        <f>+'ต.ค.-ธ.ค.'!S107+'ม.ค.-มี.ค.'!S106+'เม.ย.-มิ.ย.'!S106</f>
        <v>0</v>
      </c>
      <c r="T106" s="459">
        <f>+'ต.ค.-ธ.ค.'!U107+'ม.ค.-มี.ค.'!U106+'เม.ย.-มิ.ย.'!U106</f>
        <v>0</v>
      </c>
      <c r="U106" s="459">
        <f>+'ต.ค.-ธ.ค.'!V107+'ม.ค.-มี.ค.'!V106+'เม.ย.-มิ.ย.'!V106</f>
        <v>0</v>
      </c>
      <c r="W106"/>
    </row>
    <row r="107" spans="1:23" s="310" customFormat="1" ht="29.25" customHeight="1">
      <c r="A107" s="61"/>
      <c r="B107" s="388" t="s">
        <v>254</v>
      </c>
      <c r="C107" s="419">
        <v>2000</v>
      </c>
      <c r="D107" s="450"/>
      <c r="E107" s="459">
        <f>+'ต.ค.-ธ.ค.'!E108+'ม.ค.-มี.ค.'!E107+'เม.ย.-มิ.ย.'!E107</f>
        <v>0</v>
      </c>
      <c r="F107" s="459">
        <f>+'ต.ค.-ธ.ค.'!F108+'ม.ค.-มี.ค.'!F107+'เม.ย.-มิ.ย.'!F107</f>
        <v>0</v>
      </c>
      <c r="G107" s="459">
        <f>+'ต.ค.-ธ.ค.'!G108+'ม.ค.-มี.ค.'!G107+'เม.ย.-มิ.ย.'!G107</f>
        <v>0</v>
      </c>
      <c r="H107" s="459">
        <f>+'ต.ค.-ธ.ค.'!H108+'ม.ค.-มี.ค.'!H107+'เม.ย.-มิ.ย.'!H107</f>
        <v>0</v>
      </c>
      <c r="I107" s="459">
        <f>+'ต.ค.-ธ.ค.'!I108+'ม.ค.-มี.ค.'!I107+'เม.ย.-มิ.ย.'!I107</f>
        <v>0</v>
      </c>
      <c r="J107" s="459">
        <f>+'ต.ค.-ธ.ค.'!J108+'ม.ค.-มี.ค.'!J107+'เม.ย.-มิ.ย.'!J107</f>
        <v>0</v>
      </c>
      <c r="K107" s="459">
        <f>+'ต.ค.-ธ.ค.'!K108+'ม.ค.-มี.ค.'!K107+'เม.ย.-มิ.ย.'!K107</f>
        <v>0</v>
      </c>
      <c r="L107" s="459">
        <f>+'ต.ค.-ธ.ค.'!L108+'ม.ค.-มี.ค.'!L107+'เม.ย.-มิ.ย.'!L107</f>
        <v>0</v>
      </c>
      <c r="M107" s="459">
        <f>+'ต.ค.-ธ.ค.'!M108+'ม.ค.-มี.ค.'!M107+'เม.ย.-มิ.ย.'!M107</f>
        <v>0</v>
      </c>
      <c r="N107" s="459">
        <f>+'ต.ค.-ธ.ค.'!N108+'ม.ค.-มี.ค.'!N107+'เม.ย.-มิ.ย.'!N107</f>
        <v>0</v>
      </c>
      <c r="O107" s="459">
        <f>+'ต.ค.-ธ.ค.'!O108+'ม.ค.-มี.ค.'!O107+'เม.ย.-มิ.ย.'!O107</f>
        <v>0</v>
      </c>
      <c r="P107" s="459">
        <f>+'ต.ค.-ธ.ค.'!P108+'ม.ค.-มี.ค.'!P107+'เม.ย.-มิ.ย.'!P107</f>
        <v>0</v>
      </c>
      <c r="Q107" s="459">
        <f>+'ต.ค.-ธ.ค.'!Q108+'ม.ค.-มี.ค.'!Q107+'เม.ย.-มิ.ย.'!Q107</f>
        <v>0</v>
      </c>
      <c r="R107" s="459">
        <f>+'ต.ค.-ธ.ค.'!R108+'ม.ค.-มี.ค.'!R107+'เม.ย.-มิ.ย.'!R107</f>
        <v>0</v>
      </c>
      <c r="S107" s="459">
        <f>+'ต.ค.-ธ.ค.'!S108+'ม.ค.-มี.ค.'!S107+'เม.ย.-มิ.ย.'!S107</f>
        <v>0</v>
      </c>
      <c r="T107" s="459">
        <f>+'ต.ค.-ธ.ค.'!U108+'ม.ค.-มี.ค.'!U107+'เม.ย.-มิ.ย.'!U107</f>
        <v>0</v>
      </c>
      <c r="U107" s="459">
        <f>+'ต.ค.-ธ.ค.'!V108+'ม.ค.-มี.ค.'!V107+'เม.ย.-มิ.ย.'!V107</f>
        <v>0</v>
      </c>
      <c r="W107"/>
    </row>
    <row r="108" spans="1:23" s="310" customFormat="1" ht="29.25" customHeight="1">
      <c r="A108" s="61"/>
      <c r="B108" s="388" t="s">
        <v>312</v>
      </c>
      <c r="C108" s="419">
        <v>2500</v>
      </c>
      <c r="D108" s="450"/>
      <c r="E108" s="459">
        <f>+'ต.ค.-ธ.ค.'!E109+'ม.ค.-มี.ค.'!E108+'เม.ย.-มิ.ย.'!E108</f>
        <v>0</v>
      </c>
      <c r="F108" s="459">
        <f>+'ต.ค.-ธ.ค.'!F109+'ม.ค.-มี.ค.'!F108+'เม.ย.-มิ.ย.'!F108</f>
        <v>0</v>
      </c>
      <c r="G108" s="459">
        <f>+'ต.ค.-ธ.ค.'!G109+'ม.ค.-มี.ค.'!G108+'เม.ย.-มิ.ย.'!G108</f>
        <v>0</v>
      </c>
      <c r="H108" s="459">
        <f>+'ต.ค.-ธ.ค.'!H109+'ม.ค.-มี.ค.'!H108+'เม.ย.-มิ.ย.'!H108</f>
        <v>0</v>
      </c>
      <c r="I108" s="459">
        <f>+'ต.ค.-ธ.ค.'!I109+'ม.ค.-มี.ค.'!I108+'เม.ย.-มิ.ย.'!I108</f>
        <v>0</v>
      </c>
      <c r="J108" s="459">
        <f>+'ต.ค.-ธ.ค.'!J109+'ม.ค.-มี.ค.'!J108+'เม.ย.-มิ.ย.'!J108</f>
        <v>0</v>
      </c>
      <c r="K108" s="459">
        <f>+'ต.ค.-ธ.ค.'!K109+'ม.ค.-มี.ค.'!K108+'เม.ย.-มิ.ย.'!K108</f>
        <v>0</v>
      </c>
      <c r="L108" s="459">
        <f>+'ต.ค.-ธ.ค.'!L109+'ม.ค.-มี.ค.'!L108+'เม.ย.-มิ.ย.'!L108</f>
        <v>0</v>
      </c>
      <c r="M108" s="459">
        <f>+'ต.ค.-ธ.ค.'!M109+'ม.ค.-มี.ค.'!M108+'เม.ย.-มิ.ย.'!M108</f>
        <v>0</v>
      </c>
      <c r="N108" s="459">
        <f>+'ต.ค.-ธ.ค.'!N109+'ม.ค.-มี.ค.'!N108+'เม.ย.-มิ.ย.'!N108</f>
        <v>0</v>
      </c>
      <c r="O108" s="459">
        <f>+'ต.ค.-ธ.ค.'!O109+'ม.ค.-มี.ค.'!O108+'เม.ย.-มิ.ย.'!O108</f>
        <v>0</v>
      </c>
      <c r="P108" s="459">
        <f>+'ต.ค.-ธ.ค.'!P109+'ม.ค.-มี.ค.'!P108+'เม.ย.-มิ.ย.'!P108</f>
        <v>0</v>
      </c>
      <c r="Q108" s="459">
        <f>+'ต.ค.-ธ.ค.'!Q109+'ม.ค.-มี.ค.'!Q108+'เม.ย.-มิ.ย.'!Q108</f>
        <v>0</v>
      </c>
      <c r="R108" s="459">
        <f>+'ต.ค.-ธ.ค.'!R109+'ม.ค.-มี.ค.'!R108+'เม.ย.-มิ.ย.'!R108</f>
        <v>0</v>
      </c>
      <c r="S108" s="459">
        <f>+'ต.ค.-ธ.ค.'!S109+'ม.ค.-มี.ค.'!S108+'เม.ย.-มิ.ย.'!S108</f>
        <v>0</v>
      </c>
      <c r="T108" s="459">
        <f>+'ต.ค.-ธ.ค.'!U109+'ม.ค.-มี.ค.'!U108+'เม.ย.-มิ.ย.'!U108</f>
        <v>0</v>
      </c>
      <c r="U108" s="459">
        <f>+'ต.ค.-ธ.ค.'!V109+'ม.ค.-มี.ค.'!V108+'เม.ย.-มิ.ย.'!V108</f>
        <v>0</v>
      </c>
      <c r="W108"/>
    </row>
    <row r="109" spans="1:23" s="310" customFormat="1" ht="29.25" customHeight="1">
      <c r="A109" s="61"/>
      <c r="B109" s="388" t="s">
        <v>313</v>
      </c>
      <c r="C109" s="419">
        <v>2500</v>
      </c>
      <c r="D109" s="442"/>
      <c r="E109" s="459">
        <f>+'ต.ค.-ธ.ค.'!E110+'ม.ค.-มี.ค.'!E109+'เม.ย.-มิ.ย.'!E109</f>
        <v>0</v>
      </c>
      <c r="F109" s="459">
        <f>+'ต.ค.-ธ.ค.'!F110+'ม.ค.-มี.ค.'!F109+'เม.ย.-มิ.ย.'!F109</f>
        <v>0</v>
      </c>
      <c r="G109" s="459">
        <f>+'ต.ค.-ธ.ค.'!G110+'ม.ค.-มี.ค.'!G109+'เม.ย.-มิ.ย.'!G109</f>
        <v>0</v>
      </c>
      <c r="H109" s="459">
        <f>+'ต.ค.-ธ.ค.'!H110+'ม.ค.-มี.ค.'!H109+'เม.ย.-มิ.ย.'!H109</f>
        <v>0</v>
      </c>
      <c r="I109" s="459">
        <f>+'ต.ค.-ธ.ค.'!I110+'ม.ค.-มี.ค.'!I109+'เม.ย.-มิ.ย.'!I109</f>
        <v>0</v>
      </c>
      <c r="J109" s="459">
        <f>+'ต.ค.-ธ.ค.'!J110+'ม.ค.-มี.ค.'!J109+'เม.ย.-มิ.ย.'!J109</f>
        <v>0</v>
      </c>
      <c r="K109" s="459">
        <f>+'ต.ค.-ธ.ค.'!K110+'ม.ค.-มี.ค.'!K109+'เม.ย.-มิ.ย.'!K109</f>
        <v>0</v>
      </c>
      <c r="L109" s="459">
        <f>+'ต.ค.-ธ.ค.'!L110+'ม.ค.-มี.ค.'!L109+'เม.ย.-มิ.ย.'!L109</f>
        <v>0</v>
      </c>
      <c r="M109" s="459">
        <f>+'ต.ค.-ธ.ค.'!M110+'ม.ค.-มี.ค.'!M109+'เม.ย.-มิ.ย.'!M109</f>
        <v>0</v>
      </c>
      <c r="N109" s="459">
        <f>+'ต.ค.-ธ.ค.'!N110+'ม.ค.-มี.ค.'!N109+'เม.ย.-มิ.ย.'!N109</f>
        <v>0</v>
      </c>
      <c r="O109" s="459">
        <f>+'ต.ค.-ธ.ค.'!O110+'ม.ค.-มี.ค.'!O109+'เม.ย.-มิ.ย.'!O109</f>
        <v>0</v>
      </c>
      <c r="P109" s="459">
        <f>+'ต.ค.-ธ.ค.'!P110+'ม.ค.-มี.ค.'!P109+'เม.ย.-มิ.ย.'!P109</f>
        <v>0</v>
      </c>
      <c r="Q109" s="459">
        <f>+'ต.ค.-ธ.ค.'!Q110+'ม.ค.-มี.ค.'!Q109+'เม.ย.-มิ.ย.'!Q109</f>
        <v>0</v>
      </c>
      <c r="R109" s="459">
        <f>+'ต.ค.-ธ.ค.'!R110+'ม.ค.-มี.ค.'!R109+'เม.ย.-มิ.ย.'!R109</f>
        <v>0</v>
      </c>
      <c r="S109" s="459">
        <f>+'ต.ค.-ธ.ค.'!S110+'ม.ค.-มี.ค.'!S109+'เม.ย.-มิ.ย.'!S109</f>
        <v>0</v>
      </c>
      <c r="T109" s="459">
        <f>+'ต.ค.-ธ.ค.'!U110+'ม.ค.-มี.ค.'!U109+'เม.ย.-มิ.ย.'!U109</f>
        <v>0</v>
      </c>
      <c r="U109" s="459">
        <f>+'ต.ค.-ธ.ค.'!V110+'ม.ค.-มี.ค.'!V109+'เม.ย.-มิ.ย.'!V109</f>
        <v>0</v>
      </c>
      <c r="W109"/>
    </row>
    <row r="110" spans="1:23" s="310" customFormat="1" ht="29.25" customHeight="1">
      <c r="A110" s="61"/>
      <c r="B110" s="388" t="s">
        <v>314</v>
      </c>
      <c r="C110" s="419">
        <v>2500</v>
      </c>
      <c r="D110" s="450"/>
      <c r="E110" s="459">
        <f>+'ต.ค.-ธ.ค.'!E111+'ม.ค.-มี.ค.'!E110+'เม.ย.-มิ.ย.'!E110</f>
        <v>0</v>
      </c>
      <c r="F110" s="459">
        <f>+'ต.ค.-ธ.ค.'!F111+'ม.ค.-มี.ค.'!F110+'เม.ย.-มิ.ย.'!F110</f>
        <v>0</v>
      </c>
      <c r="G110" s="459">
        <f>+'ต.ค.-ธ.ค.'!G111+'ม.ค.-มี.ค.'!G110+'เม.ย.-มิ.ย.'!G110</f>
        <v>0</v>
      </c>
      <c r="H110" s="459">
        <f>+'ต.ค.-ธ.ค.'!H111+'ม.ค.-มี.ค.'!H110+'เม.ย.-มิ.ย.'!H110</f>
        <v>0</v>
      </c>
      <c r="I110" s="459">
        <f>+'ต.ค.-ธ.ค.'!I111+'ม.ค.-มี.ค.'!I110+'เม.ย.-มิ.ย.'!I110</f>
        <v>0</v>
      </c>
      <c r="J110" s="459">
        <f>+'ต.ค.-ธ.ค.'!J111+'ม.ค.-มี.ค.'!J110+'เม.ย.-มิ.ย.'!J110</f>
        <v>0</v>
      </c>
      <c r="K110" s="459">
        <f>+'ต.ค.-ธ.ค.'!K111+'ม.ค.-มี.ค.'!K110+'เม.ย.-มิ.ย.'!K110</f>
        <v>0</v>
      </c>
      <c r="L110" s="459">
        <f>+'ต.ค.-ธ.ค.'!L111+'ม.ค.-มี.ค.'!L110+'เม.ย.-มิ.ย.'!L110</f>
        <v>0</v>
      </c>
      <c r="M110" s="459">
        <f>+'ต.ค.-ธ.ค.'!M111+'ม.ค.-มี.ค.'!M110+'เม.ย.-มิ.ย.'!M110</f>
        <v>0</v>
      </c>
      <c r="N110" s="459">
        <f>+'ต.ค.-ธ.ค.'!N111+'ม.ค.-มี.ค.'!N110+'เม.ย.-มิ.ย.'!N110</f>
        <v>0</v>
      </c>
      <c r="O110" s="459">
        <f>+'ต.ค.-ธ.ค.'!O111+'ม.ค.-มี.ค.'!O110+'เม.ย.-มิ.ย.'!O110</f>
        <v>0</v>
      </c>
      <c r="P110" s="459">
        <f>+'ต.ค.-ธ.ค.'!P111+'ม.ค.-มี.ค.'!P110+'เม.ย.-มิ.ย.'!P110</f>
        <v>0</v>
      </c>
      <c r="Q110" s="459">
        <f>+'ต.ค.-ธ.ค.'!Q111+'ม.ค.-มี.ค.'!Q110+'เม.ย.-มิ.ย.'!Q110</f>
        <v>0</v>
      </c>
      <c r="R110" s="459">
        <f>+'ต.ค.-ธ.ค.'!R111+'ม.ค.-มี.ค.'!R110+'เม.ย.-มิ.ย.'!R110</f>
        <v>0</v>
      </c>
      <c r="S110" s="459">
        <f>+'ต.ค.-ธ.ค.'!S111+'ม.ค.-มี.ค.'!S110+'เม.ย.-มิ.ย.'!S110</f>
        <v>0</v>
      </c>
      <c r="T110" s="459">
        <f>+'ต.ค.-ธ.ค.'!U111+'ม.ค.-มี.ค.'!U110+'เม.ย.-มิ.ย.'!U110</f>
        <v>0</v>
      </c>
      <c r="U110" s="459">
        <f>+'ต.ค.-ธ.ค.'!V111+'ม.ค.-มี.ค.'!V110+'เม.ย.-มิ.ย.'!V110</f>
        <v>0</v>
      </c>
      <c r="W110"/>
    </row>
    <row r="111" spans="1:23" s="310" customFormat="1" ht="29.25" customHeight="1">
      <c r="A111" s="61"/>
      <c r="B111" s="388" t="s">
        <v>255</v>
      </c>
      <c r="C111" s="419">
        <v>4000</v>
      </c>
      <c r="D111" s="450"/>
      <c r="E111" s="459">
        <f>+'ต.ค.-ธ.ค.'!E112+'ม.ค.-มี.ค.'!E111+'เม.ย.-มิ.ย.'!E111</f>
        <v>0</v>
      </c>
      <c r="F111" s="459">
        <f>+'ต.ค.-ธ.ค.'!F112+'ม.ค.-มี.ค.'!F111+'เม.ย.-มิ.ย.'!F111</f>
        <v>0</v>
      </c>
      <c r="G111" s="459">
        <f>+'ต.ค.-ธ.ค.'!G112+'ม.ค.-มี.ค.'!G111+'เม.ย.-มิ.ย.'!G111</f>
        <v>0</v>
      </c>
      <c r="H111" s="459">
        <f>+'ต.ค.-ธ.ค.'!H112+'ม.ค.-มี.ค.'!H111+'เม.ย.-มิ.ย.'!H111</f>
        <v>0</v>
      </c>
      <c r="I111" s="459">
        <f>+'ต.ค.-ธ.ค.'!I112+'ม.ค.-มี.ค.'!I111+'เม.ย.-มิ.ย.'!I111</f>
        <v>0</v>
      </c>
      <c r="J111" s="459">
        <f>+'ต.ค.-ธ.ค.'!J112+'ม.ค.-มี.ค.'!J111+'เม.ย.-มิ.ย.'!J111</f>
        <v>0</v>
      </c>
      <c r="K111" s="459">
        <f>+'ต.ค.-ธ.ค.'!K112+'ม.ค.-มี.ค.'!K111+'เม.ย.-มิ.ย.'!K111</f>
        <v>0</v>
      </c>
      <c r="L111" s="459">
        <f>+'ต.ค.-ธ.ค.'!L112+'ม.ค.-มี.ค.'!L111+'เม.ย.-มิ.ย.'!L111</f>
        <v>0</v>
      </c>
      <c r="M111" s="459">
        <f>+'ต.ค.-ธ.ค.'!M112+'ม.ค.-มี.ค.'!M111+'เม.ย.-มิ.ย.'!M111</f>
        <v>0</v>
      </c>
      <c r="N111" s="459">
        <f>+'ต.ค.-ธ.ค.'!N112+'ม.ค.-มี.ค.'!N111+'เม.ย.-มิ.ย.'!N111</f>
        <v>0</v>
      </c>
      <c r="O111" s="459">
        <f>+'ต.ค.-ธ.ค.'!O112+'ม.ค.-มี.ค.'!O111+'เม.ย.-มิ.ย.'!O111</f>
        <v>0</v>
      </c>
      <c r="P111" s="459">
        <f>+'ต.ค.-ธ.ค.'!P112+'ม.ค.-มี.ค.'!P111+'เม.ย.-มิ.ย.'!P111</f>
        <v>0</v>
      </c>
      <c r="Q111" s="459">
        <f>+'ต.ค.-ธ.ค.'!Q112+'ม.ค.-มี.ค.'!Q111+'เม.ย.-มิ.ย.'!Q111</f>
        <v>0</v>
      </c>
      <c r="R111" s="459">
        <f>+'ต.ค.-ธ.ค.'!R112+'ม.ค.-มี.ค.'!R111+'เม.ย.-มิ.ย.'!R111</f>
        <v>0</v>
      </c>
      <c r="S111" s="459">
        <f>+'ต.ค.-ธ.ค.'!S112+'ม.ค.-มี.ค.'!S111+'เม.ย.-มิ.ย.'!S111</f>
        <v>0</v>
      </c>
      <c r="T111" s="459">
        <f>+'ต.ค.-ธ.ค.'!U112+'ม.ค.-มี.ค.'!U111+'เม.ย.-มิ.ย.'!U111</f>
        <v>0</v>
      </c>
      <c r="U111" s="459">
        <f>+'ต.ค.-ธ.ค.'!V112+'ม.ค.-มี.ค.'!V111+'เม.ย.-มิ.ย.'!V111</f>
        <v>0</v>
      </c>
      <c r="W111"/>
    </row>
    <row r="112" spans="1:23" s="310" customFormat="1" ht="29.25" customHeight="1">
      <c r="A112" s="61"/>
      <c r="B112" s="388" t="s">
        <v>256</v>
      </c>
      <c r="C112" s="419">
        <v>2500</v>
      </c>
      <c r="D112" s="450"/>
      <c r="E112" s="459">
        <f>+'ต.ค.-ธ.ค.'!E113+'ม.ค.-มี.ค.'!E112+'เม.ย.-มิ.ย.'!E112</f>
        <v>0</v>
      </c>
      <c r="F112" s="459">
        <f>+'ต.ค.-ธ.ค.'!F113+'ม.ค.-มี.ค.'!F112+'เม.ย.-มิ.ย.'!F112</f>
        <v>0</v>
      </c>
      <c r="G112" s="459">
        <f>+'ต.ค.-ธ.ค.'!G113+'ม.ค.-มี.ค.'!G112+'เม.ย.-มิ.ย.'!G112</f>
        <v>0</v>
      </c>
      <c r="H112" s="459">
        <f>+'ต.ค.-ธ.ค.'!H113+'ม.ค.-มี.ค.'!H112+'เม.ย.-มิ.ย.'!H112</f>
        <v>0</v>
      </c>
      <c r="I112" s="459">
        <f>+'ต.ค.-ธ.ค.'!I113+'ม.ค.-มี.ค.'!I112+'เม.ย.-มิ.ย.'!I112</f>
        <v>0</v>
      </c>
      <c r="J112" s="459">
        <f>+'ต.ค.-ธ.ค.'!J113+'ม.ค.-มี.ค.'!J112+'เม.ย.-มิ.ย.'!J112</f>
        <v>0</v>
      </c>
      <c r="K112" s="459">
        <f>+'ต.ค.-ธ.ค.'!K113+'ม.ค.-มี.ค.'!K112+'เม.ย.-มิ.ย.'!K112</f>
        <v>0</v>
      </c>
      <c r="L112" s="459">
        <f>+'ต.ค.-ธ.ค.'!L113+'ม.ค.-มี.ค.'!L112+'เม.ย.-มิ.ย.'!L112</f>
        <v>0</v>
      </c>
      <c r="M112" s="459">
        <f>+'ต.ค.-ธ.ค.'!M113+'ม.ค.-มี.ค.'!M112+'เม.ย.-มิ.ย.'!M112</f>
        <v>0</v>
      </c>
      <c r="N112" s="459">
        <f>+'ต.ค.-ธ.ค.'!N113+'ม.ค.-มี.ค.'!N112+'เม.ย.-มิ.ย.'!N112</f>
        <v>0</v>
      </c>
      <c r="O112" s="459">
        <f>+'ต.ค.-ธ.ค.'!O113+'ม.ค.-มี.ค.'!O112+'เม.ย.-มิ.ย.'!O112</f>
        <v>0</v>
      </c>
      <c r="P112" s="459">
        <f>+'ต.ค.-ธ.ค.'!P113+'ม.ค.-มี.ค.'!P112+'เม.ย.-มิ.ย.'!P112</f>
        <v>0</v>
      </c>
      <c r="Q112" s="459">
        <f>+'ต.ค.-ธ.ค.'!Q113+'ม.ค.-มี.ค.'!Q112+'เม.ย.-มิ.ย.'!Q112</f>
        <v>0</v>
      </c>
      <c r="R112" s="459">
        <f>+'ต.ค.-ธ.ค.'!R113+'ม.ค.-มี.ค.'!R112+'เม.ย.-มิ.ย.'!R112</f>
        <v>0</v>
      </c>
      <c r="S112" s="459">
        <f>+'ต.ค.-ธ.ค.'!S113+'ม.ค.-มี.ค.'!S112+'เม.ย.-มิ.ย.'!S112</f>
        <v>0</v>
      </c>
      <c r="T112" s="459">
        <f>+'ต.ค.-ธ.ค.'!U113+'ม.ค.-มี.ค.'!U112+'เม.ย.-มิ.ย.'!U112</f>
        <v>0</v>
      </c>
      <c r="U112" s="459">
        <f>+'ต.ค.-ธ.ค.'!V113+'ม.ค.-มี.ค.'!V112+'เม.ย.-มิ.ย.'!V112</f>
        <v>0</v>
      </c>
      <c r="W112"/>
    </row>
    <row r="113" spans="1:23" s="310" customFormat="1" ht="29.25" customHeight="1">
      <c r="A113" s="61"/>
      <c r="B113" s="388" t="s">
        <v>257</v>
      </c>
      <c r="C113" s="419">
        <v>2500</v>
      </c>
      <c r="D113" s="450"/>
      <c r="E113" s="459">
        <f>+'ต.ค.-ธ.ค.'!E114+'ม.ค.-มี.ค.'!E113+'เม.ย.-มิ.ย.'!E113</f>
        <v>0</v>
      </c>
      <c r="F113" s="459">
        <f>+'ต.ค.-ธ.ค.'!F114+'ม.ค.-มี.ค.'!F113+'เม.ย.-มิ.ย.'!F113</f>
        <v>0</v>
      </c>
      <c r="G113" s="459">
        <f>+'ต.ค.-ธ.ค.'!G114+'ม.ค.-มี.ค.'!G113+'เม.ย.-มิ.ย.'!G113</f>
        <v>0</v>
      </c>
      <c r="H113" s="459">
        <f>+'ต.ค.-ธ.ค.'!H114+'ม.ค.-มี.ค.'!H113+'เม.ย.-มิ.ย.'!H113</f>
        <v>0</v>
      </c>
      <c r="I113" s="459">
        <f>+'ต.ค.-ธ.ค.'!I114+'ม.ค.-มี.ค.'!I113+'เม.ย.-มิ.ย.'!I113</f>
        <v>0</v>
      </c>
      <c r="J113" s="459">
        <f>+'ต.ค.-ธ.ค.'!J114+'ม.ค.-มี.ค.'!J113+'เม.ย.-มิ.ย.'!J113</f>
        <v>0</v>
      </c>
      <c r="K113" s="459">
        <f>+'ต.ค.-ธ.ค.'!K114+'ม.ค.-มี.ค.'!K113+'เม.ย.-มิ.ย.'!K113</f>
        <v>0</v>
      </c>
      <c r="L113" s="459">
        <f>+'ต.ค.-ธ.ค.'!L114+'ม.ค.-มี.ค.'!L113+'เม.ย.-มิ.ย.'!L113</f>
        <v>0</v>
      </c>
      <c r="M113" s="459">
        <f>+'ต.ค.-ธ.ค.'!M114+'ม.ค.-มี.ค.'!M113+'เม.ย.-มิ.ย.'!M113</f>
        <v>0</v>
      </c>
      <c r="N113" s="459">
        <f>+'ต.ค.-ธ.ค.'!N114+'ม.ค.-มี.ค.'!N113+'เม.ย.-มิ.ย.'!N113</f>
        <v>0</v>
      </c>
      <c r="O113" s="459">
        <f>+'ต.ค.-ธ.ค.'!O114+'ม.ค.-มี.ค.'!O113+'เม.ย.-มิ.ย.'!O113</f>
        <v>0</v>
      </c>
      <c r="P113" s="459">
        <f>+'ต.ค.-ธ.ค.'!P114+'ม.ค.-มี.ค.'!P113+'เม.ย.-มิ.ย.'!P113</f>
        <v>0</v>
      </c>
      <c r="Q113" s="459">
        <f>+'ต.ค.-ธ.ค.'!Q114+'ม.ค.-มี.ค.'!Q113+'เม.ย.-มิ.ย.'!Q113</f>
        <v>0</v>
      </c>
      <c r="R113" s="459">
        <f>+'ต.ค.-ธ.ค.'!R114+'ม.ค.-มี.ค.'!R113+'เม.ย.-มิ.ย.'!R113</f>
        <v>0</v>
      </c>
      <c r="S113" s="459">
        <f>+'ต.ค.-ธ.ค.'!S114+'ม.ค.-มี.ค.'!S113+'เม.ย.-มิ.ย.'!S113</f>
        <v>0</v>
      </c>
      <c r="T113" s="459">
        <f>+'ต.ค.-ธ.ค.'!U114+'ม.ค.-มี.ค.'!U113+'เม.ย.-มิ.ย.'!U113</f>
        <v>0</v>
      </c>
      <c r="U113" s="459">
        <f>+'ต.ค.-ธ.ค.'!V114+'ม.ค.-มี.ค.'!V113+'เม.ย.-มิ.ย.'!V113</f>
        <v>0</v>
      </c>
      <c r="W113"/>
    </row>
    <row r="114" spans="1:23" s="310" customFormat="1" ht="29.25" customHeight="1">
      <c r="A114" s="61"/>
      <c r="B114" s="388" t="s">
        <v>258</v>
      </c>
      <c r="C114" s="419">
        <v>2500</v>
      </c>
      <c r="D114" s="450"/>
      <c r="E114" s="459">
        <f>+'ต.ค.-ธ.ค.'!E115+'ม.ค.-มี.ค.'!E114+'เม.ย.-มิ.ย.'!E114</f>
        <v>0</v>
      </c>
      <c r="F114" s="459">
        <f>+'ต.ค.-ธ.ค.'!F115+'ม.ค.-มี.ค.'!F114+'เม.ย.-มิ.ย.'!F114</f>
        <v>0</v>
      </c>
      <c r="G114" s="459">
        <f>+'ต.ค.-ธ.ค.'!G115+'ม.ค.-มี.ค.'!G114+'เม.ย.-มิ.ย.'!G114</f>
        <v>0</v>
      </c>
      <c r="H114" s="459">
        <f>+'ต.ค.-ธ.ค.'!H115+'ม.ค.-มี.ค.'!H114+'เม.ย.-มิ.ย.'!H114</f>
        <v>0</v>
      </c>
      <c r="I114" s="459">
        <f>+'ต.ค.-ธ.ค.'!I115+'ม.ค.-มี.ค.'!I114+'เม.ย.-มิ.ย.'!I114</f>
        <v>0</v>
      </c>
      <c r="J114" s="459">
        <f>+'ต.ค.-ธ.ค.'!J115+'ม.ค.-มี.ค.'!J114+'เม.ย.-มิ.ย.'!J114</f>
        <v>0</v>
      </c>
      <c r="K114" s="459">
        <f>+'ต.ค.-ธ.ค.'!K115+'ม.ค.-มี.ค.'!K114+'เม.ย.-มิ.ย.'!K114</f>
        <v>0</v>
      </c>
      <c r="L114" s="459">
        <f>+'ต.ค.-ธ.ค.'!L115+'ม.ค.-มี.ค.'!L114+'เม.ย.-มิ.ย.'!L114</f>
        <v>0</v>
      </c>
      <c r="M114" s="459">
        <f>+'ต.ค.-ธ.ค.'!M115+'ม.ค.-มี.ค.'!M114+'เม.ย.-มิ.ย.'!M114</f>
        <v>0</v>
      </c>
      <c r="N114" s="459">
        <f>+'ต.ค.-ธ.ค.'!N115+'ม.ค.-มี.ค.'!N114+'เม.ย.-มิ.ย.'!N114</f>
        <v>0</v>
      </c>
      <c r="O114" s="459">
        <f>+'ต.ค.-ธ.ค.'!O115+'ม.ค.-มี.ค.'!O114+'เม.ย.-มิ.ย.'!O114</f>
        <v>0</v>
      </c>
      <c r="P114" s="459">
        <f>+'ต.ค.-ธ.ค.'!P115+'ม.ค.-มี.ค.'!P114+'เม.ย.-มิ.ย.'!P114</f>
        <v>0</v>
      </c>
      <c r="Q114" s="459">
        <f>+'ต.ค.-ธ.ค.'!Q115+'ม.ค.-มี.ค.'!Q114+'เม.ย.-มิ.ย.'!Q114</f>
        <v>0</v>
      </c>
      <c r="R114" s="459">
        <f>+'ต.ค.-ธ.ค.'!R115+'ม.ค.-มี.ค.'!R114+'เม.ย.-มิ.ย.'!R114</f>
        <v>0</v>
      </c>
      <c r="S114" s="459">
        <f>+'ต.ค.-ธ.ค.'!S115+'ม.ค.-มี.ค.'!S114+'เม.ย.-มิ.ย.'!S114</f>
        <v>0</v>
      </c>
      <c r="T114" s="459">
        <f>+'ต.ค.-ธ.ค.'!U115+'ม.ค.-มี.ค.'!U114+'เม.ย.-มิ.ย.'!U114</f>
        <v>0</v>
      </c>
      <c r="U114" s="459">
        <f>+'ต.ค.-ธ.ค.'!V115+'ม.ค.-มี.ค.'!V114+'เม.ย.-มิ.ย.'!V114</f>
        <v>0</v>
      </c>
      <c r="W114"/>
    </row>
    <row r="115" spans="1:23" s="310" customFormat="1" ht="29.25" customHeight="1">
      <c r="A115" s="61"/>
      <c r="B115" s="388" t="s">
        <v>259</v>
      </c>
      <c r="C115" s="419">
        <v>1000</v>
      </c>
      <c r="D115" s="450"/>
      <c r="E115" s="459">
        <f>+'ต.ค.-ธ.ค.'!E116+'ม.ค.-มี.ค.'!E115+'เม.ย.-มิ.ย.'!E115</f>
        <v>0</v>
      </c>
      <c r="F115" s="459">
        <f>+'ต.ค.-ธ.ค.'!F116+'ม.ค.-มี.ค.'!F115+'เม.ย.-มิ.ย.'!F115</f>
        <v>0</v>
      </c>
      <c r="G115" s="459">
        <f>+'ต.ค.-ธ.ค.'!G116+'ม.ค.-มี.ค.'!G115+'เม.ย.-มิ.ย.'!G115</f>
        <v>0</v>
      </c>
      <c r="H115" s="459">
        <f>+'ต.ค.-ธ.ค.'!H116+'ม.ค.-มี.ค.'!H115+'เม.ย.-มิ.ย.'!H115</f>
        <v>0</v>
      </c>
      <c r="I115" s="459">
        <f>+'ต.ค.-ธ.ค.'!I116+'ม.ค.-มี.ค.'!I115+'เม.ย.-มิ.ย.'!I115</f>
        <v>0</v>
      </c>
      <c r="J115" s="459">
        <f>+'ต.ค.-ธ.ค.'!J116+'ม.ค.-มี.ค.'!J115+'เม.ย.-มิ.ย.'!J115</f>
        <v>0</v>
      </c>
      <c r="K115" s="459">
        <f>+'ต.ค.-ธ.ค.'!K116+'ม.ค.-มี.ค.'!K115+'เม.ย.-มิ.ย.'!K115</f>
        <v>0</v>
      </c>
      <c r="L115" s="459">
        <f>+'ต.ค.-ธ.ค.'!L116+'ม.ค.-มี.ค.'!L115+'เม.ย.-มิ.ย.'!L115</f>
        <v>0</v>
      </c>
      <c r="M115" s="459">
        <f>+'ต.ค.-ธ.ค.'!M116+'ม.ค.-มี.ค.'!M115+'เม.ย.-มิ.ย.'!M115</f>
        <v>0</v>
      </c>
      <c r="N115" s="459">
        <f>+'ต.ค.-ธ.ค.'!N116+'ม.ค.-มี.ค.'!N115+'เม.ย.-มิ.ย.'!N115</f>
        <v>0</v>
      </c>
      <c r="O115" s="459">
        <f>+'ต.ค.-ธ.ค.'!O116+'ม.ค.-มี.ค.'!O115+'เม.ย.-มิ.ย.'!O115</f>
        <v>0</v>
      </c>
      <c r="P115" s="459">
        <f>+'ต.ค.-ธ.ค.'!P116+'ม.ค.-มี.ค.'!P115+'เม.ย.-มิ.ย.'!P115</f>
        <v>0</v>
      </c>
      <c r="Q115" s="459">
        <f>+'ต.ค.-ธ.ค.'!Q116+'ม.ค.-มี.ค.'!Q115+'เม.ย.-มิ.ย.'!Q115</f>
        <v>0</v>
      </c>
      <c r="R115" s="459">
        <f>+'ต.ค.-ธ.ค.'!R116+'ม.ค.-มี.ค.'!R115+'เม.ย.-มิ.ย.'!R115</f>
        <v>0</v>
      </c>
      <c r="S115" s="459">
        <f>+'ต.ค.-ธ.ค.'!S116+'ม.ค.-มี.ค.'!S115+'เม.ย.-มิ.ย.'!S115</f>
        <v>0</v>
      </c>
      <c r="T115" s="459">
        <f>+'ต.ค.-ธ.ค.'!U116+'ม.ค.-มี.ค.'!U115+'เม.ย.-มิ.ย.'!U115</f>
        <v>0</v>
      </c>
      <c r="U115" s="459">
        <f>+'ต.ค.-ธ.ค.'!V116+'ม.ค.-มี.ค.'!V115+'เม.ย.-มิ.ย.'!V115</f>
        <v>0</v>
      </c>
      <c r="W115"/>
    </row>
    <row r="116" spans="1:23" s="310" customFormat="1" ht="29.25" customHeight="1">
      <c r="A116" s="61"/>
      <c r="B116" s="388" t="s">
        <v>260</v>
      </c>
      <c r="C116" s="419">
        <v>1000</v>
      </c>
      <c r="D116" s="450"/>
      <c r="E116" s="459">
        <f>+'ต.ค.-ธ.ค.'!E117+'ม.ค.-มี.ค.'!E116+'เม.ย.-มิ.ย.'!E116</f>
        <v>0</v>
      </c>
      <c r="F116" s="459">
        <f>+'ต.ค.-ธ.ค.'!F117+'ม.ค.-มี.ค.'!F116+'เม.ย.-มิ.ย.'!F116</f>
        <v>0</v>
      </c>
      <c r="G116" s="459">
        <f>+'ต.ค.-ธ.ค.'!G117+'ม.ค.-มี.ค.'!G116+'เม.ย.-มิ.ย.'!G116</f>
        <v>0</v>
      </c>
      <c r="H116" s="459">
        <f>+'ต.ค.-ธ.ค.'!H117+'ม.ค.-มี.ค.'!H116+'เม.ย.-มิ.ย.'!H116</f>
        <v>0</v>
      </c>
      <c r="I116" s="459">
        <f>+'ต.ค.-ธ.ค.'!I117+'ม.ค.-มี.ค.'!I116+'เม.ย.-มิ.ย.'!I116</f>
        <v>0</v>
      </c>
      <c r="J116" s="459">
        <f>+'ต.ค.-ธ.ค.'!J117+'ม.ค.-มี.ค.'!J116+'เม.ย.-มิ.ย.'!J116</f>
        <v>0</v>
      </c>
      <c r="K116" s="459">
        <f>+'ต.ค.-ธ.ค.'!K117+'ม.ค.-มี.ค.'!K116+'เม.ย.-มิ.ย.'!K116</f>
        <v>0</v>
      </c>
      <c r="L116" s="459">
        <f>+'ต.ค.-ธ.ค.'!L117+'ม.ค.-มี.ค.'!L116+'เม.ย.-มิ.ย.'!L116</f>
        <v>0</v>
      </c>
      <c r="M116" s="459">
        <f>+'ต.ค.-ธ.ค.'!M117+'ม.ค.-มี.ค.'!M116+'เม.ย.-มิ.ย.'!M116</f>
        <v>0</v>
      </c>
      <c r="N116" s="459">
        <f>+'ต.ค.-ธ.ค.'!N117+'ม.ค.-มี.ค.'!N116+'เม.ย.-มิ.ย.'!N116</f>
        <v>0</v>
      </c>
      <c r="O116" s="459">
        <f>+'ต.ค.-ธ.ค.'!O117+'ม.ค.-มี.ค.'!O116+'เม.ย.-มิ.ย.'!O116</f>
        <v>0</v>
      </c>
      <c r="P116" s="459">
        <f>+'ต.ค.-ธ.ค.'!P117+'ม.ค.-มี.ค.'!P116+'เม.ย.-มิ.ย.'!P116</f>
        <v>0</v>
      </c>
      <c r="Q116" s="459">
        <f>+'ต.ค.-ธ.ค.'!Q117+'ม.ค.-มี.ค.'!Q116+'เม.ย.-มิ.ย.'!Q116</f>
        <v>0</v>
      </c>
      <c r="R116" s="459">
        <f>+'ต.ค.-ธ.ค.'!R117+'ม.ค.-มี.ค.'!R116+'เม.ย.-มิ.ย.'!R116</f>
        <v>0</v>
      </c>
      <c r="S116" s="459">
        <f>+'ต.ค.-ธ.ค.'!S117+'ม.ค.-มี.ค.'!S116+'เม.ย.-มิ.ย.'!S116</f>
        <v>0</v>
      </c>
      <c r="T116" s="459">
        <f>+'ต.ค.-ธ.ค.'!U117+'ม.ค.-มี.ค.'!U116+'เม.ย.-มิ.ย.'!U116</f>
        <v>0</v>
      </c>
      <c r="U116" s="459">
        <f>+'ต.ค.-ธ.ค.'!V117+'ม.ค.-มี.ค.'!V116+'เม.ย.-มิ.ย.'!V116</f>
        <v>0</v>
      </c>
      <c r="W116"/>
    </row>
    <row r="117" spans="1:23" s="310" customFormat="1" ht="29.25" customHeight="1">
      <c r="A117" s="61"/>
      <c r="B117" s="388" t="s">
        <v>261</v>
      </c>
      <c r="C117" s="419">
        <v>1000</v>
      </c>
      <c r="D117" s="450"/>
      <c r="E117" s="459">
        <f>+'ต.ค.-ธ.ค.'!E118+'ม.ค.-มี.ค.'!E117+'เม.ย.-มิ.ย.'!E117</f>
        <v>0</v>
      </c>
      <c r="F117" s="459">
        <f>+'ต.ค.-ธ.ค.'!F118+'ม.ค.-มี.ค.'!F117+'เม.ย.-มิ.ย.'!F117</f>
        <v>0</v>
      </c>
      <c r="G117" s="459">
        <f>+'ต.ค.-ธ.ค.'!G118+'ม.ค.-มี.ค.'!G117+'เม.ย.-มิ.ย.'!G117</f>
        <v>0</v>
      </c>
      <c r="H117" s="459">
        <f>+'ต.ค.-ธ.ค.'!H118+'ม.ค.-มี.ค.'!H117+'เม.ย.-มิ.ย.'!H117</f>
        <v>0</v>
      </c>
      <c r="I117" s="459">
        <f>+'ต.ค.-ธ.ค.'!I118+'ม.ค.-มี.ค.'!I117+'เม.ย.-มิ.ย.'!I117</f>
        <v>0</v>
      </c>
      <c r="J117" s="459">
        <f>+'ต.ค.-ธ.ค.'!J118+'ม.ค.-มี.ค.'!J117+'เม.ย.-มิ.ย.'!J117</f>
        <v>0</v>
      </c>
      <c r="K117" s="459">
        <f>+'ต.ค.-ธ.ค.'!K118+'ม.ค.-มี.ค.'!K117+'เม.ย.-มิ.ย.'!K117</f>
        <v>0</v>
      </c>
      <c r="L117" s="459">
        <f>+'ต.ค.-ธ.ค.'!L118+'ม.ค.-มี.ค.'!L117+'เม.ย.-มิ.ย.'!L117</f>
        <v>0</v>
      </c>
      <c r="M117" s="459">
        <f>+'ต.ค.-ธ.ค.'!M118+'ม.ค.-มี.ค.'!M117+'เม.ย.-มิ.ย.'!M117</f>
        <v>0</v>
      </c>
      <c r="N117" s="459">
        <f>+'ต.ค.-ธ.ค.'!N118+'ม.ค.-มี.ค.'!N117+'เม.ย.-มิ.ย.'!N117</f>
        <v>0</v>
      </c>
      <c r="O117" s="459">
        <f>+'ต.ค.-ธ.ค.'!O118+'ม.ค.-มี.ค.'!O117+'เม.ย.-มิ.ย.'!O117</f>
        <v>0</v>
      </c>
      <c r="P117" s="459">
        <f>+'ต.ค.-ธ.ค.'!P118+'ม.ค.-มี.ค.'!P117+'เม.ย.-มิ.ย.'!P117</f>
        <v>0</v>
      </c>
      <c r="Q117" s="459">
        <f>+'ต.ค.-ธ.ค.'!Q118+'ม.ค.-มี.ค.'!Q117+'เม.ย.-มิ.ย.'!Q117</f>
        <v>0</v>
      </c>
      <c r="R117" s="459">
        <f>+'ต.ค.-ธ.ค.'!R118+'ม.ค.-มี.ค.'!R117+'เม.ย.-มิ.ย.'!R117</f>
        <v>0</v>
      </c>
      <c r="S117" s="459">
        <f>+'ต.ค.-ธ.ค.'!S118+'ม.ค.-มี.ค.'!S117+'เม.ย.-มิ.ย.'!S117</f>
        <v>0</v>
      </c>
      <c r="T117" s="459">
        <f>+'ต.ค.-ธ.ค.'!U118+'ม.ค.-มี.ค.'!U117+'เม.ย.-มิ.ย.'!U117</f>
        <v>0</v>
      </c>
      <c r="U117" s="459">
        <f>+'ต.ค.-ธ.ค.'!V118+'ม.ค.-มี.ค.'!V117+'เม.ย.-มิ.ย.'!V117</f>
        <v>0</v>
      </c>
      <c r="W117"/>
    </row>
    <row r="118" spans="1:23" s="310" customFormat="1" ht="29.25" customHeight="1">
      <c r="A118" s="61"/>
      <c r="B118" s="388" t="s">
        <v>262</v>
      </c>
      <c r="C118" s="419">
        <v>1000</v>
      </c>
      <c r="D118" s="450"/>
      <c r="E118" s="459">
        <f>+'ต.ค.-ธ.ค.'!E119+'ม.ค.-มี.ค.'!E118+'เม.ย.-มิ.ย.'!E118</f>
        <v>0</v>
      </c>
      <c r="F118" s="459">
        <f>+'ต.ค.-ธ.ค.'!F119+'ม.ค.-มี.ค.'!F118+'เม.ย.-มิ.ย.'!F118</f>
        <v>0</v>
      </c>
      <c r="G118" s="459">
        <f>+'ต.ค.-ธ.ค.'!G119+'ม.ค.-มี.ค.'!G118+'เม.ย.-มิ.ย.'!G118</f>
        <v>0</v>
      </c>
      <c r="H118" s="459">
        <f>+'ต.ค.-ธ.ค.'!H119+'ม.ค.-มี.ค.'!H118+'เม.ย.-มิ.ย.'!H118</f>
        <v>0</v>
      </c>
      <c r="I118" s="459">
        <f>+'ต.ค.-ธ.ค.'!I119+'ม.ค.-มี.ค.'!I118+'เม.ย.-มิ.ย.'!I118</f>
        <v>0</v>
      </c>
      <c r="J118" s="459">
        <f>+'ต.ค.-ธ.ค.'!J119+'ม.ค.-มี.ค.'!J118+'เม.ย.-มิ.ย.'!J118</f>
        <v>0</v>
      </c>
      <c r="K118" s="459">
        <f>+'ต.ค.-ธ.ค.'!K119+'ม.ค.-มี.ค.'!K118+'เม.ย.-มิ.ย.'!K118</f>
        <v>0</v>
      </c>
      <c r="L118" s="459">
        <f>+'ต.ค.-ธ.ค.'!L119+'ม.ค.-มี.ค.'!L118+'เม.ย.-มิ.ย.'!L118</f>
        <v>0</v>
      </c>
      <c r="M118" s="459">
        <f>+'ต.ค.-ธ.ค.'!M119+'ม.ค.-มี.ค.'!M118+'เม.ย.-มิ.ย.'!M118</f>
        <v>0</v>
      </c>
      <c r="N118" s="459">
        <f>+'ต.ค.-ธ.ค.'!N119+'ม.ค.-มี.ค.'!N118+'เม.ย.-มิ.ย.'!N118</f>
        <v>0</v>
      </c>
      <c r="O118" s="459">
        <f>+'ต.ค.-ธ.ค.'!O119+'ม.ค.-มี.ค.'!O118+'เม.ย.-มิ.ย.'!O118</f>
        <v>0</v>
      </c>
      <c r="P118" s="459">
        <f>+'ต.ค.-ธ.ค.'!P119+'ม.ค.-มี.ค.'!P118+'เม.ย.-มิ.ย.'!P118</f>
        <v>0</v>
      </c>
      <c r="Q118" s="459">
        <f>+'ต.ค.-ธ.ค.'!Q119+'ม.ค.-มี.ค.'!Q118+'เม.ย.-มิ.ย.'!Q118</f>
        <v>0</v>
      </c>
      <c r="R118" s="459">
        <f>+'ต.ค.-ธ.ค.'!R119+'ม.ค.-มี.ค.'!R118+'เม.ย.-มิ.ย.'!R118</f>
        <v>0</v>
      </c>
      <c r="S118" s="459">
        <f>+'ต.ค.-ธ.ค.'!S119+'ม.ค.-มี.ค.'!S118+'เม.ย.-มิ.ย.'!S118</f>
        <v>0</v>
      </c>
      <c r="T118" s="459">
        <f>+'ต.ค.-ธ.ค.'!U119+'ม.ค.-มี.ค.'!U118+'เม.ย.-มิ.ย.'!U118</f>
        <v>0</v>
      </c>
      <c r="U118" s="459">
        <f>+'ต.ค.-ธ.ค.'!V119+'ม.ค.-มี.ค.'!V118+'เม.ย.-มิ.ย.'!V118</f>
        <v>0</v>
      </c>
      <c r="W118"/>
    </row>
    <row r="119" spans="1:23" s="310" customFormat="1" ht="29.25" customHeight="1">
      <c r="A119" s="61"/>
      <c r="B119" s="388" t="s">
        <v>211</v>
      </c>
      <c r="C119" s="419">
        <v>392000</v>
      </c>
      <c r="D119" s="450"/>
      <c r="E119" s="459">
        <f>+'ต.ค.-ธ.ค.'!E120+'ม.ค.-มี.ค.'!E119+'เม.ย.-มิ.ย.'!E119</f>
        <v>0</v>
      </c>
      <c r="F119" s="459">
        <f>+'ต.ค.-ธ.ค.'!F120+'ม.ค.-มี.ค.'!F119+'เม.ย.-มิ.ย.'!F119</f>
        <v>0</v>
      </c>
      <c r="G119" s="459">
        <f>+'ต.ค.-ธ.ค.'!G120+'ม.ค.-มี.ค.'!G119+'เม.ย.-มิ.ย.'!G119</f>
        <v>0</v>
      </c>
      <c r="H119" s="459">
        <f>+'ต.ค.-ธ.ค.'!H120+'ม.ค.-มี.ค.'!H119+'เม.ย.-มิ.ย.'!H119</f>
        <v>0</v>
      </c>
      <c r="I119" s="459">
        <f>+'ต.ค.-ธ.ค.'!I120+'ม.ค.-มี.ค.'!I119+'เม.ย.-มิ.ย.'!I119</f>
        <v>291200</v>
      </c>
      <c r="J119" s="459">
        <f>+'ต.ค.-ธ.ค.'!J120+'ม.ค.-มี.ค.'!J119+'เม.ย.-มิ.ย.'!J119</f>
        <v>0</v>
      </c>
      <c r="K119" s="459">
        <f>+'ต.ค.-ธ.ค.'!K120+'ม.ค.-มี.ค.'!K119+'เม.ย.-มิ.ย.'!K119</f>
        <v>0</v>
      </c>
      <c r="L119" s="459">
        <f>+'ต.ค.-ธ.ค.'!L120+'ม.ค.-มี.ค.'!L119+'เม.ย.-มิ.ย.'!L119</f>
        <v>0</v>
      </c>
      <c r="M119" s="459">
        <f>+'ต.ค.-ธ.ค.'!M120+'ม.ค.-มี.ค.'!M119+'เม.ย.-มิ.ย.'!M119</f>
        <v>0</v>
      </c>
      <c r="N119" s="459">
        <f>+'ต.ค.-ธ.ค.'!N120+'ม.ค.-มี.ค.'!N119+'เม.ย.-มิ.ย.'!N119</f>
        <v>0</v>
      </c>
      <c r="O119" s="459">
        <f>+'ต.ค.-ธ.ค.'!O120+'ม.ค.-มี.ค.'!O119+'เม.ย.-มิ.ย.'!O119</f>
        <v>0</v>
      </c>
      <c r="P119" s="459">
        <f>+'ต.ค.-ธ.ค.'!P120+'ม.ค.-มี.ค.'!P119+'เม.ย.-มิ.ย.'!P119</f>
        <v>0</v>
      </c>
      <c r="Q119" s="459">
        <f>+'ต.ค.-ธ.ค.'!Q120+'ม.ค.-มี.ค.'!Q119+'เม.ย.-มิ.ย.'!Q119</f>
        <v>0</v>
      </c>
      <c r="R119" s="459">
        <f>+'ต.ค.-ธ.ค.'!R120+'ม.ค.-มี.ค.'!R119+'เม.ย.-มิ.ย.'!R119</f>
        <v>0</v>
      </c>
      <c r="S119" s="459">
        <f>+'ต.ค.-ธ.ค.'!S120+'ม.ค.-มี.ค.'!S119+'เม.ย.-มิ.ย.'!S119</f>
        <v>0</v>
      </c>
      <c r="T119" s="459">
        <f>+'ต.ค.-ธ.ค.'!U120+'ม.ค.-มี.ค.'!U119+'เม.ย.-มิ.ย.'!U119</f>
        <v>0</v>
      </c>
      <c r="U119" s="459">
        <f>+'ต.ค.-ธ.ค.'!V120+'ม.ค.-มี.ค.'!V119+'เม.ย.-มิ.ย.'!V119</f>
        <v>0</v>
      </c>
      <c r="W119"/>
    </row>
    <row r="120" spans="1:23" s="310" customFormat="1" ht="29.25" customHeight="1">
      <c r="A120" s="61"/>
      <c r="B120" s="388" t="s">
        <v>263</v>
      </c>
      <c r="C120" s="419">
        <v>200900</v>
      </c>
      <c r="D120" s="450"/>
      <c r="E120" s="459">
        <f>+'ต.ค.-ธ.ค.'!E121+'ม.ค.-มี.ค.'!E120+'เม.ย.-มิ.ย.'!E120</f>
        <v>0</v>
      </c>
      <c r="F120" s="459">
        <f>+'ต.ค.-ธ.ค.'!F121+'ม.ค.-มี.ค.'!F120+'เม.ย.-มิ.ย.'!F120</f>
        <v>0</v>
      </c>
      <c r="G120" s="459">
        <f>+'ต.ค.-ธ.ค.'!G121+'ม.ค.-มี.ค.'!G120+'เม.ย.-มิ.ย.'!G120</f>
        <v>0</v>
      </c>
      <c r="H120" s="459">
        <f>+'ต.ค.-ธ.ค.'!H121+'ม.ค.-มี.ค.'!H120+'เม.ย.-มิ.ย.'!H120</f>
        <v>0</v>
      </c>
      <c r="I120" s="459">
        <f>+'ต.ค.-ธ.ค.'!I121+'ม.ค.-มี.ค.'!I120+'เม.ย.-มิ.ย.'!I120</f>
        <v>155400</v>
      </c>
      <c r="J120" s="459">
        <f>+'ต.ค.-ธ.ค.'!J121+'ม.ค.-มี.ค.'!J120+'เม.ย.-มิ.ย.'!J120</f>
        <v>0</v>
      </c>
      <c r="K120" s="459">
        <f>+'ต.ค.-ธ.ค.'!K121+'ม.ค.-มี.ค.'!K120+'เม.ย.-มิ.ย.'!K120</f>
        <v>0</v>
      </c>
      <c r="L120" s="459">
        <f>+'ต.ค.-ธ.ค.'!L121+'ม.ค.-มี.ค.'!L120+'เม.ย.-มิ.ย.'!L120</f>
        <v>0</v>
      </c>
      <c r="M120" s="459">
        <f>+'ต.ค.-ธ.ค.'!M121+'ม.ค.-มี.ค.'!M120+'เม.ย.-มิ.ย.'!M120</f>
        <v>0</v>
      </c>
      <c r="N120" s="459">
        <f>+'ต.ค.-ธ.ค.'!N121+'ม.ค.-มี.ค.'!N120+'เม.ย.-มิ.ย.'!N120</f>
        <v>0</v>
      </c>
      <c r="O120" s="459">
        <f>+'ต.ค.-ธ.ค.'!O121+'ม.ค.-มี.ค.'!O120+'เม.ย.-มิ.ย.'!O120</f>
        <v>0</v>
      </c>
      <c r="P120" s="459">
        <f>+'ต.ค.-ธ.ค.'!P121+'ม.ค.-มี.ค.'!P120+'เม.ย.-มิ.ย.'!P120</f>
        <v>0</v>
      </c>
      <c r="Q120" s="459">
        <f>+'ต.ค.-ธ.ค.'!Q121+'ม.ค.-มี.ค.'!Q120+'เม.ย.-มิ.ย.'!Q120</f>
        <v>0</v>
      </c>
      <c r="R120" s="459">
        <f>+'ต.ค.-ธ.ค.'!R121+'ม.ค.-มี.ค.'!R120+'เม.ย.-มิ.ย.'!R120</f>
        <v>0</v>
      </c>
      <c r="S120" s="459">
        <f>+'ต.ค.-ธ.ค.'!S121+'ม.ค.-มี.ค.'!S120+'เม.ย.-มิ.ย.'!S120</f>
        <v>0</v>
      </c>
      <c r="T120" s="459">
        <f>+'ต.ค.-ธ.ค.'!U121+'ม.ค.-มี.ค.'!U120+'เม.ย.-มิ.ย.'!U120</f>
        <v>0</v>
      </c>
      <c r="U120" s="459">
        <f>+'ต.ค.-ธ.ค.'!V121+'ม.ค.-มี.ค.'!V120+'เม.ย.-มิ.ย.'!V120</f>
        <v>0</v>
      </c>
      <c r="W120"/>
    </row>
    <row r="121" spans="1:23" s="310" customFormat="1" ht="29.25" customHeight="1">
      <c r="A121" s="61"/>
      <c r="B121" s="388" t="s">
        <v>315</v>
      </c>
      <c r="C121" s="419">
        <v>230300</v>
      </c>
      <c r="D121" s="450"/>
      <c r="E121" s="459">
        <f>+'ต.ค.-ธ.ค.'!E122+'ม.ค.-มี.ค.'!E121+'เม.ย.-มิ.ย.'!E121</f>
        <v>0</v>
      </c>
      <c r="F121" s="459">
        <f>+'ต.ค.-ธ.ค.'!F122+'ม.ค.-มี.ค.'!F121+'เม.ย.-มิ.ย.'!F121</f>
        <v>0</v>
      </c>
      <c r="G121" s="459">
        <f>+'ต.ค.-ธ.ค.'!G122+'ม.ค.-มี.ค.'!G121+'เม.ย.-มิ.ย.'!G121</f>
        <v>0</v>
      </c>
      <c r="H121" s="459">
        <f>+'ต.ค.-ธ.ค.'!H122+'ม.ค.-มี.ค.'!H121+'เม.ย.-มิ.ย.'!H121</f>
        <v>0</v>
      </c>
      <c r="I121" s="459">
        <f>+'ต.ค.-ธ.ค.'!I122+'ม.ค.-มี.ค.'!I121+'เม.ย.-มิ.ย.'!I121</f>
        <v>170200</v>
      </c>
      <c r="J121" s="459">
        <f>+'ต.ค.-ธ.ค.'!J122+'ม.ค.-มี.ค.'!J121+'เม.ย.-มิ.ย.'!J121</f>
        <v>0</v>
      </c>
      <c r="K121" s="459">
        <f>+'ต.ค.-ธ.ค.'!K122+'ม.ค.-มี.ค.'!K121+'เม.ย.-มิ.ย.'!K121</f>
        <v>0</v>
      </c>
      <c r="L121" s="459">
        <f>+'ต.ค.-ธ.ค.'!L122+'ม.ค.-มี.ค.'!L121+'เม.ย.-มิ.ย.'!L121</f>
        <v>0</v>
      </c>
      <c r="M121" s="459">
        <f>+'ต.ค.-ธ.ค.'!M122+'ม.ค.-มี.ค.'!M121+'เม.ย.-มิ.ย.'!M121</f>
        <v>0</v>
      </c>
      <c r="N121" s="459">
        <f>+'ต.ค.-ธ.ค.'!N122+'ม.ค.-มี.ค.'!N121+'เม.ย.-มิ.ย.'!N121</f>
        <v>0</v>
      </c>
      <c r="O121" s="459">
        <f>+'ต.ค.-ธ.ค.'!O122+'ม.ค.-มี.ค.'!O121+'เม.ย.-มิ.ย.'!O121</f>
        <v>0</v>
      </c>
      <c r="P121" s="459">
        <f>+'ต.ค.-ธ.ค.'!P122+'ม.ค.-มี.ค.'!P121+'เม.ย.-มิ.ย.'!P121</f>
        <v>0</v>
      </c>
      <c r="Q121" s="459">
        <f>+'ต.ค.-ธ.ค.'!Q122+'ม.ค.-มี.ค.'!Q121+'เม.ย.-มิ.ย.'!Q121</f>
        <v>0</v>
      </c>
      <c r="R121" s="459">
        <f>+'ต.ค.-ธ.ค.'!R122+'ม.ค.-มี.ค.'!R121+'เม.ย.-มิ.ย.'!R121</f>
        <v>0</v>
      </c>
      <c r="S121" s="459">
        <f>+'ต.ค.-ธ.ค.'!S122+'ม.ค.-มี.ค.'!S121+'เม.ย.-มิ.ย.'!S121</f>
        <v>0</v>
      </c>
      <c r="T121" s="459">
        <f>+'ต.ค.-ธ.ค.'!U122+'ม.ค.-มี.ค.'!U121+'เม.ย.-มิ.ย.'!U121</f>
        <v>0</v>
      </c>
      <c r="U121" s="459">
        <f>+'ต.ค.-ธ.ค.'!V122+'ม.ค.-มี.ค.'!V121+'เม.ย.-มิ.ย.'!V121</f>
        <v>0</v>
      </c>
      <c r="W121"/>
    </row>
    <row r="122" spans="1:23" s="310" customFormat="1" ht="29.25" customHeight="1">
      <c r="A122" s="61"/>
      <c r="B122" s="388" t="s">
        <v>212</v>
      </c>
      <c r="C122" s="419">
        <v>171500</v>
      </c>
      <c r="D122" s="450"/>
      <c r="E122" s="459">
        <f>+'ต.ค.-ธ.ค.'!E123+'ม.ค.-มี.ค.'!E122+'เม.ย.-มิ.ย.'!E122</f>
        <v>0</v>
      </c>
      <c r="F122" s="459">
        <f>+'ต.ค.-ธ.ค.'!F123+'ม.ค.-มี.ค.'!F122+'เม.ย.-มิ.ย.'!F122</f>
        <v>0</v>
      </c>
      <c r="G122" s="459">
        <f>+'ต.ค.-ธ.ค.'!G123+'ม.ค.-มี.ค.'!G122+'เม.ย.-มิ.ย.'!G122</f>
        <v>0</v>
      </c>
      <c r="H122" s="459">
        <f>+'ต.ค.-ธ.ค.'!H123+'ม.ค.-มี.ค.'!H122+'เม.ย.-มิ.ย.'!H122</f>
        <v>0</v>
      </c>
      <c r="I122" s="459">
        <f>+'ต.ค.-ธ.ค.'!I123+'ม.ค.-มี.ค.'!I122+'เม.ย.-มิ.ย.'!I122</f>
        <v>131900</v>
      </c>
      <c r="J122" s="459">
        <f>+'ต.ค.-ธ.ค.'!J123+'ม.ค.-มี.ค.'!J122+'เม.ย.-มิ.ย.'!J122</f>
        <v>0</v>
      </c>
      <c r="K122" s="459">
        <f>+'ต.ค.-ธ.ค.'!K123+'ม.ค.-มี.ค.'!K122+'เม.ย.-มิ.ย.'!K122</f>
        <v>0</v>
      </c>
      <c r="L122" s="459">
        <f>+'ต.ค.-ธ.ค.'!L123+'ม.ค.-มี.ค.'!L122+'เม.ย.-มิ.ย.'!L122</f>
        <v>0</v>
      </c>
      <c r="M122" s="459">
        <f>+'ต.ค.-ธ.ค.'!M123+'ม.ค.-มี.ค.'!M122+'เม.ย.-มิ.ย.'!M122</f>
        <v>0</v>
      </c>
      <c r="N122" s="459">
        <f>+'ต.ค.-ธ.ค.'!N123+'ม.ค.-มี.ค.'!N122+'เม.ย.-มิ.ย.'!N122</f>
        <v>0</v>
      </c>
      <c r="O122" s="459">
        <f>+'ต.ค.-ธ.ค.'!O123+'ม.ค.-มี.ค.'!O122+'เม.ย.-มิ.ย.'!O122</f>
        <v>0</v>
      </c>
      <c r="P122" s="459">
        <f>+'ต.ค.-ธ.ค.'!P123+'ม.ค.-มี.ค.'!P122+'เม.ย.-มิ.ย.'!P122</f>
        <v>0</v>
      </c>
      <c r="Q122" s="459">
        <f>+'ต.ค.-ธ.ค.'!Q123+'ม.ค.-มี.ค.'!Q122+'เม.ย.-มิ.ย.'!Q122</f>
        <v>0</v>
      </c>
      <c r="R122" s="459">
        <f>+'ต.ค.-ธ.ค.'!R123+'ม.ค.-มี.ค.'!R122+'เม.ย.-มิ.ย.'!R122</f>
        <v>0</v>
      </c>
      <c r="S122" s="459">
        <f>+'ต.ค.-ธ.ค.'!S123+'ม.ค.-มี.ค.'!S122+'เม.ย.-มิ.ย.'!S122</f>
        <v>0</v>
      </c>
      <c r="T122" s="459">
        <f>+'ต.ค.-ธ.ค.'!U123+'ม.ค.-มี.ค.'!U122+'เม.ย.-มิ.ย.'!U122</f>
        <v>0</v>
      </c>
      <c r="U122" s="459">
        <f>+'ต.ค.-ธ.ค.'!V123+'ม.ค.-มี.ค.'!V122+'เม.ย.-มิ.ย.'!V122</f>
        <v>0</v>
      </c>
      <c r="W122"/>
    </row>
    <row r="123" spans="1:23" s="310" customFormat="1" ht="29.25" customHeight="1">
      <c r="A123" s="61"/>
      <c r="B123" s="388" t="s">
        <v>140</v>
      </c>
      <c r="C123" s="419">
        <v>50000</v>
      </c>
      <c r="D123" s="450"/>
      <c r="E123" s="459">
        <f>+'ต.ค.-ธ.ค.'!E124+'ม.ค.-มี.ค.'!E123+'เม.ย.-มิ.ย.'!E123</f>
        <v>0</v>
      </c>
      <c r="F123" s="459">
        <f>+'ต.ค.-ธ.ค.'!F124+'ม.ค.-มี.ค.'!F123+'เม.ย.-มิ.ย.'!F123</f>
        <v>0</v>
      </c>
      <c r="G123" s="459">
        <f>+'ต.ค.-ธ.ค.'!G124+'ม.ค.-มี.ค.'!G123+'เม.ย.-มิ.ย.'!G123</f>
        <v>0</v>
      </c>
      <c r="H123" s="459">
        <f>+'ต.ค.-ธ.ค.'!H124+'ม.ค.-มี.ค.'!H123+'เม.ย.-มิ.ย.'!H123</f>
        <v>0</v>
      </c>
      <c r="I123" s="459">
        <f>+'ต.ค.-ธ.ค.'!I124+'ม.ค.-มี.ค.'!I123+'เม.ย.-มิ.ย.'!I123</f>
        <v>0</v>
      </c>
      <c r="J123" s="459">
        <f>+'ต.ค.-ธ.ค.'!J124+'ม.ค.-มี.ค.'!J123+'เม.ย.-มิ.ย.'!J123</f>
        <v>49995</v>
      </c>
      <c r="K123" s="459">
        <f>+'ต.ค.-ธ.ค.'!K124+'ม.ค.-มี.ค.'!K123+'เม.ย.-มิ.ย.'!K123</f>
        <v>0</v>
      </c>
      <c r="L123" s="459">
        <f>+'ต.ค.-ธ.ค.'!L124+'ม.ค.-มี.ค.'!L123+'เม.ย.-มิ.ย.'!L123</f>
        <v>0</v>
      </c>
      <c r="M123" s="459">
        <f>+'ต.ค.-ธ.ค.'!M124+'ม.ค.-มี.ค.'!M123+'เม.ย.-มิ.ย.'!M123</f>
        <v>0</v>
      </c>
      <c r="N123" s="459">
        <f>+'ต.ค.-ธ.ค.'!N124+'ม.ค.-มี.ค.'!N123+'เม.ย.-มิ.ย.'!N123</f>
        <v>0</v>
      </c>
      <c r="O123" s="459">
        <f>+'ต.ค.-ธ.ค.'!O124+'ม.ค.-มี.ค.'!O123+'เม.ย.-มิ.ย.'!O123</f>
        <v>0</v>
      </c>
      <c r="P123" s="459">
        <f>+'ต.ค.-ธ.ค.'!P124+'ม.ค.-มี.ค.'!P123+'เม.ย.-มิ.ย.'!P123</f>
        <v>0</v>
      </c>
      <c r="Q123" s="459">
        <f>+'ต.ค.-ธ.ค.'!Q124+'ม.ค.-มี.ค.'!Q123+'เม.ย.-มิ.ย.'!Q123</f>
        <v>0</v>
      </c>
      <c r="R123" s="459">
        <f>+'ต.ค.-ธ.ค.'!R124+'ม.ค.-มี.ค.'!R123+'เม.ย.-มิ.ย.'!R123</f>
        <v>0</v>
      </c>
      <c r="S123" s="459">
        <f>+'ต.ค.-ธ.ค.'!S124+'ม.ค.-มี.ค.'!S123+'เม.ย.-มิ.ย.'!S123</f>
        <v>0</v>
      </c>
      <c r="T123" s="459">
        <f>+'ต.ค.-ธ.ค.'!U124+'ม.ค.-มี.ค.'!U123+'เม.ย.-มิ.ย.'!U123</f>
        <v>0</v>
      </c>
      <c r="U123" s="459">
        <f>+'ต.ค.-ธ.ค.'!V124+'ม.ค.-มี.ค.'!V123+'เม.ย.-มิ.ย.'!V123</f>
        <v>0</v>
      </c>
      <c r="W123"/>
    </row>
    <row r="124" spans="1:23" s="310" customFormat="1" ht="29.25" customHeight="1">
      <c r="A124" s="61"/>
      <c r="B124" s="388" t="s">
        <v>206</v>
      </c>
      <c r="C124" s="419">
        <v>20000</v>
      </c>
      <c r="D124" s="450"/>
      <c r="E124" s="459">
        <f>+'ต.ค.-ธ.ค.'!E125+'ม.ค.-มี.ค.'!E124+'เม.ย.-มิ.ย.'!E124</f>
        <v>0</v>
      </c>
      <c r="F124" s="459">
        <f>+'ต.ค.-ธ.ค.'!F125+'ม.ค.-มี.ค.'!F124+'เม.ย.-มิ.ย.'!F124</f>
        <v>0</v>
      </c>
      <c r="G124" s="459">
        <f>+'ต.ค.-ธ.ค.'!G125+'ม.ค.-มี.ค.'!G124+'เม.ย.-มิ.ย.'!G124</f>
        <v>0</v>
      </c>
      <c r="H124" s="459">
        <f>+'ต.ค.-ธ.ค.'!H125+'ม.ค.-มี.ค.'!H124+'เม.ย.-มิ.ย.'!H124</f>
        <v>0</v>
      </c>
      <c r="I124" s="459">
        <f>+'ต.ค.-ธ.ค.'!I125+'ม.ค.-มี.ค.'!I124+'เม.ย.-มิ.ย.'!I124</f>
        <v>0</v>
      </c>
      <c r="J124" s="459">
        <f>+'ต.ค.-ธ.ค.'!J125+'ม.ค.-มี.ค.'!J124+'เม.ย.-มิ.ย.'!J124</f>
        <v>0</v>
      </c>
      <c r="K124" s="459">
        <f>+'ต.ค.-ธ.ค.'!K125+'ม.ค.-มี.ค.'!K124+'เม.ย.-มิ.ย.'!K124</f>
        <v>0</v>
      </c>
      <c r="L124" s="459">
        <f>+'ต.ค.-ธ.ค.'!L125+'ม.ค.-มี.ค.'!L124+'เม.ย.-มิ.ย.'!L124</f>
        <v>0</v>
      </c>
      <c r="M124" s="459">
        <f>+'ต.ค.-ธ.ค.'!M125+'ม.ค.-มี.ค.'!M124+'เม.ย.-มิ.ย.'!M124</f>
        <v>0</v>
      </c>
      <c r="N124" s="459">
        <f>+'ต.ค.-ธ.ค.'!N125+'ม.ค.-มี.ค.'!N124+'เม.ย.-มิ.ย.'!N124</f>
        <v>0</v>
      </c>
      <c r="O124" s="459">
        <f>+'ต.ค.-ธ.ค.'!O125+'ม.ค.-มี.ค.'!O124+'เม.ย.-มิ.ย.'!O124</f>
        <v>0</v>
      </c>
      <c r="P124" s="459">
        <f>+'ต.ค.-ธ.ค.'!P125+'ม.ค.-มี.ค.'!P124+'เม.ย.-มิ.ย.'!P124</f>
        <v>0</v>
      </c>
      <c r="Q124" s="459">
        <f>+'ต.ค.-ธ.ค.'!Q125+'ม.ค.-มี.ค.'!Q124+'เม.ย.-มิ.ย.'!Q124</f>
        <v>0</v>
      </c>
      <c r="R124" s="459">
        <f>+'ต.ค.-ธ.ค.'!R125+'ม.ค.-มี.ค.'!R124+'เม.ย.-มิ.ย.'!R124</f>
        <v>0</v>
      </c>
      <c r="S124" s="459">
        <f>+'ต.ค.-ธ.ค.'!S125+'ม.ค.-มี.ค.'!S124+'เม.ย.-มิ.ย.'!S124</f>
        <v>0</v>
      </c>
      <c r="T124" s="459">
        <f>+'ต.ค.-ธ.ค.'!U125+'ม.ค.-มี.ค.'!U124+'เม.ย.-มิ.ย.'!U124</f>
        <v>0</v>
      </c>
      <c r="U124" s="459">
        <f>+'ต.ค.-ธ.ค.'!V125+'ม.ค.-มี.ค.'!V124+'เม.ย.-มิ.ย.'!V124</f>
        <v>0</v>
      </c>
      <c r="W124"/>
    </row>
    <row r="125" spans="1:23" s="310" customFormat="1" ht="29.25" customHeight="1">
      <c r="A125" s="61"/>
      <c r="B125" s="388" t="s">
        <v>326</v>
      </c>
      <c r="C125" s="419">
        <v>5000</v>
      </c>
      <c r="D125" s="450"/>
      <c r="E125" s="459">
        <f>+'ต.ค.-ธ.ค.'!E126+'ม.ค.-มี.ค.'!E125+'เม.ย.-มิ.ย.'!E125</f>
        <v>0</v>
      </c>
      <c r="F125" s="459">
        <f>+'ต.ค.-ธ.ค.'!F126+'ม.ค.-มี.ค.'!F125+'เม.ย.-มิ.ย.'!F125</f>
        <v>0</v>
      </c>
      <c r="G125" s="459">
        <f>+'ต.ค.-ธ.ค.'!G126+'ม.ค.-มี.ค.'!G125+'เม.ย.-มิ.ย.'!G125</f>
        <v>0</v>
      </c>
      <c r="H125" s="459">
        <f>+'ต.ค.-ธ.ค.'!H126+'ม.ค.-มี.ค.'!H125+'เม.ย.-มิ.ย.'!H125</f>
        <v>0</v>
      </c>
      <c r="I125" s="459">
        <f>+'ต.ค.-ธ.ค.'!I126+'ม.ค.-มี.ค.'!I125+'เม.ย.-มิ.ย.'!I125</f>
        <v>0</v>
      </c>
      <c r="J125" s="459">
        <f>+'ต.ค.-ธ.ค.'!J126+'ม.ค.-มี.ค.'!J125+'เม.ย.-มิ.ย.'!J125</f>
        <v>0</v>
      </c>
      <c r="K125" s="459">
        <f>+'ต.ค.-ธ.ค.'!K126+'ม.ค.-มี.ค.'!K125+'เม.ย.-มิ.ย.'!K125</f>
        <v>0</v>
      </c>
      <c r="L125" s="459">
        <f>+'ต.ค.-ธ.ค.'!L126+'ม.ค.-มี.ค.'!L125+'เม.ย.-มิ.ย.'!L125</f>
        <v>0</v>
      </c>
      <c r="M125" s="459">
        <f>+'ต.ค.-ธ.ค.'!M126+'ม.ค.-มี.ค.'!M125+'เม.ย.-มิ.ย.'!M125</f>
        <v>0</v>
      </c>
      <c r="N125" s="459">
        <f>+'ต.ค.-ธ.ค.'!N126+'ม.ค.-มี.ค.'!N125+'เม.ย.-มิ.ย.'!N125</f>
        <v>0</v>
      </c>
      <c r="O125" s="459">
        <f>+'ต.ค.-ธ.ค.'!O126+'ม.ค.-มี.ค.'!O125+'เม.ย.-มิ.ย.'!O125</f>
        <v>0</v>
      </c>
      <c r="P125" s="459">
        <f>+'ต.ค.-ธ.ค.'!P126+'ม.ค.-มี.ค.'!P125+'เม.ย.-มิ.ย.'!P125</f>
        <v>0</v>
      </c>
      <c r="Q125" s="459">
        <f>+'ต.ค.-ธ.ค.'!Q126+'ม.ค.-มี.ค.'!Q125+'เม.ย.-มิ.ย.'!Q125</f>
        <v>0</v>
      </c>
      <c r="R125" s="459">
        <f>+'ต.ค.-ธ.ค.'!R126+'ม.ค.-มี.ค.'!R125+'เม.ย.-มิ.ย.'!R125</f>
        <v>0</v>
      </c>
      <c r="S125" s="459">
        <f>+'ต.ค.-ธ.ค.'!S126+'ม.ค.-มี.ค.'!S125+'เม.ย.-มิ.ย.'!S125</f>
        <v>0</v>
      </c>
      <c r="T125" s="459">
        <f>+'ต.ค.-ธ.ค.'!U126+'ม.ค.-มี.ค.'!U125+'เม.ย.-มิ.ย.'!U125</f>
        <v>0</v>
      </c>
      <c r="U125" s="459">
        <f>+'ต.ค.-ธ.ค.'!V126+'ม.ค.-มี.ค.'!V125+'เม.ย.-มิ.ย.'!V125</f>
        <v>0</v>
      </c>
      <c r="W125"/>
    </row>
    <row r="126" spans="1:23" s="310" customFormat="1" ht="29.25" customHeight="1">
      <c r="A126" s="61"/>
      <c r="B126" s="388" t="s">
        <v>327</v>
      </c>
      <c r="C126" s="419">
        <v>5000</v>
      </c>
      <c r="D126" s="450"/>
      <c r="E126" s="459">
        <f>+'ต.ค.-ธ.ค.'!E127+'ม.ค.-มี.ค.'!E126+'เม.ย.-มิ.ย.'!E126</f>
        <v>0</v>
      </c>
      <c r="F126" s="459">
        <f>+'ต.ค.-ธ.ค.'!F127+'ม.ค.-มี.ค.'!F126+'เม.ย.-มิ.ย.'!F126</f>
        <v>0</v>
      </c>
      <c r="G126" s="459">
        <f>+'ต.ค.-ธ.ค.'!G127+'ม.ค.-มี.ค.'!G126+'เม.ย.-มิ.ย.'!G126</f>
        <v>0</v>
      </c>
      <c r="H126" s="459">
        <f>+'ต.ค.-ธ.ค.'!H127+'ม.ค.-มี.ค.'!H126+'เม.ย.-มิ.ย.'!H126</f>
        <v>0</v>
      </c>
      <c r="I126" s="459">
        <f>+'ต.ค.-ธ.ค.'!I127+'ม.ค.-มี.ค.'!I126+'เม.ย.-มิ.ย.'!I126</f>
        <v>0</v>
      </c>
      <c r="J126" s="459">
        <f>+'ต.ค.-ธ.ค.'!J127+'ม.ค.-มี.ค.'!J126+'เม.ย.-มิ.ย.'!J126</f>
        <v>0</v>
      </c>
      <c r="K126" s="459">
        <f>+'ต.ค.-ธ.ค.'!K127+'ม.ค.-มี.ค.'!K126+'เม.ย.-มิ.ย.'!K126</f>
        <v>0</v>
      </c>
      <c r="L126" s="459">
        <f>+'ต.ค.-ธ.ค.'!L127+'ม.ค.-มี.ค.'!L126+'เม.ย.-มิ.ย.'!L126</f>
        <v>0</v>
      </c>
      <c r="M126" s="459">
        <f>+'ต.ค.-ธ.ค.'!M127+'ม.ค.-มี.ค.'!M126+'เม.ย.-มิ.ย.'!M126</f>
        <v>0</v>
      </c>
      <c r="N126" s="459">
        <f>+'ต.ค.-ธ.ค.'!N127+'ม.ค.-มี.ค.'!N126+'เม.ย.-มิ.ย.'!N126</f>
        <v>0</v>
      </c>
      <c r="O126" s="459">
        <f>+'ต.ค.-ธ.ค.'!O127+'ม.ค.-มี.ค.'!O126+'เม.ย.-มิ.ย.'!O126</f>
        <v>0</v>
      </c>
      <c r="P126" s="459">
        <f>+'ต.ค.-ธ.ค.'!P127+'ม.ค.-มี.ค.'!P126+'เม.ย.-มิ.ย.'!P126</f>
        <v>0</v>
      </c>
      <c r="Q126" s="459">
        <f>+'ต.ค.-ธ.ค.'!Q127+'ม.ค.-มี.ค.'!Q126+'เม.ย.-มิ.ย.'!Q126</f>
        <v>0</v>
      </c>
      <c r="R126" s="459">
        <f>+'ต.ค.-ธ.ค.'!R127+'ม.ค.-มี.ค.'!R126+'เม.ย.-มิ.ย.'!R126</f>
        <v>0</v>
      </c>
      <c r="S126" s="459">
        <f>+'ต.ค.-ธ.ค.'!S127+'ม.ค.-มี.ค.'!S126+'เม.ย.-มิ.ย.'!S126</f>
        <v>0</v>
      </c>
      <c r="T126" s="459">
        <f>+'ต.ค.-ธ.ค.'!U127+'ม.ค.-มี.ค.'!U126+'เม.ย.-มิ.ย.'!U126</f>
        <v>0</v>
      </c>
      <c r="U126" s="459">
        <f>+'ต.ค.-ธ.ค.'!V127+'ม.ค.-มี.ค.'!V126+'เม.ย.-มิ.ย.'!V126</f>
        <v>0</v>
      </c>
      <c r="W126"/>
    </row>
    <row r="127" spans="1:23" s="310" customFormat="1" ht="29.25" customHeight="1">
      <c r="A127" s="61"/>
      <c r="B127" s="388" t="s">
        <v>142</v>
      </c>
      <c r="C127" s="419">
        <v>20000</v>
      </c>
      <c r="D127" s="450"/>
      <c r="E127" s="459">
        <f>+'ต.ค.-ธ.ค.'!E128+'ม.ค.-มี.ค.'!E127+'เม.ย.-มิ.ย.'!E127</f>
        <v>0</v>
      </c>
      <c r="F127" s="459">
        <f>+'ต.ค.-ธ.ค.'!F128+'ม.ค.-มี.ค.'!F127+'เม.ย.-มิ.ย.'!F127</f>
        <v>0</v>
      </c>
      <c r="G127" s="459">
        <f>+'ต.ค.-ธ.ค.'!G128+'ม.ค.-มี.ค.'!G127+'เม.ย.-มิ.ย.'!G127</f>
        <v>0</v>
      </c>
      <c r="H127" s="459">
        <f>+'ต.ค.-ธ.ค.'!H128+'ม.ค.-มี.ค.'!H127+'เม.ย.-มิ.ย.'!H127</f>
        <v>0</v>
      </c>
      <c r="I127" s="459">
        <f>+'ต.ค.-ธ.ค.'!I128+'ม.ค.-มี.ค.'!I127+'เม.ย.-มิ.ย.'!I127</f>
        <v>0</v>
      </c>
      <c r="J127" s="459">
        <f>+'ต.ค.-ธ.ค.'!J128+'ม.ค.-มี.ค.'!J127+'เม.ย.-มิ.ย.'!J127</f>
        <v>0</v>
      </c>
      <c r="K127" s="459">
        <f>+'ต.ค.-ธ.ค.'!K128+'ม.ค.-มี.ค.'!K127+'เม.ย.-มิ.ย.'!K127</f>
        <v>0</v>
      </c>
      <c r="L127" s="459">
        <f>+'ต.ค.-ธ.ค.'!L128+'ม.ค.-มี.ค.'!L127+'เม.ย.-มิ.ย.'!L127</f>
        <v>0</v>
      </c>
      <c r="M127" s="459">
        <f>+'ต.ค.-ธ.ค.'!M128+'ม.ค.-มี.ค.'!M127+'เม.ย.-มิ.ย.'!M127</f>
        <v>0</v>
      </c>
      <c r="N127" s="459">
        <f>+'ต.ค.-ธ.ค.'!N128+'ม.ค.-มี.ค.'!N127+'เม.ย.-มิ.ย.'!N127</f>
        <v>0</v>
      </c>
      <c r="O127" s="459">
        <f>+'ต.ค.-ธ.ค.'!O128+'ม.ค.-มี.ค.'!O127+'เม.ย.-มิ.ย.'!O127</f>
        <v>0</v>
      </c>
      <c r="P127" s="459">
        <f>+'ต.ค.-ธ.ค.'!P128+'ม.ค.-มี.ค.'!P127+'เม.ย.-มิ.ย.'!P127</f>
        <v>0</v>
      </c>
      <c r="Q127" s="459">
        <f>+'ต.ค.-ธ.ค.'!Q128+'ม.ค.-มี.ค.'!Q127+'เม.ย.-มิ.ย.'!Q127</f>
        <v>0</v>
      </c>
      <c r="R127" s="459">
        <f>+'ต.ค.-ธ.ค.'!R128+'ม.ค.-มี.ค.'!R127+'เม.ย.-มิ.ย.'!R127</f>
        <v>0</v>
      </c>
      <c r="S127" s="459">
        <f>+'ต.ค.-ธ.ค.'!S128+'ม.ค.-มี.ค.'!S127+'เม.ย.-มิ.ย.'!S127</f>
        <v>0</v>
      </c>
      <c r="T127" s="459">
        <f>+'ต.ค.-ธ.ค.'!U128+'ม.ค.-มี.ค.'!U127+'เม.ย.-มิ.ย.'!U127</f>
        <v>0</v>
      </c>
      <c r="U127" s="459">
        <f>+'ต.ค.-ธ.ค.'!V128+'ม.ค.-มี.ค.'!V127+'เม.ย.-มิ.ย.'!V127</f>
        <v>0</v>
      </c>
      <c r="W127"/>
    </row>
    <row r="128" spans="1:23" s="310" customFormat="1" ht="29.25" customHeight="1">
      <c r="A128" s="61"/>
      <c r="B128" s="389" t="s">
        <v>328</v>
      </c>
      <c r="C128" s="419">
        <v>10000</v>
      </c>
      <c r="D128" s="450"/>
      <c r="E128" s="459">
        <f>+'ต.ค.-ธ.ค.'!E129+'ม.ค.-มี.ค.'!E128+'เม.ย.-มิ.ย.'!E128</f>
        <v>0</v>
      </c>
      <c r="F128" s="459">
        <f>+'ต.ค.-ธ.ค.'!F129+'ม.ค.-มี.ค.'!F128+'เม.ย.-มิ.ย.'!F128</f>
        <v>0</v>
      </c>
      <c r="G128" s="459">
        <f>+'ต.ค.-ธ.ค.'!G129+'ม.ค.-มี.ค.'!G128+'เม.ย.-มิ.ย.'!G128</f>
        <v>0</v>
      </c>
      <c r="H128" s="459">
        <f>+'ต.ค.-ธ.ค.'!H129+'ม.ค.-มี.ค.'!H128+'เม.ย.-มิ.ย.'!H128</f>
        <v>0</v>
      </c>
      <c r="I128" s="459">
        <f>+'ต.ค.-ธ.ค.'!I129+'ม.ค.-มี.ค.'!I128+'เม.ย.-มิ.ย.'!I128</f>
        <v>0</v>
      </c>
      <c r="J128" s="459">
        <f>+'ต.ค.-ธ.ค.'!J129+'ม.ค.-มี.ค.'!J128+'เม.ย.-มิ.ย.'!J128</f>
        <v>0</v>
      </c>
      <c r="K128" s="459">
        <f>+'ต.ค.-ธ.ค.'!K129+'ม.ค.-มี.ค.'!K128+'เม.ย.-มิ.ย.'!K128</f>
        <v>0</v>
      </c>
      <c r="L128" s="459">
        <f>+'ต.ค.-ธ.ค.'!L129+'ม.ค.-มี.ค.'!L128+'เม.ย.-มิ.ย.'!L128</f>
        <v>0</v>
      </c>
      <c r="M128" s="459">
        <f>+'ต.ค.-ธ.ค.'!M129+'ม.ค.-มี.ค.'!M128+'เม.ย.-มิ.ย.'!M128</f>
        <v>0</v>
      </c>
      <c r="N128" s="459">
        <f>+'ต.ค.-ธ.ค.'!N129+'ม.ค.-มี.ค.'!N128+'เม.ย.-มิ.ย.'!N128</f>
        <v>0</v>
      </c>
      <c r="O128" s="459">
        <f>+'ต.ค.-ธ.ค.'!O129+'ม.ค.-มี.ค.'!O128+'เม.ย.-มิ.ย.'!O128</f>
        <v>0</v>
      </c>
      <c r="P128" s="459">
        <f>+'ต.ค.-ธ.ค.'!P129+'ม.ค.-มี.ค.'!P128+'เม.ย.-มิ.ย.'!P128</f>
        <v>0</v>
      </c>
      <c r="Q128" s="459">
        <f>+'ต.ค.-ธ.ค.'!Q129+'ม.ค.-มี.ค.'!Q128+'เม.ย.-มิ.ย.'!Q128</f>
        <v>0</v>
      </c>
      <c r="R128" s="459">
        <f>+'ต.ค.-ธ.ค.'!R129+'ม.ค.-มี.ค.'!R128+'เม.ย.-มิ.ย.'!R128</f>
        <v>0</v>
      </c>
      <c r="S128" s="459">
        <f>+'ต.ค.-ธ.ค.'!S129+'ม.ค.-มี.ค.'!S128+'เม.ย.-มิ.ย.'!S128</f>
        <v>0</v>
      </c>
      <c r="T128" s="459">
        <f>+'ต.ค.-ธ.ค.'!U129+'ม.ค.-มี.ค.'!U128+'เม.ย.-มิ.ย.'!U128</f>
        <v>0</v>
      </c>
      <c r="U128" s="459">
        <f>+'ต.ค.-ธ.ค.'!V129+'ม.ค.-มี.ค.'!V128+'เม.ย.-มิ.ย.'!V128</f>
        <v>0</v>
      </c>
      <c r="W128"/>
    </row>
    <row r="129" spans="1:23" s="310" customFormat="1" ht="29.25" customHeight="1">
      <c r="A129" s="61"/>
      <c r="B129" s="389" t="s">
        <v>329</v>
      </c>
      <c r="C129" s="419">
        <v>10000</v>
      </c>
      <c r="D129" s="442"/>
      <c r="E129" s="459">
        <f>+'ต.ค.-ธ.ค.'!E130+'ม.ค.-มี.ค.'!E129+'เม.ย.-มิ.ย.'!E129</f>
        <v>0</v>
      </c>
      <c r="F129" s="459">
        <f>+'ต.ค.-ธ.ค.'!F130+'ม.ค.-มี.ค.'!F129+'เม.ย.-มิ.ย.'!F129</f>
        <v>0</v>
      </c>
      <c r="G129" s="459">
        <f>+'ต.ค.-ธ.ค.'!G130+'ม.ค.-มี.ค.'!G129+'เม.ย.-มิ.ย.'!G129</f>
        <v>0</v>
      </c>
      <c r="H129" s="459">
        <f>+'ต.ค.-ธ.ค.'!H130+'ม.ค.-มี.ค.'!H129+'เม.ย.-มิ.ย.'!H129</f>
        <v>0</v>
      </c>
      <c r="I129" s="459">
        <f>+'ต.ค.-ธ.ค.'!I130+'ม.ค.-มี.ค.'!I129+'เม.ย.-มิ.ย.'!I129</f>
        <v>0</v>
      </c>
      <c r="J129" s="459">
        <f>+'ต.ค.-ธ.ค.'!J130+'ม.ค.-มี.ค.'!J129+'เม.ย.-มิ.ย.'!J129</f>
        <v>0</v>
      </c>
      <c r="K129" s="459">
        <f>+'ต.ค.-ธ.ค.'!K130+'ม.ค.-มี.ค.'!K129+'เม.ย.-มิ.ย.'!K129</f>
        <v>0</v>
      </c>
      <c r="L129" s="459">
        <f>+'ต.ค.-ธ.ค.'!L130+'ม.ค.-มี.ค.'!L129+'เม.ย.-มิ.ย.'!L129</f>
        <v>0</v>
      </c>
      <c r="M129" s="459">
        <f>+'ต.ค.-ธ.ค.'!M130+'ม.ค.-มี.ค.'!M129+'เม.ย.-มิ.ย.'!M129</f>
        <v>0</v>
      </c>
      <c r="N129" s="459">
        <f>+'ต.ค.-ธ.ค.'!N130+'ม.ค.-มี.ค.'!N129+'เม.ย.-มิ.ย.'!N129</f>
        <v>0</v>
      </c>
      <c r="O129" s="459">
        <f>+'ต.ค.-ธ.ค.'!O130+'ม.ค.-มี.ค.'!O129+'เม.ย.-มิ.ย.'!O129</f>
        <v>0</v>
      </c>
      <c r="P129" s="459">
        <f>+'ต.ค.-ธ.ค.'!P130+'ม.ค.-มี.ค.'!P129+'เม.ย.-มิ.ย.'!P129</f>
        <v>0</v>
      </c>
      <c r="Q129" s="459">
        <f>+'ต.ค.-ธ.ค.'!Q130+'ม.ค.-มี.ค.'!Q129+'เม.ย.-มิ.ย.'!Q129</f>
        <v>0</v>
      </c>
      <c r="R129" s="459">
        <f>+'ต.ค.-ธ.ค.'!R130+'ม.ค.-มี.ค.'!R129+'เม.ย.-มิ.ย.'!R129</f>
        <v>0</v>
      </c>
      <c r="S129" s="459">
        <f>+'ต.ค.-ธ.ค.'!S130+'ม.ค.-มี.ค.'!S129+'เม.ย.-มิ.ย.'!S129</f>
        <v>0</v>
      </c>
      <c r="T129" s="459">
        <f>+'ต.ค.-ธ.ค.'!U130+'ม.ค.-มี.ค.'!U129+'เม.ย.-มิ.ย.'!U129</f>
        <v>0</v>
      </c>
      <c r="U129" s="459">
        <f>+'ต.ค.-ธ.ค.'!V130+'ม.ค.-มี.ค.'!V129+'เม.ย.-มิ.ย.'!V129</f>
        <v>0</v>
      </c>
      <c r="W129"/>
    </row>
    <row r="130" spans="1:23" s="310" customFormat="1" ht="29.25" customHeight="1">
      <c r="A130" s="61"/>
      <c r="B130" s="389" t="s">
        <v>330</v>
      </c>
      <c r="C130" s="419">
        <v>10000</v>
      </c>
      <c r="D130" s="450"/>
      <c r="E130" s="459">
        <f>+'ต.ค.-ธ.ค.'!E131+'ม.ค.-มี.ค.'!E130+'เม.ย.-มิ.ย.'!E130</f>
        <v>0</v>
      </c>
      <c r="F130" s="459">
        <f>+'ต.ค.-ธ.ค.'!F131+'ม.ค.-มี.ค.'!F130+'เม.ย.-มิ.ย.'!F130</f>
        <v>0</v>
      </c>
      <c r="G130" s="459">
        <f>+'ต.ค.-ธ.ค.'!G131+'ม.ค.-มี.ค.'!G130+'เม.ย.-มิ.ย.'!G130</f>
        <v>0</v>
      </c>
      <c r="H130" s="459">
        <f>+'ต.ค.-ธ.ค.'!H131+'ม.ค.-มี.ค.'!H130+'เม.ย.-มิ.ย.'!H130</f>
        <v>0</v>
      </c>
      <c r="I130" s="459">
        <f>+'ต.ค.-ธ.ค.'!I131+'ม.ค.-มี.ค.'!I130+'เม.ย.-มิ.ย.'!I130</f>
        <v>0</v>
      </c>
      <c r="J130" s="459">
        <f>+'ต.ค.-ธ.ค.'!J131+'ม.ค.-มี.ค.'!J130+'เม.ย.-มิ.ย.'!J130</f>
        <v>0</v>
      </c>
      <c r="K130" s="459">
        <f>+'ต.ค.-ธ.ค.'!K131+'ม.ค.-มี.ค.'!K130+'เม.ย.-มิ.ย.'!K130</f>
        <v>0</v>
      </c>
      <c r="L130" s="459">
        <f>+'ต.ค.-ธ.ค.'!L131+'ม.ค.-มี.ค.'!L130+'เม.ย.-มิ.ย.'!L130</f>
        <v>0</v>
      </c>
      <c r="M130" s="459">
        <f>+'ต.ค.-ธ.ค.'!M131+'ม.ค.-มี.ค.'!M130+'เม.ย.-มิ.ย.'!M130</f>
        <v>0</v>
      </c>
      <c r="N130" s="459">
        <f>+'ต.ค.-ธ.ค.'!N131+'ม.ค.-มี.ค.'!N130+'เม.ย.-มิ.ย.'!N130</f>
        <v>0</v>
      </c>
      <c r="O130" s="459">
        <f>+'ต.ค.-ธ.ค.'!O131+'ม.ค.-มี.ค.'!O130+'เม.ย.-มิ.ย.'!O130</f>
        <v>0</v>
      </c>
      <c r="P130" s="459">
        <f>+'ต.ค.-ธ.ค.'!P131+'ม.ค.-มี.ค.'!P130+'เม.ย.-มิ.ย.'!P130</f>
        <v>0</v>
      </c>
      <c r="Q130" s="459">
        <f>+'ต.ค.-ธ.ค.'!Q131+'ม.ค.-มี.ค.'!Q130+'เม.ย.-มิ.ย.'!Q130</f>
        <v>0</v>
      </c>
      <c r="R130" s="459">
        <f>+'ต.ค.-ธ.ค.'!R131+'ม.ค.-มี.ค.'!R130+'เม.ย.-มิ.ย.'!R130</f>
        <v>0</v>
      </c>
      <c r="S130" s="459">
        <f>+'ต.ค.-ธ.ค.'!S131+'ม.ค.-มี.ค.'!S130+'เม.ย.-มิ.ย.'!S130</f>
        <v>0</v>
      </c>
      <c r="T130" s="459">
        <f>+'ต.ค.-ธ.ค.'!U131+'ม.ค.-มี.ค.'!U130+'เม.ย.-มิ.ย.'!U130</f>
        <v>0</v>
      </c>
      <c r="U130" s="459">
        <f>+'ต.ค.-ธ.ค.'!V131+'ม.ค.-มี.ค.'!V130+'เม.ย.-มิ.ย.'!V130</f>
        <v>0</v>
      </c>
      <c r="W130"/>
    </row>
    <row r="131" spans="1:23" s="310" customFormat="1" ht="29.25" customHeight="1">
      <c r="A131" s="61"/>
      <c r="B131" s="389" t="s">
        <v>331</v>
      </c>
      <c r="C131" s="419">
        <f>10000-10000</f>
        <v>0</v>
      </c>
      <c r="D131" s="450"/>
      <c r="E131" s="459">
        <f>+'ต.ค.-ธ.ค.'!E132+'ม.ค.-มี.ค.'!E131+'เม.ย.-มิ.ย.'!E131</f>
        <v>0</v>
      </c>
      <c r="F131" s="459">
        <f>+'ต.ค.-ธ.ค.'!F132+'ม.ค.-มี.ค.'!F131+'เม.ย.-มิ.ย.'!F131</f>
        <v>0</v>
      </c>
      <c r="G131" s="459">
        <f>+'ต.ค.-ธ.ค.'!G132+'ม.ค.-มี.ค.'!G131+'เม.ย.-มิ.ย.'!G131</f>
        <v>0</v>
      </c>
      <c r="H131" s="459">
        <f>+'ต.ค.-ธ.ค.'!H132+'ม.ค.-มี.ค.'!H131+'เม.ย.-มิ.ย.'!H131</f>
        <v>0</v>
      </c>
      <c r="I131" s="459">
        <f>+'ต.ค.-ธ.ค.'!I132+'ม.ค.-มี.ค.'!I131+'เม.ย.-มิ.ย.'!I131</f>
        <v>0</v>
      </c>
      <c r="J131" s="459">
        <f>+'ต.ค.-ธ.ค.'!J132+'ม.ค.-มี.ค.'!J131+'เม.ย.-มิ.ย.'!J131</f>
        <v>0</v>
      </c>
      <c r="K131" s="459">
        <f>+'ต.ค.-ธ.ค.'!K132+'ม.ค.-มี.ค.'!K131+'เม.ย.-มิ.ย.'!K131</f>
        <v>0</v>
      </c>
      <c r="L131" s="459">
        <f>+'ต.ค.-ธ.ค.'!L132+'ม.ค.-มี.ค.'!L131+'เม.ย.-มิ.ย.'!L131</f>
        <v>0</v>
      </c>
      <c r="M131" s="459">
        <f>+'ต.ค.-ธ.ค.'!M132+'ม.ค.-มี.ค.'!M131+'เม.ย.-มิ.ย.'!M131</f>
        <v>0</v>
      </c>
      <c r="N131" s="459">
        <f>+'ต.ค.-ธ.ค.'!N132+'ม.ค.-มี.ค.'!N131+'เม.ย.-มิ.ย.'!N131</f>
        <v>0</v>
      </c>
      <c r="O131" s="459">
        <f>+'ต.ค.-ธ.ค.'!O132+'ม.ค.-มี.ค.'!O131+'เม.ย.-มิ.ย.'!O131</f>
        <v>0</v>
      </c>
      <c r="P131" s="459">
        <f>+'ต.ค.-ธ.ค.'!P132+'ม.ค.-มี.ค.'!P131+'เม.ย.-มิ.ย.'!P131</f>
        <v>0</v>
      </c>
      <c r="Q131" s="459">
        <f>+'ต.ค.-ธ.ค.'!Q132+'ม.ค.-มี.ค.'!Q131+'เม.ย.-มิ.ย.'!Q131</f>
        <v>0</v>
      </c>
      <c r="R131" s="459">
        <f>+'ต.ค.-ธ.ค.'!R132+'ม.ค.-มี.ค.'!R131+'เม.ย.-มิ.ย.'!R131</f>
        <v>0</v>
      </c>
      <c r="S131" s="459">
        <f>+'ต.ค.-ธ.ค.'!S132+'ม.ค.-มี.ค.'!S131+'เม.ย.-มิ.ย.'!S131</f>
        <v>0</v>
      </c>
      <c r="T131" s="459">
        <f>+'ต.ค.-ธ.ค.'!U132+'ม.ค.-มี.ค.'!U131+'เม.ย.-มิ.ย.'!U131</f>
        <v>0</v>
      </c>
      <c r="U131" s="459">
        <f>+'ต.ค.-ธ.ค.'!V132+'ม.ค.-มี.ค.'!V131+'เม.ย.-มิ.ย.'!V131</f>
        <v>0</v>
      </c>
      <c r="W131"/>
    </row>
    <row r="132" spans="1:23" s="310" customFormat="1" ht="29.25" customHeight="1">
      <c r="A132" s="61"/>
      <c r="B132" s="389" t="s">
        <v>333</v>
      </c>
      <c r="C132" s="419">
        <v>15000</v>
      </c>
      <c r="D132" s="450"/>
      <c r="E132" s="459">
        <f>+'ต.ค.-ธ.ค.'!E133+'ม.ค.-มี.ค.'!E132+'เม.ย.-มิ.ย.'!E132</f>
        <v>0</v>
      </c>
      <c r="F132" s="459">
        <f>+'ต.ค.-ธ.ค.'!F133+'ม.ค.-มี.ค.'!F132+'เม.ย.-มิ.ย.'!F132</f>
        <v>0</v>
      </c>
      <c r="G132" s="459">
        <f>+'ต.ค.-ธ.ค.'!G133+'ม.ค.-มี.ค.'!G132+'เม.ย.-มิ.ย.'!G132</f>
        <v>0</v>
      </c>
      <c r="H132" s="459">
        <f>+'ต.ค.-ธ.ค.'!H133+'ม.ค.-มี.ค.'!H132+'เม.ย.-มิ.ย.'!H132</f>
        <v>0</v>
      </c>
      <c r="I132" s="459">
        <f>+'ต.ค.-ธ.ค.'!I133+'ม.ค.-มี.ค.'!I132+'เม.ย.-มิ.ย.'!I132</f>
        <v>0</v>
      </c>
      <c r="J132" s="459">
        <f>+'ต.ค.-ธ.ค.'!J133+'ม.ค.-มี.ค.'!J132+'เม.ย.-มิ.ย.'!J132</f>
        <v>0</v>
      </c>
      <c r="K132" s="459">
        <f>+'ต.ค.-ธ.ค.'!K133+'ม.ค.-มี.ค.'!K132+'เม.ย.-มิ.ย.'!K132</f>
        <v>0</v>
      </c>
      <c r="L132" s="459">
        <f>+'ต.ค.-ธ.ค.'!L133+'ม.ค.-มี.ค.'!L132+'เม.ย.-มิ.ย.'!L132</f>
        <v>0</v>
      </c>
      <c r="M132" s="459">
        <f>+'ต.ค.-ธ.ค.'!M133+'ม.ค.-มี.ค.'!M132+'เม.ย.-มิ.ย.'!M132</f>
        <v>0</v>
      </c>
      <c r="N132" s="459">
        <f>+'ต.ค.-ธ.ค.'!N133+'ม.ค.-มี.ค.'!N132+'เม.ย.-มิ.ย.'!N132</f>
        <v>0</v>
      </c>
      <c r="O132" s="459">
        <f>+'ต.ค.-ธ.ค.'!O133+'ม.ค.-มี.ค.'!O132+'เม.ย.-มิ.ย.'!O132</f>
        <v>0</v>
      </c>
      <c r="P132" s="459">
        <f>+'ต.ค.-ธ.ค.'!P133+'ม.ค.-มี.ค.'!P132+'เม.ย.-มิ.ย.'!P132</f>
        <v>0</v>
      </c>
      <c r="Q132" s="459">
        <f>+'ต.ค.-ธ.ค.'!Q133+'ม.ค.-มี.ค.'!Q132+'เม.ย.-มิ.ย.'!Q132</f>
        <v>0</v>
      </c>
      <c r="R132" s="459">
        <f>+'ต.ค.-ธ.ค.'!R133+'ม.ค.-มี.ค.'!R132+'เม.ย.-มิ.ย.'!R132</f>
        <v>0</v>
      </c>
      <c r="S132" s="459">
        <f>+'ต.ค.-ธ.ค.'!S133+'ม.ค.-มี.ค.'!S132+'เม.ย.-มิ.ย.'!S132</f>
        <v>0</v>
      </c>
      <c r="T132" s="459">
        <f>+'ต.ค.-ธ.ค.'!U133+'ม.ค.-มี.ค.'!U132+'เม.ย.-มิ.ย.'!U132</f>
        <v>0</v>
      </c>
      <c r="U132" s="459">
        <f>+'ต.ค.-ธ.ค.'!V133+'ม.ค.-มี.ค.'!V132+'เม.ย.-มิ.ย.'!V132</f>
        <v>0</v>
      </c>
      <c r="W132"/>
    </row>
    <row r="133" spans="1:23" s="310" customFormat="1" ht="29.25" customHeight="1">
      <c r="A133" s="61"/>
      <c r="B133" s="389" t="s">
        <v>157</v>
      </c>
      <c r="C133" s="419">
        <f>10000+8000</f>
        <v>18000</v>
      </c>
      <c r="D133" s="450"/>
      <c r="E133" s="459">
        <f>+'ต.ค.-ธ.ค.'!E134+'ม.ค.-มี.ค.'!E133+'เม.ย.-มิ.ย.'!E133</f>
        <v>0</v>
      </c>
      <c r="F133" s="459">
        <f>+'ต.ค.-ธ.ค.'!F134+'ม.ค.-มี.ค.'!F133+'เม.ย.-มิ.ย.'!F133</f>
        <v>0</v>
      </c>
      <c r="G133" s="459">
        <f>+'ต.ค.-ธ.ค.'!G134+'ม.ค.-มี.ค.'!G133+'เม.ย.-มิ.ย.'!G133</f>
        <v>0</v>
      </c>
      <c r="H133" s="459">
        <f>+'ต.ค.-ธ.ค.'!H134+'ม.ค.-มี.ค.'!H133+'เม.ย.-มิ.ย.'!H133</f>
        <v>0</v>
      </c>
      <c r="I133" s="459">
        <f>+'ต.ค.-ธ.ค.'!I134+'ม.ค.-มี.ค.'!I133+'เม.ย.-มิ.ย.'!I133</f>
        <v>0</v>
      </c>
      <c r="J133" s="459">
        <f>+'ต.ค.-ธ.ค.'!J134+'ม.ค.-มี.ค.'!J133+'เม.ย.-มิ.ย.'!J133</f>
        <v>0</v>
      </c>
      <c r="K133" s="459">
        <f>+'ต.ค.-ธ.ค.'!K134+'ม.ค.-มี.ค.'!K133+'เม.ย.-มิ.ย.'!K133</f>
        <v>0</v>
      </c>
      <c r="L133" s="459">
        <f>+'ต.ค.-ธ.ค.'!L134+'ม.ค.-มี.ค.'!L133+'เม.ย.-มิ.ย.'!L133</f>
        <v>0</v>
      </c>
      <c r="M133" s="459">
        <f>+'ต.ค.-ธ.ค.'!M134+'ม.ค.-มี.ค.'!M133+'เม.ย.-มิ.ย.'!M133</f>
        <v>0</v>
      </c>
      <c r="N133" s="459">
        <f>+'ต.ค.-ธ.ค.'!N134+'ม.ค.-มี.ค.'!N133+'เม.ย.-มิ.ย.'!N133</f>
        <v>0</v>
      </c>
      <c r="O133" s="459">
        <f>+'ต.ค.-ธ.ค.'!O134+'ม.ค.-มี.ค.'!O133+'เม.ย.-มิ.ย.'!O133</f>
        <v>0</v>
      </c>
      <c r="P133" s="459">
        <f>+'ต.ค.-ธ.ค.'!P134+'ม.ค.-มี.ค.'!P133+'เม.ย.-มิ.ย.'!P133</f>
        <v>3600</v>
      </c>
      <c r="Q133" s="459">
        <f>+'ต.ค.-ธ.ค.'!Q134+'ม.ค.-มี.ค.'!Q133+'เม.ย.-มิ.ย.'!Q133</f>
        <v>0</v>
      </c>
      <c r="R133" s="459">
        <f>+'ต.ค.-ธ.ค.'!R134+'ม.ค.-มี.ค.'!R133+'เม.ย.-มิ.ย.'!R133</f>
        <v>0</v>
      </c>
      <c r="S133" s="459">
        <f>+'ต.ค.-ธ.ค.'!S134+'ม.ค.-มี.ค.'!S133+'เม.ย.-มิ.ย.'!S133</f>
        <v>0</v>
      </c>
      <c r="T133" s="459">
        <f>+'ต.ค.-ธ.ค.'!U134+'ม.ค.-มี.ค.'!U133+'เม.ย.-มิ.ย.'!U133</f>
        <v>0</v>
      </c>
      <c r="U133" s="459">
        <f>+'ต.ค.-ธ.ค.'!V134+'ม.ค.-มี.ค.'!V133+'เม.ย.-มิ.ย.'!V133</f>
        <v>0</v>
      </c>
      <c r="W133"/>
    </row>
    <row r="134" spans="1:23" s="310" customFormat="1" ht="29.25" customHeight="1">
      <c r="A134" s="61"/>
      <c r="B134" s="389" t="s">
        <v>158</v>
      </c>
      <c r="C134" s="419">
        <f>10000-8000</f>
        <v>2000</v>
      </c>
      <c r="D134" s="450"/>
      <c r="E134" s="459">
        <f>+'ต.ค.-ธ.ค.'!E135+'ม.ค.-มี.ค.'!E134+'เม.ย.-มิ.ย.'!E134</f>
        <v>0</v>
      </c>
      <c r="F134" s="459">
        <f>+'ต.ค.-ธ.ค.'!F135+'ม.ค.-มี.ค.'!F134+'เม.ย.-มิ.ย.'!F134</f>
        <v>0</v>
      </c>
      <c r="G134" s="459">
        <f>+'ต.ค.-ธ.ค.'!G135+'ม.ค.-มี.ค.'!G134+'เม.ย.-มิ.ย.'!G134</f>
        <v>0</v>
      </c>
      <c r="H134" s="459">
        <f>+'ต.ค.-ธ.ค.'!H135+'ม.ค.-มี.ค.'!H134+'เม.ย.-มิ.ย.'!H134</f>
        <v>0</v>
      </c>
      <c r="I134" s="459">
        <f>+'ต.ค.-ธ.ค.'!I135+'ม.ค.-มี.ค.'!I134+'เม.ย.-มิ.ย.'!I134</f>
        <v>0</v>
      </c>
      <c r="J134" s="459">
        <f>+'ต.ค.-ธ.ค.'!J135+'ม.ค.-มี.ค.'!J134+'เม.ย.-มิ.ย.'!J134</f>
        <v>0</v>
      </c>
      <c r="K134" s="459">
        <f>+'ต.ค.-ธ.ค.'!K135+'ม.ค.-มี.ค.'!K134+'เม.ย.-มิ.ย.'!K134</f>
        <v>0</v>
      </c>
      <c r="L134" s="459">
        <f>+'ต.ค.-ธ.ค.'!L135+'ม.ค.-มี.ค.'!L134+'เม.ย.-มิ.ย.'!L134</f>
        <v>0</v>
      </c>
      <c r="M134" s="459">
        <f>+'ต.ค.-ธ.ค.'!M135+'ม.ค.-มี.ค.'!M134+'เม.ย.-มิ.ย.'!M134</f>
        <v>0</v>
      </c>
      <c r="N134" s="459">
        <f>+'ต.ค.-ธ.ค.'!N135+'ม.ค.-มี.ค.'!N134+'เม.ย.-มิ.ย.'!N134</f>
        <v>0</v>
      </c>
      <c r="O134" s="459">
        <f>+'ต.ค.-ธ.ค.'!O135+'ม.ค.-มี.ค.'!O134+'เม.ย.-มิ.ย.'!O134</f>
        <v>0</v>
      </c>
      <c r="P134" s="459">
        <f>+'ต.ค.-ธ.ค.'!P135+'ม.ค.-มี.ค.'!P134+'เม.ย.-มิ.ย.'!P134</f>
        <v>0</v>
      </c>
      <c r="Q134" s="459">
        <f>+'ต.ค.-ธ.ค.'!Q135+'ม.ค.-มี.ค.'!Q134+'เม.ย.-มิ.ย.'!Q134</f>
        <v>0</v>
      </c>
      <c r="R134" s="459">
        <f>+'ต.ค.-ธ.ค.'!R135+'ม.ค.-มี.ค.'!R134+'เม.ย.-มิ.ย.'!R134</f>
        <v>0</v>
      </c>
      <c r="S134" s="459">
        <f>+'ต.ค.-ธ.ค.'!S135+'ม.ค.-มี.ค.'!S134+'เม.ย.-มิ.ย.'!S134</f>
        <v>0</v>
      </c>
      <c r="T134" s="459">
        <f>+'ต.ค.-ธ.ค.'!U135+'ม.ค.-มี.ค.'!U134+'เม.ย.-มิ.ย.'!U134</f>
        <v>0</v>
      </c>
      <c r="U134" s="459">
        <f>+'ต.ค.-ธ.ค.'!V135+'ม.ค.-มี.ค.'!V134+'เม.ย.-มิ.ย.'!V134</f>
        <v>0</v>
      </c>
      <c r="W134"/>
    </row>
    <row r="135" spans="1:23" s="310" customFormat="1" ht="29.25" customHeight="1">
      <c r="A135" s="61"/>
      <c r="B135" s="389" t="s">
        <v>352</v>
      </c>
      <c r="C135" s="419">
        <f>10000+10000-20000</f>
        <v>0</v>
      </c>
      <c r="D135" s="450"/>
      <c r="E135" s="459">
        <f>+'ต.ค.-ธ.ค.'!E136+'ม.ค.-มี.ค.'!E135+'เม.ย.-มิ.ย.'!E135</f>
        <v>0</v>
      </c>
      <c r="F135" s="459">
        <f>+'ต.ค.-ธ.ค.'!F136+'ม.ค.-มี.ค.'!F135+'เม.ย.-มิ.ย.'!F135</f>
        <v>0</v>
      </c>
      <c r="G135" s="459">
        <f>+'ต.ค.-ธ.ค.'!G136+'ม.ค.-มี.ค.'!G135+'เม.ย.-มิ.ย.'!G135</f>
        <v>0</v>
      </c>
      <c r="H135" s="459">
        <f>+'ต.ค.-ธ.ค.'!H136+'ม.ค.-มี.ค.'!H135+'เม.ย.-มิ.ย.'!H135</f>
        <v>0</v>
      </c>
      <c r="I135" s="459">
        <f>+'ต.ค.-ธ.ค.'!I136+'ม.ค.-มี.ค.'!I135+'เม.ย.-มิ.ย.'!I135</f>
        <v>0</v>
      </c>
      <c r="J135" s="459">
        <f>+'ต.ค.-ธ.ค.'!J136+'ม.ค.-มี.ค.'!J135+'เม.ย.-มิ.ย.'!J135</f>
        <v>0</v>
      </c>
      <c r="K135" s="459">
        <f>+'ต.ค.-ธ.ค.'!K136+'ม.ค.-มี.ค.'!K135+'เม.ย.-มิ.ย.'!K135</f>
        <v>0</v>
      </c>
      <c r="L135" s="459">
        <f>+'ต.ค.-ธ.ค.'!L136+'ม.ค.-มี.ค.'!L135+'เม.ย.-มิ.ย.'!L135</f>
        <v>0</v>
      </c>
      <c r="M135" s="459">
        <f>+'ต.ค.-ธ.ค.'!M136+'ม.ค.-มี.ค.'!M135+'เม.ย.-มิ.ย.'!M135</f>
        <v>0</v>
      </c>
      <c r="N135" s="459">
        <f>+'ต.ค.-ธ.ค.'!N136+'ม.ค.-มี.ค.'!N135+'เม.ย.-มิ.ย.'!N135</f>
        <v>0</v>
      </c>
      <c r="O135" s="459">
        <f>+'ต.ค.-ธ.ค.'!O136+'ม.ค.-มี.ค.'!O135+'เม.ย.-มิ.ย.'!O135</f>
        <v>0</v>
      </c>
      <c r="P135" s="459">
        <f>+'ต.ค.-ธ.ค.'!P136+'ม.ค.-มี.ค.'!P135+'เม.ย.-มิ.ย.'!P135</f>
        <v>0</v>
      </c>
      <c r="Q135" s="459">
        <f>+'ต.ค.-ธ.ค.'!Q136+'ม.ค.-มี.ค.'!Q135+'เม.ย.-มิ.ย.'!Q135</f>
        <v>0</v>
      </c>
      <c r="R135" s="459">
        <f>+'ต.ค.-ธ.ค.'!R136+'ม.ค.-มี.ค.'!R135+'เม.ย.-มิ.ย.'!R135</f>
        <v>0</v>
      </c>
      <c r="S135" s="459">
        <f>+'ต.ค.-ธ.ค.'!S136+'ม.ค.-มี.ค.'!S135+'เม.ย.-มิ.ย.'!S135</f>
        <v>0</v>
      </c>
      <c r="T135" s="459">
        <f>+'ต.ค.-ธ.ค.'!U136+'ม.ค.-มี.ค.'!U135+'เม.ย.-มิ.ย.'!U135</f>
        <v>0</v>
      </c>
      <c r="U135" s="459">
        <f>+'ต.ค.-ธ.ค.'!V136+'ม.ค.-มี.ค.'!V135+'เม.ย.-มิ.ย.'!V135</f>
        <v>0</v>
      </c>
      <c r="W135"/>
    </row>
    <row r="136" spans="1:23" s="310" customFormat="1" ht="29.25" customHeight="1">
      <c r="A136" s="61"/>
      <c r="B136" s="389" t="s">
        <v>213</v>
      </c>
      <c r="C136" s="419">
        <v>15000</v>
      </c>
      <c r="D136" s="450"/>
      <c r="E136" s="459">
        <f>+'ต.ค.-ธ.ค.'!E137+'ม.ค.-มี.ค.'!E136+'เม.ย.-มิ.ย.'!E136</f>
        <v>0</v>
      </c>
      <c r="F136" s="459">
        <f>+'ต.ค.-ธ.ค.'!F137+'ม.ค.-มี.ค.'!F136+'เม.ย.-มิ.ย.'!F136</f>
        <v>0</v>
      </c>
      <c r="G136" s="459">
        <f>+'ต.ค.-ธ.ค.'!G137+'ม.ค.-มี.ค.'!G136+'เม.ย.-มิ.ย.'!G136</f>
        <v>0</v>
      </c>
      <c r="H136" s="459">
        <f>+'ต.ค.-ธ.ค.'!H137+'ม.ค.-มี.ค.'!H136+'เม.ย.-มิ.ย.'!H136</f>
        <v>0</v>
      </c>
      <c r="I136" s="459">
        <f>+'ต.ค.-ธ.ค.'!I137+'ม.ค.-มี.ค.'!I136+'เม.ย.-มิ.ย.'!I136</f>
        <v>0</v>
      </c>
      <c r="J136" s="459">
        <f>+'ต.ค.-ธ.ค.'!J137+'ม.ค.-มี.ค.'!J136+'เม.ย.-มิ.ย.'!J136</f>
        <v>0</v>
      </c>
      <c r="K136" s="459">
        <f>+'ต.ค.-ธ.ค.'!K137+'ม.ค.-มี.ค.'!K136+'เม.ย.-มิ.ย.'!K136</f>
        <v>0</v>
      </c>
      <c r="L136" s="459">
        <f>+'ต.ค.-ธ.ค.'!L137+'ม.ค.-มี.ค.'!L136+'เม.ย.-มิ.ย.'!L136</f>
        <v>0</v>
      </c>
      <c r="M136" s="459">
        <f>+'ต.ค.-ธ.ค.'!M137+'ม.ค.-มี.ค.'!M136+'เม.ย.-มิ.ย.'!M136</f>
        <v>0</v>
      </c>
      <c r="N136" s="459">
        <f>+'ต.ค.-ธ.ค.'!N137+'ม.ค.-มี.ค.'!N136+'เม.ย.-มิ.ย.'!N136</f>
        <v>0</v>
      </c>
      <c r="O136" s="459">
        <f>+'ต.ค.-ธ.ค.'!O137+'ม.ค.-มี.ค.'!O136+'เม.ย.-มิ.ย.'!O136</f>
        <v>0</v>
      </c>
      <c r="P136" s="459">
        <f>+'ต.ค.-ธ.ค.'!P137+'ม.ค.-มี.ค.'!P136+'เม.ย.-มิ.ย.'!P136</f>
        <v>0</v>
      </c>
      <c r="Q136" s="459">
        <f>+'ต.ค.-ธ.ค.'!Q137+'ม.ค.-มี.ค.'!Q136+'เม.ย.-มิ.ย.'!Q136</f>
        <v>0</v>
      </c>
      <c r="R136" s="459">
        <f>+'ต.ค.-ธ.ค.'!R137+'ม.ค.-มี.ค.'!R136+'เม.ย.-มิ.ย.'!R136</f>
        <v>0</v>
      </c>
      <c r="S136" s="459">
        <f>+'ต.ค.-ธ.ค.'!S137+'ม.ค.-มี.ค.'!S136+'เม.ย.-มิ.ย.'!S136</f>
        <v>0</v>
      </c>
      <c r="T136" s="459">
        <f>+'ต.ค.-ธ.ค.'!U137+'ม.ค.-มี.ค.'!U136+'เม.ย.-มิ.ย.'!U136</f>
        <v>0</v>
      </c>
      <c r="U136" s="459">
        <f>+'ต.ค.-ธ.ค.'!V137+'ม.ค.-มี.ค.'!V136+'เม.ย.-มิ.ย.'!V136</f>
        <v>0</v>
      </c>
      <c r="W136"/>
    </row>
    <row r="137" spans="1:23" s="310" customFormat="1" ht="29.25" customHeight="1">
      <c r="A137" s="61"/>
      <c r="B137" s="389" t="s">
        <v>265</v>
      </c>
      <c r="C137" s="419">
        <f>20000-20000</f>
        <v>0</v>
      </c>
      <c r="D137" s="450"/>
      <c r="E137" s="459">
        <f>+'ต.ค.-ธ.ค.'!E138+'ม.ค.-มี.ค.'!E137+'เม.ย.-มิ.ย.'!E137</f>
        <v>0</v>
      </c>
      <c r="F137" s="459">
        <f>+'ต.ค.-ธ.ค.'!F138+'ม.ค.-มี.ค.'!F137+'เม.ย.-มิ.ย.'!F137</f>
        <v>0</v>
      </c>
      <c r="G137" s="459">
        <f>+'ต.ค.-ธ.ค.'!G138+'ม.ค.-มี.ค.'!G137+'เม.ย.-มิ.ย.'!G137</f>
        <v>0</v>
      </c>
      <c r="H137" s="459">
        <f>+'ต.ค.-ธ.ค.'!H138+'ม.ค.-มี.ค.'!H137+'เม.ย.-มิ.ย.'!H137</f>
        <v>0</v>
      </c>
      <c r="I137" s="459">
        <f>+'ต.ค.-ธ.ค.'!I138+'ม.ค.-มี.ค.'!I137+'เม.ย.-มิ.ย.'!I137</f>
        <v>0</v>
      </c>
      <c r="J137" s="459">
        <f>+'ต.ค.-ธ.ค.'!J138+'ม.ค.-มี.ค.'!J137+'เม.ย.-มิ.ย.'!J137</f>
        <v>0</v>
      </c>
      <c r="K137" s="459">
        <f>+'ต.ค.-ธ.ค.'!K138+'ม.ค.-มี.ค.'!K137+'เม.ย.-มิ.ย.'!K137</f>
        <v>0</v>
      </c>
      <c r="L137" s="459">
        <f>+'ต.ค.-ธ.ค.'!L138+'ม.ค.-มี.ค.'!L137+'เม.ย.-มิ.ย.'!L137</f>
        <v>0</v>
      </c>
      <c r="M137" s="459">
        <f>+'ต.ค.-ธ.ค.'!M138+'ม.ค.-มี.ค.'!M137+'เม.ย.-มิ.ย.'!M137</f>
        <v>0</v>
      </c>
      <c r="N137" s="459">
        <f>+'ต.ค.-ธ.ค.'!N138+'ม.ค.-มี.ค.'!N137+'เม.ย.-มิ.ย.'!N137</f>
        <v>0</v>
      </c>
      <c r="O137" s="459">
        <f>+'ต.ค.-ธ.ค.'!O138+'ม.ค.-มี.ค.'!O137+'เม.ย.-มิ.ย.'!O137</f>
        <v>0</v>
      </c>
      <c r="P137" s="459">
        <f>+'ต.ค.-ธ.ค.'!P138+'ม.ค.-มี.ค.'!P137+'เม.ย.-มิ.ย.'!P137</f>
        <v>0</v>
      </c>
      <c r="Q137" s="459">
        <f>+'ต.ค.-ธ.ค.'!Q138+'ม.ค.-มี.ค.'!Q137+'เม.ย.-มิ.ย.'!Q137</f>
        <v>0</v>
      </c>
      <c r="R137" s="459">
        <f>+'ต.ค.-ธ.ค.'!R138+'ม.ค.-มี.ค.'!R137+'เม.ย.-มิ.ย.'!R137</f>
        <v>0</v>
      </c>
      <c r="S137" s="459">
        <f>+'ต.ค.-ธ.ค.'!S138+'ม.ค.-มี.ค.'!S137+'เม.ย.-มิ.ย.'!S137</f>
        <v>0</v>
      </c>
      <c r="T137" s="459">
        <f>+'ต.ค.-ธ.ค.'!U138+'ม.ค.-มี.ค.'!U137+'เม.ย.-มิ.ย.'!U137</f>
        <v>0</v>
      </c>
      <c r="U137" s="459">
        <f>+'ต.ค.-ธ.ค.'!V138+'ม.ค.-มี.ค.'!V137+'เม.ย.-มิ.ย.'!V137</f>
        <v>0</v>
      </c>
      <c r="W137"/>
    </row>
    <row r="138" spans="1:23" s="310" customFormat="1" ht="29.25" customHeight="1">
      <c r="A138" s="61"/>
      <c r="B138" s="389" t="s">
        <v>353</v>
      </c>
      <c r="C138" s="419">
        <v>5000</v>
      </c>
      <c r="D138" s="450"/>
      <c r="E138" s="459">
        <f>+'ต.ค.-ธ.ค.'!E139+'ม.ค.-มี.ค.'!E138+'เม.ย.-มิ.ย.'!E138</f>
        <v>0</v>
      </c>
      <c r="F138" s="459">
        <f>+'ต.ค.-ธ.ค.'!F139+'ม.ค.-มี.ค.'!F138+'เม.ย.-มิ.ย.'!F138</f>
        <v>0</v>
      </c>
      <c r="G138" s="459">
        <f>+'ต.ค.-ธ.ค.'!G139+'ม.ค.-มี.ค.'!G138+'เม.ย.-มิ.ย.'!G138</f>
        <v>0</v>
      </c>
      <c r="H138" s="459">
        <f>+'ต.ค.-ธ.ค.'!H139+'ม.ค.-มี.ค.'!H138+'เม.ย.-มิ.ย.'!H138</f>
        <v>0</v>
      </c>
      <c r="I138" s="459">
        <f>+'ต.ค.-ธ.ค.'!I139+'ม.ค.-มี.ค.'!I138+'เม.ย.-มิ.ย.'!I138</f>
        <v>0</v>
      </c>
      <c r="J138" s="459">
        <f>+'ต.ค.-ธ.ค.'!J139+'ม.ค.-มี.ค.'!J138+'เม.ย.-มิ.ย.'!J138</f>
        <v>0</v>
      </c>
      <c r="K138" s="459">
        <f>+'ต.ค.-ธ.ค.'!K139+'ม.ค.-มี.ค.'!K138+'เม.ย.-มิ.ย.'!K138</f>
        <v>0</v>
      </c>
      <c r="L138" s="459">
        <f>+'ต.ค.-ธ.ค.'!L139+'ม.ค.-มี.ค.'!L138+'เม.ย.-มิ.ย.'!L138</f>
        <v>0</v>
      </c>
      <c r="M138" s="459">
        <f>+'ต.ค.-ธ.ค.'!M139+'ม.ค.-มี.ค.'!M138+'เม.ย.-มิ.ย.'!M138</f>
        <v>0</v>
      </c>
      <c r="N138" s="459">
        <f>+'ต.ค.-ธ.ค.'!N139+'ม.ค.-มี.ค.'!N138+'เม.ย.-มิ.ย.'!N138</f>
        <v>0</v>
      </c>
      <c r="O138" s="459">
        <f>+'ต.ค.-ธ.ค.'!O139+'ม.ค.-มี.ค.'!O138+'เม.ย.-มิ.ย.'!O138</f>
        <v>0</v>
      </c>
      <c r="P138" s="459">
        <f>+'ต.ค.-ธ.ค.'!P139+'ม.ค.-มี.ค.'!P138+'เม.ย.-มิ.ย.'!P138</f>
        <v>0</v>
      </c>
      <c r="Q138" s="459">
        <f>+'ต.ค.-ธ.ค.'!Q139+'ม.ค.-มี.ค.'!Q138+'เม.ย.-มิ.ย.'!Q138</f>
        <v>4880</v>
      </c>
      <c r="R138" s="459">
        <f>+'ต.ค.-ธ.ค.'!R139+'ม.ค.-มี.ค.'!R138+'เม.ย.-มิ.ย.'!R138</f>
        <v>0</v>
      </c>
      <c r="S138" s="459">
        <f>+'ต.ค.-ธ.ค.'!S139+'ม.ค.-มี.ค.'!S138+'เม.ย.-มิ.ย.'!S138</f>
        <v>0</v>
      </c>
      <c r="T138" s="459">
        <f>+'ต.ค.-ธ.ค.'!U139+'ม.ค.-มี.ค.'!U138+'เม.ย.-มิ.ย.'!U138</f>
        <v>0</v>
      </c>
      <c r="U138" s="459">
        <f>+'ต.ค.-ธ.ค.'!V139+'ม.ค.-มี.ค.'!V138+'เม.ย.-มิ.ย.'!V138</f>
        <v>0</v>
      </c>
      <c r="W138"/>
    </row>
    <row r="139" spans="1:23" s="310" customFormat="1" ht="29.25" customHeight="1">
      <c r="A139" s="61"/>
      <c r="B139" s="389" t="s">
        <v>354</v>
      </c>
      <c r="C139" s="419">
        <v>10000</v>
      </c>
      <c r="D139" s="450"/>
      <c r="E139" s="459">
        <f>+'ต.ค.-ธ.ค.'!E140+'ม.ค.-มี.ค.'!E139+'เม.ย.-มิ.ย.'!E139</f>
        <v>0</v>
      </c>
      <c r="F139" s="459">
        <f>+'ต.ค.-ธ.ค.'!F140+'ม.ค.-มี.ค.'!F139+'เม.ย.-มิ.ย.'!F139</f>
        <v>0</v>
      </c>
      <c r="G139" s="459">
        <f>+'ต.ค.-ธ.ค.'!G140+'ม.ค.-มี.ค.'!G139+'เม.ย.-มิ.ย.'!G139</f>
        <v>0</v>
      </c>
      <c r="H139" s="459">
        <f>+'ต.ค.-ธ.ค.'!H140+'ม.ค.-มี.ค.'!H139+'เม.ย.-มิ.ย.'!H139</f>
        <v>0</v>
      </c>
      <c r="I139" s="459">
        <f>+'ต.ค.-ธ.ค.'!I140+'ม.ค.-มี.ค.'!I139+'เม.ย.-มิ.ย.'!I139</f>
        <v>0</v>
      </c>
      <c r="J139" s="459">
        <f>+'ต.ค.-ธ.ค.'!J140+'ม.ค.-มี.ค.'!J139+'เม.ย.-มิ.ย.'!J139</f>
        <v>0</v>
      </c>
      <c r="K139" s="459">
        <f>+'ต.ค.-ธ.ค.'!K140+'ม.ค.-มี.ค.'!K139+'เม.ย.-มิ.ย.'!K139</f>
        <v>0</v>
      </c>
      <c r="L139" s="459">
        <f>+'ต.ค.-ธ.ค.'!L140+'ม.ค.-มี.ค.'!L139+'เม.ย.-มิ.ย.'!L139</f>
        <v>0</v>
      </c>
      <c r="M139" s="459">
        <f>+'ต.ค.-ธ.ค.'!M140+'ม.ค.-มี.ค.'!M139+'เม.ย.-มิ.ย.'!M139</f>
        <v>0</v>
      </c>
      <c r="N139" s="459">
        <f>+'ต.ค.-ธ.ค.'!N140+'ม.ค.-มี.ค.'!N139+'เม.ย.-มิ.ย.'!N139</f>
        <v>0</v>
      </c>
      <c r="O139" s="459">
        <f>+'ต.ค.-ธ.ค.'!O140+'ม.ค.-มี.ค.'!O139+'เม.ย.-มิ.ย.'!O139</f>
        <v>0</v>
      </c>
      <c r="P139" s="459">
        <f>+'ต.ค.-ธ.ค.'!P140+'ม.ค.-มี.ค.'!P139+'เม.ย.-มิ.ย.'!P139</f>
        <v>0</v>
      </c>
      <c r="Q139" s="459">
        <f>+'ต.ค.-ธ.ค.'!Q140+'ม.ค.-มี.ค.'!Q139+'เม.ย.-มิ.ย.'!Q139</f>
        <v>0</v>
      </c>
      <c r="R139" s="459">
        <f>+'ต.ค.-ธ.ค.'!R140+'ม.ค.-มี.ค.'!R139+'เม.ย.-มิ.ย.'!R139</f>
        <v>0</v>
      </c>
      <c r="S139" s="459">
        <f>+'ต.ค.-ธ.ค.'!S140+'ม.ค.-มี.ค.'!S139+'เม.ย.-มิ.ย.'!S139</f>
        <v>0</v>
      </c>
      <c r="T139" s="459">
        <f>+'ต.ค.-ธ.ค.'!U140+'ม.ค.-มี.ค.'!U139+'เม.ย.-มิ.ย.'!U139</f>
        <v>0</v>
      </c>
      <c r="U139" s="459">
        <f>+'ต.ค.-ธ.ค.'!V140+'ม.ค.-มี.ค.'!V139+'เม.ย.-มิ.ย.'!V139</f>
        <v>0</v>
      </c>
      <c r="W139"/>
    </row>
    <row r="140" spans="1:23" s="310" customFormat="1" ht="29.25" customHeight="1">
      <c r="A140" s="61"/>
      <c r="B140" s="388" t="s">
        <v>355</v>
      </c>
      <c r="C140" s="419">
        <v>20000</v>
      </c>
      <c r="D140" s="450"/>
      <c r="E140" s="459">
        <f>+'ต.ค.-ธ.ค.'!E141+'ม.ค.-มี.ค.'!E140+'เม.ย.-มิ.ย.'!E140</f>
        <v>0</v>
      </c>
      <c r="F140" s="459">
        <f>+'ต.ค.-ธ.ค.'!F141+'ม.ค.-มี.ค.'!F140+'เม.ย.-มิ.ย.'!F140</f>
        <v>0</v>
      </c>
      <c r="G140" s="459">
        <f>+'ต.ค.-ธ.ค.'!G141+'ม.ค.-มี.ค.'!G140+'เม.ย.-มิ.ย.'!G140</f>
        <v>0</v>
      </c>
      <c r="H140" s="459">
        <f>+'ต.ค.-ธ.ค.'!H141+'ม.ค.-มี.ค.'!H140+'เม.ย.-มิ.ย.'!H140</f>
        <v>0</v>
      </c>
      <c r="I140" s="459">
        <f>+'ต.ค.-ธ.ค.'!I141+'ม.ค.-มี.ค.'!I140+'เม.ย.-มิ.ย.'!I140</f>
        <v>0</v>
      </c>
      <c r="J140" s="459">
        <f>+'ต.ค.-ธ.ค.'!J141+'ม.ค.-มี.ค.'!J140+'เม.ย.-มิ.ย.'!J140</f>
        <v>0</v>
      </c>
      <c r="K140" s="459">
        <f>+'ต.ค.-ธ.ค.'!K141+'ม.ค.-มี.ค.'!K140+'เม.ย.-มิ.ย.'!K140</f>
        <v>0</v>
      </c>
      <c r="L140" s="459">
        <f>+'ต.ค.-ธ.ค.'!L141+'ม.ค.-มี.ค.'!L140+'เม.ย.-มิ.ย.'!L140</f>
        <v>0</v>
      </c>
      <c r="M140" s="459">
        <f>+'ต.ค.-ธ.ค.'!M141+'ม.ค.-มี.ค.'!M140+'เม.ย.-มิ.ย.'!M140</f>
        <v>0</v>
      </c>
      <c r="N140" s="459">
        <f>+'ต.ค.-ธ.ค.'!N141+'ม.ค.-มี.ค.'!N140+'เม.ย.-มิ.ย.'!N140</f>
        <v>0</v>
      </c>
      <c r="O140" s="459">
        <f>+'ต.ค.-ธ.ค.'!O141+'ม.ค.-มี.ค.'!O140+'เม.ย.-มิ.ย.'!O140</f>
        <v>0</v>
      </c>
      <c r="P140" s="459">
        <f>+'ต.ค.-ธ.ค.'!P141+'ม.ค.-มี.ค.'!P140+'เม.ย.-มิ.ย.'!P140</f>
        <v>0</v>
      </c>
      <c r="Q140" s="459">
        <f>+'ต.ค.-ธ.ค.'!Q141+'ม.ค.-มี.ค.'!Q140+'เม.ย.-มิ.ย.'!Q140</f>
        <v>0</v>
      </c>
      <c r="R140" s="459">
        <f>+'ต.ค.-ธ.ค.'!R141+'ม.ค.-มี.ค.'!R140+'เม.ย.-มิ.ย.'!R140</f>
        <v>0</v>
      </c>
      <c r="S140" s="459">
        <f>+'ต.ค.-ธ.ค.'!S141+'ม.ค.-มี.ค.'!S140+'เม.ย.-มิ.ย.'!S140</f>
        <v>0</v>
      </c>
      <c r="T140" s="459">
        <f>+'ต.ค.-ธ.ค.'!U141+'ม.ค.-มี.ค.'!U140+'เม.ย.-มิ.ย.'!U140</f>
        <v>0</v>
      </c>
      <c r="U140" s="459">
        <f>+'ต.ค.-ธ.ค.'!V141+'ม.ค.-มี.ค.'!V140+'เม.ย.-มิ.ย.'!V140</f>
        <v>0</v>
      </c>
      <c r="W140"/>
    </row>
    <row r="141" spans="1:23" s="310" customFormat="1" ht="29.25" customHeight="1">
      <c r="A141" s="61"/>
      <c r="B141" s="388" t="s">
        <v>356</v>
      </c>
      <c r="C141" s="419">
        <v>20000</v>
      </c>
      <c r="D141" s="450"/>
      <c r="E141" s="459">
        <f>+'ต.ค.-ธ.ค.'!E142+'ม.ค.-มี.ค.'!E141+'เม.ย.-มิ.ย.'!E141</f>
        <v>0</v>
      </c>
      <c r="F141" s="459">
        <f>+'ต.ค.-ธ.ค.'!F142+'ม.ค.-มี.ค.'!F141+'เม.ย.-มิ.ย.'!F141</f>
        <v>0</v>
      </c>
      <c r="G141" s="459">
        <f>+'ต.ค.-ธ.ค.'!G142+'ม.ค.-มี.ค.'!G141+'เม.ย.-มิ.ย.'!G141</f>
        <v>0</v>
      </c>
      <c r="H141" s="459">
        <f>+'ต.ค.-ธ.ค.'!H142+'ม.ค.-มี.ค.'!H141+'เม.ย.-มิ.ย.'!H141</f>
        <v>0</v>
      </c>
      <c r="I141" s="459">
        <f>+'ต.ค.-ธ.ค.'!I142+'ม.ค.-มี.ค.'!I141+'เม.ย.-มิ.ย.'!I141</f>
        <v>0</v>
      </c>
      <c r="J141" s="459">
        <f>+'ต.ค.-ธ.ค.'!J142+'ม.ค.-มี.ค.'!J141+'เม.ย.-มิ.ย.'!J141</f>
        <v>0</v>
      </c>
      <c r="K141" s="459">
        <f>+'ต.ค.-ธ.ค.'!K142+'ม.ค.-มี.ค.'!K141+'เม.ย.-มิ.ย.'!K141</f>
        <v>0</v>
      </c>
      <c r="L141" s="459">
        <f>+'ต.ค.-ธ.ค.'!L142+'ม.ค.-มี.ค.'!L141+'เม.ย.-มิ.ย.'!L141</f>
        <v>0</v>
      </c>
      <c r="M141" s="459">
        <f>+'ต.ค.-ธ.ค.'!M142+'ม.ค.-มี.ค.'!M141+'เม.ย.-มิ.ย.'!M141</f>
        <v>0</v>
      </c>
      <c r="N141" s="459">
        <f>+'ต.ค.-ธ.ค.'!N142+'ม.ค.-มี.ค.'!N141+'เม.ย.-มิ.ย.'!N141</f>
        <v>0</v>
      </c>
      <c r="O141" s="459">
        <f>+'ต.ค.-ธ.ค.'!O142+'ม.ค.-มี.ค.'!O141+'เม.ย.-มิ.ย.'!O141</f>
        <v>0</v>
      </c>
      <c r="P141" s="459">
        <f>+'ต.ค.-ธ.ค.'!P142+'ม.ค.-มี.ค.'!P141+'เม.ย.-มิ.ย.'!P141</f>
        <v>0</v>
      </c>
      <c r="Q141" s="459">
        <f>+'ต.ค.-ธ.ค.'!Q142+'ม.ค.-มี.ค.'!Q141+'เม.ย.-มิ.ย.'!Q141</f>
        <v>0</v>
      </c>
      <c r="R141" s="459">
        <f>+'ต.ค.-ธ.ค.'!R142+'ม.ค.-มี.ค.'!R141+'เม.ย.-มิ.ย.'!R141</f>
        <v>0</v>
      </c>
      <c r="S141" s="459">
        <f>+'ต.ค.-ธ.ค.'!S142+'ม.ค.-มี.ค.'!S141+'เม.ย.-มิ.ย.'!S141</f>
        <v>0</v>
      </c>
      <c r="T141" s="459">
        <f>+'ต.ค.-ธ.ค.'!U142+'ม.ค.-มี.ค.'!U141+'เม.ย.-มิ.ย.'!U141</f>
        <v>0</v>
      </c>
      <c r="U141" s="459">
        <f>+'ต.ค.-ธ.ค.'!V142+'ม.ค.-มี.ค.'!V141+'เม.ย.-มิ.ย.'!V141</f>
        <v>0</v>
      </c>
      <c r="W141"/>
    </row>
    <row r="142" spans="1:23" s="310" customFormat="1" ht="29.25" customHeight="1">
      <c r="A142" s="61"/>
      <c r="B142" s="388" t="s">
        <v>357</v>
      </c>
      <c r="C142" s="419">
        <v>10000</v>
      </c>
      <c r="D142" s="450"/>
      <c r="E142" s="459">
        <f>+'ต.ค.-ธ.ค.'!E143+'ม.ค.-มี.ค.'!E142+'เม.ย.-มิ.ย.'!E142</f>
        <v>0</v>
      </c>
      <c r="F142" s="459">
        <f>+'ต.ค.-ธ.ค.'!F143+'ม.ค.-มี.ค.'!F142+'เม.ย.-มิ.ย.'!F142</f>
        <v>0</v>
      </c>
      <c r="G142" s="459">
        <f>+'ต.ค.-ธ.ค.'!G143+'ม.ค.-มี.ค.'!G142+'เม.ย.-มิ.ย.'!G142</f>
        <v>0</v>
      </c>
      <c r="H142" s="459">
        <f>+'ต.ค.-ธ.ค.'!H143+'ม.ค.-มี.ค.'!H142+'เม.ย.-มิ.ย.'!H142</f>
        <v>0</v>
      </c>
      <c r="I142" s="459">
        <f>+'ต.ค.-ธ.ค.'!I143+'ม.ค.-มี.ค.'!I142+'เม.ย.-มิ.ย.'!I142</f>
        <v>0</v>
      </c>
      <c r="J142" s="459">
        <f>+'ต.ค.-ธ.ค.'!J143+'ม.ค.-มี.ค.'!J142+'เม.ย.-มิ.ย.'!J142</f>
        <v>0</v>
      </c>
      <c r="K142" s="459">
        <f>+'ต.ค.-ธ.ค.'!K143+'ม.ค.-มี.ค.'!K142+'เม.ย.-มิ.ย.'!K142</f>
        <v>0</v>
      </c>
      <c r="L142" s="459">
        <f>+'ต.ค.-ธ.ค.'!L143+'ม.ค.-มี.ค.'!L142+'เม.ย.-มิ.ย.'!L142</f>
        <v>0</v>
      </c>
      <c r="M142" s="459">
        <f>+'ต.ค.-ธ.ค.'!M143+'ม.ค.-มี.ค.'!M142+'เม.ย.-มิ.ย.'!M142</f>
        <v>0</v>
      </c>
      <c r="N142" s="459">
        <f>+'ต.ค.-ธ.ค.'!N143+'ม.ค.-มี.ค.'!N142+'เม.ย.-มิ.ย.'!N142</f>
        <v>0</v>
      </c>
      <c r="O142" s="459">
        <f>+'ต.ค.-ธ.ค.'!O143+'ม.ค.-มี.ค.'!O142+'เม.ย.-มิ.ย.'!O142</f>
        <v>0</v>
      </c>
      <c r="P142" s="459">
        <f>+'ต.ค.-ธ.ค.'!P143+'ม.ค.-มี.ค.'!P142+'เม.ย.-มิ.ย.'!P142</f>
        <v>0</v>
      </c>
      <c r="Q142" s="459">
        <f>+'ต.ค.-ธ.ค.'!Q143+'ม.ค.-มี.ค.'!Q142+'เม.ย.-มิ.ย.'!Q142</f>
        <v>0</v>
      </c>
      <c r="R142" s="459">
        <f>+'ต.ค.-ธ.ค.'!R143+'ม.ค.-มี.ค.'!R142+'เม.ย.-มิ.ย.'!R142</f>
        <v>0</v>
      </c>
      <c r="S142" s="459">
        <f>+'ต.ค.-ธ.ค.'!S143+'ม.ค.-มี.ค.'!S142+'เม.ย.-มิ.ย.'!S142</f>
        <v>0</v>
      </c>
      <c r="T142" s="459">
        <f>+'ต.ค.-ธ.ค.'!U143+'ม.ค.-มี.ค.'!U142+'เม.ย.-มิ.ย.'!U142</f>
        <v>0</v>
      </c>
      <c r="U142" s="459">
        <f>+'ต.ค.-ธ.ค.'!V143+'ม.ค.-มี.ค.'!V142+'เม.ย.-มิ.ย.'!V142</f>
        <v>0</v>
      </c>
      <c r="W142"/>
    </row>
    <row r="143" spans="1:23" s="310" customFormat="1" ht="29.25" customHeight="1">
      <c r="A143" s="61"/>
      <c r="B143" s="388" t="s">
        <v>358</v>
      </c>
      <c r="C143" s="419">
        <v>10000</v>
      </c>
      <c r="D143" s="450"/>
      <c r="E143" s="459">
        <f>+'ต.ค.-ธ.ค.'!E144+'ม.ค.-มี.ค.'!E143+'เม.ย.-มิ.ย.'!E143</f>
        <v>0</v>
      </c>
      <c r="F143" s="459">
        <f>+'ต.ค.-ธ.ค.'!F144+'ม.ค.-มี.ค.'!F143+'เม.ย.-มิ.ย.'!F143</f>
        <v>0</v>
      </c>
      <c r="G143" s="459">
        <f>+'ต.ค.-ธ.ค.'!G144+'ม.ค.-มี.ค.'!G143+'เม.ย.-มิ.ย.'!G143</f>
        <v>0</v>
      </c>
      <c r="H143" s="459">
        <f>+'ต.ค.-ธ.ค.'!H144+'ม.ค.-มี.ค.'!H143+'เม.ย.-มิ.ย.'!H143</f>
        <v>0</v>
      </c>
      <c r="I143" s="459">
        <f>+'ต.ค.-ธ.ค.'!I144+'ม.ค.-มี.ค.'!I143+'เม.ย.-มิ.ย.'!I143</f>
        <v>0</v>
      </c>
      <c r="J143" s="459">
        <f>+'ต.ค.-ธ.ค.'!J144+'ม.ค.-มี.ค.'!J143+'เม.ย.-มิ.ย.'!J143</f>
        <v>0</v>
      </c>
      <c r="K143" s="459">
        <f>+'ต.ค.-ธ.ค.'!K144+'ม.ค.-มี.ค.'!K143+'เม.ย.-มิ.ย.'!K143</f>
        <v>0</v>
      </c>
      <c r="L143" s="459">
        <f>+'ต.ค.-ธ.ค.'!L144+'ม.ค.-มี.ค.'!L143+'เม.ย.-มิ.ย.'!L143</f>
        <v>0</v>
      </c>
      <c r="M143" s="459">
        <f>+'ต.ค.-ธ.ค.'!M144+'ม.ค.-มี.ค.'!M143+'เม.ย.-มิ.ย.'!M143</f>
        <v>0</v>
      </c>
      <c r="N143" s="459">
        <f>+'ต.ค.-ธ.ค.'!N144+'ม.ค.-มี.ค.'!N143+'เม.ย.-มิ.ย.'!N143</f>
        <v>0</v>
      </c>
      <c r="O143" s="459">
        <f>+'ต.ค.-ธ.ค.'!O144+'ม.ค.-มี.ค.'!O143+'เม.ย.-มิ.ย.'!O143</f>
        <v>0</v>
      </c>
      <c r="P143" s="459">
        <f>+'ต.ค.-ธ.ค.'!P144+'ม.ค.-มี.ค.'!P143+'เม.ย.-มิ.ย.'!P143</f>
        <v>0</v>
      </c>
      <c r="Q143" s="459">
        <f>+'ต.ค.-ธ.ค.'!Q144+'ม.ค.-มี.ค.'!Q143+'เม.ย.-มิ.ย.'!Q143</f>
        <v>0</v>
      </c>
      <c r="R143" s="459">
        <f>+'ต.ค.-ธ.ค.'!R144+'ม.ค.-มี.ค.'!R143+'เม.ย.-มิ.ย.'!R143</f>
        <v>0</v>
      </c>
      <c r="S143" s="459">
        <f>+'ต.ค.-ธ.ค.'!S144+'ม.ค.-มี.ค.'!S143+'เม.ย.-มิ.ย.'!S143</f>
        <v>0</v>
      </c>
      <c r="T143" s="459">
        <f>+'ต.ค.-ธ.ค.'!U144+'ม.ค.-มี.ค.'!U143+'เม.ย.-มิ.ย.'!U143</f>
        <v>0</v>
      </c>
      <c r="U143" s="459">
        <f>+'ต.ค.-ธ.ค.'!V144+'ม.ค.-มี.ค.'!V143+'เม.ย.-มิ.ย.'!V143</f>
        <v>0</v>
      </c>
      <c r="W143"/>
    </row>
    <row r="144" spans="1:23" s="310" customFormat="1" ht="29.25" customHeight="1">
      <c r="A144" s="61"/>
      <c r="B144" s="388" t="s">
        <v>359</v>
      </c>
      <c r="C144" s="419">
        <v>5000</v>
      </c>
      <c r="D144" s="450"/>
      <c r="E144" s="459">
        <f>+'ต.ค.-ธ.ค.'!E145+'ม.ค.-มี.ค.'!E144+'เม.ย.-มิ.ย.'!E144</f>
        <v>0</v>
      </c>
      <c r="F144" s="459">
        <f>+'ต.ค.-ธ.ค.'!F145+'ม.ค.-มี.ค.'!F144+'เม.ย.-มิ.ย.'!F144</f>
        <v>0</v>
      </c>
      <c r="G144" s="459">
        <f>+'ต.ค.-ธ.ค.'!G145+'ม.ค.-มี.ค.'!G144+'เม.ย.-มิ.ย.'!G144</f>
        <v>0</v>
      </c>
      <c r="H144" s="459">
        <f>+'ต.ค.-ธ.ค.'!H145+'ม.ค.-มี.ค.'!H144+'เม.ย.-มิ.ย.'!H144</f>
        <v>0</v>
      </c>
      <c r="I144" s="459">
        <f>+'ต.ค.-ธ.ค.'!I145+'ม.ค.-มี.ค.'!I144+'เม.ย.-มิ.ย.'!I144</f>
        <v>0</v>
      </c>
      <c r="J144" s="459">
        <f>+'ต.ค.-ธ.ค.'!J145+'ม.ค.-มี.ค.'!J144+'เม.ย.-มิ.ย.'!J144</f>
        <v>0</v>
      </c>
      <c r="K144" s="459">
        <f>+'ต.ค.-ธ.ค.'!K145+'ม.ค.-มี.ค.'!K144+'เม.ย.-มิ.ย.'!K144</f>
        <v>0</v>
      </c>
      <c r="L144" s="459">
        <f>+'ต.ค.-ธ.ค.'!L145+'ม.ค.-มี.ค.'!L144+'เม.ย.-มิ.ย.'!L144</f>
        <v>0</v>
      </c>
      <c r="M144" s="459">
        <f>+'ต.ค.-ธ.ค.'!M145+'ม.ค.-มี.ค.'!M144+'เม.ย.-มิ.ย.'!M144</f>
        <v>0</v>
      </c>
      <c r="N144" s="459">
        <f>+'ต.ค.-ธ.ค.'!N145+'ม.ค.-มี.ค.'!N144+'เม.ย.-มิ.ย.'!N144</f>
        <v>0</v>
      </c>
      <c r="O144" s="459">
        <f>+'ต.ค.-ธ.ค.'!O145+'ม.ค.-มี.ค.'!O144+'เม.ย.-มิ.ย.'!O144</f>
        <v>0</v>
      </c>
      <c r="P144" s="459">
        <f>+'ต.ค.-ธ.ค.'!P145+'ม.ค.-มี.ค.'!P144+'เม.ย.-มิ.ย.'!P144</f>
        <v>0</v>
      </c>
      <c r="Q144" s="459">
        <f>+'ต.ค.-ธ.ค.'!Q145+'ม.ค.-มี.ค.'!Q144+'เม.ย.-มิ.ย.'!Q144</f>
        <v>0</v>
      </c>
      <c r="R144" s="459">
        <f>+'ต.ค.-ธ.ค.'!R145+'ม.ค.-มี.ค.'!R144+'เม.ย.-มิ.ย.'!R144</f>
        <v>0</v>
      </c>
      <c r="S144" s="459">
        <f>+'ต.ค.-ธ.ค.'!S145+'ม.ค.-มี.ค.'!S144+'เม.ย.-มิ.ย.'!S144</f>
        <v>0</v>
      </c>
      <c r="T144" s="459">
        <f>+'ต.ค.-ธ.ค.'!U145+'ม.ค.-มี.ค.'!U144+'เม.ย.-มิ.ย.'!U144</f>
        <v>0</v>
      </c>
      <c r="U144" s="459">
        <f>+'ต.ค.-ธ.ค.'!V145+'ม.ค.-มี.ค.'!V144+'เม.ย.-มิ.ย.'!V144</f>
        <v>0</v>
      </c>
      <c r="W144"/>
    </row>
    <row r="145" spans="1:23" s="310" customFormat="1" ht="29.25" customHeight="1">
      <c r="A145" s="61"/>
      <c r="B145" s="388" t="s">
        <v>360</v>
      </c>
      <c r="C145" s="419">
        <v>5000</v>
      </c>
      <c r="D145" s="450"/>
      <c r="E145" s="459">
        <f>+'ต.ค.-ธ.ค.'!E146+'ม.ค.-มี.ค.'!E145+'เม.ย.-มิ.ย.'!E145</f>
        <v>0</v>
      </c>
      <c r="F145" s="459">
        <f>+'ต.ค.-ธ.ค.'!F146+'ม.ค.-มี.ค.'!F145+'เม.ย.-มิ.ย.'!F145</f>
        <v>0</v>
      </c>
      <c r="G145" s="459">
        <f>+'ต.ค.-ธ.ค.'!G146+'ม.ค.-มี.ค.'!G145+'เม.ย.-มิ.ย.'!G145</f>
        <v>0</v>
      </c>
      <c r="H145" s="459">
        <f>+'ต.ค.-ธ.ค.'!H146+'ม.ค.-มี.ค.'!H145+'เม.ย.-มิ.ย.'!H145</f>
        <v>0</v>
      </c>
      <c r="I145" s="459">
        <f>+'ต.ค.-ธ.ค.'!I146+'ม.ค.-มี.ค.'!I145+'เม.ย.-มิ.ย.'!I145</f>
        <v>0</v>
      </c>
      <c r="J145" s="459">
        <f>+'ต.ค.-ธ.ค.'!J146+'ม.ค.-มี.ค.'!J145+'เม.ย.-มิ.ย.'!J145</f>
        <v>0</v>
      </c>
      <c r="K145" s="459">
        <f>+'ต.ค.-ธ.ค.'!K146+'ม.ค.-มี.ค.'!K145+'เม.ย.-มิ.ย.'!K145</f>
        <v>0</v>
      </c>
      <c r="L145" s="459">
        <f>+'ต.ค.-ธ.ค.'!L146+'ม.ค.-มี.ค.'!L145+'เม.ย.-มิ.ย.'!L145</f>
        <v>0</v>
      </c>
      <c r="M145" s="459">
        <f>+'ต.ค.-ธ.ค.'!M146+'ม.ค.-มี.ค.'!M145+'เม.ย.-มิ.ย.'!M145</f>
        <v>0</v>
      </c>
      <c r="N145" s="459">
        <f>+'ต.ค.-ธ.ค.'!N146+'ม.ค.-มี.ค.'!N145+'เม.ย.-มิ.ย.'!N145</f>
        <v>0</v>
      </c>
      <c r="O145" s="459">
        <f>+'ต.ค.-ธ.ค.'!O146+'ม.ค.-มี.ค.'!O145+'เม.ย.-มิ.ย.'!O145</f>
        <v>0</v>
      </c>
      <c r="P145" s="459">
        <f>+'ต.ค.-ธ.ค.'!P146+'ม.ค.-มี.ค.'!P145+'เม.ย.-มิ.ย.'!P145</f>
        <v>0</v>
      </c>
      <c r="Q145" s="459">
        <f>+'ต.ค.-ธ.ค.'!Q146+'ม.ค.-มี.ค.'!Q145+'เม.ย.-มิ.ย.'!Q145</f>
        <v>0</v>
      </c>
      <c r="R145" s="459">
        <f>+'ต.ค.-ธ.ค.'!R146+'ม.ค.-มี.ค.'!R145+'เม.ย.-มิ.ย.'!R145</f>
        <v>0</v>
      </c>
      <c r="S145" s="459">
        <f>+'ต.ค.-ธ.ค.'!S146+'ม.ค.-มี.ค.'!S145+'เม.ย.-มิ.ย.'!S145</f>
        <v>0</v>
      </c>
      <c r="T145" s="459">
        <f>+'ต.ค.-ธ.ค.'!U146+'ม.ค.-มี.ค.'!U145+'เม.ย.-มิ.ย.'!U145</f>
        <v>0</v>
      </c>
      <c r="U145" s="459">
        <f>+'ต.ค.-ธ.ค.'!V146+'ม.ค.-มี.ค.'!V145+'เม.ย.-มิ.ย.'!V145</f>
        <v>0</v>
      </c>
      <c r="W145"/>
    </row>
    <row r="146" spans="1:23" s="310" customFormat="1" ht="29.25" customHeight="1">
      <c r="A146" s="61"/>
      <c r="B146" s="388" t="s">
        <v>361</v>
      </c>
      <c r="C146" s="419">
        <v>5000</v>
      </c>
      <c r="D146" s="450"/>
      <c r="E146" s="459">
        <f>+'ต.ค.-ธ.ค.'!E147+'ม.ค.-มี.ค.'!E146+'เม.ย.-มิ.ย.'!E146</f>
        <v>0</v>
      </c>
      <c r="F146" s="459">
        <f>+'ต.ค.-ธ.ค.'!F147+'ม.ค.-มี.ค.'!F146+'เม.ย.-มิ.ย.'!F146</f>
        <v>0</v>
      </c>
      <c r="G146" s="459">
        <f>+'ต.ค.-ธ.ค.'!G147+'ม.ค.-มี.ค.'!G146+'เม.ย.-มิ.ย.'!G146</f>
        <v>0</v>
      </c>
      <c r="H146" s="459">
        <f>+'ต.ค.-ธ.ค.'!H147+'ม.ค.-มี.ค.'!H146+'เม.ย.-มิ.ย.'!H146</f>
        <v>0</v>
      </c>
      <c r="I146" s="459">
        <f>+'ต.ค.-ธ.ค.'!I147+'ม.ค.-มี.ค.'!I146+'เม.ย.-มิ.ย.'!I146</f>
        <v>0</v>
      </c>
      <c r="J146" s="459">
        <f>+'ต.ค.-ธ.ค.'!J147+'ม.ค.-มี.ค.'!J146+'เม.ย.-มิ.ย.'!J146</f>
        <v>0</v>
      </c>
      <c r="K146" s="459">
        <f>+'ต.ค.-ธ.ค.'!K147+'ม.ค.-มี.ค.'!K146+'เม.ย.-มิ.ย.'!K146</f>
        <v>0</v>
      </c>
      <c r="L146" s="459">
        <f>+'ต.ค.-ธ.ค.'!L147+'ม.ค.-มี.ค.'!L146+'เม.ย.-มิ.ย.'!L146</f>
        <v>0</v>
      </c>
      <c r="M146" s="459">
        <f>+'ต.ค.-ธ.ค.'!M147+'ม.ค.-มี.ค.'!M146+'เม.ย.-มิ.ย.'!M146</f>
        <v>0</v>
      </c>
      <c r="N146" s="459">
        <f>+'ต.ค.-ธ.ค.'!N147+'ม.ค.-มี.ค.'!N146+'เม.ย.-มิ.ย.'!N146</f>
        <v>0</v>
      </c>
      <c r="O146" s="459">
        <f>+'ต.ค.-ธ.ค.'!O147+'ม.ค.-มี.ค.'!O146+'เม.ย.-มิ.ย.'!O146</f>
        <v>0</v>
      </c>
      <c r="P146" s="459">
        <f>+'ต.ค.-ธ.ค.'!P147+'ม.ค.-มี.ค.'!P146+'เม.ย.-มิ.ย.'!P146</f>
        <v>0</v>
      </c>
      <c r="Q146" s="459">
        <f>+'ต.ค.-ธ.ค.'!Q147+'ม.ค.-มี.ค.'!Q146+'เม.ย.-มิ.ย.'!Q146</f>
        <v>0</v>
      </c>
      <c r="R146" s="459">
        <f>+'ต.ค.-ธ.ค.'!R147+'ม.ค.-มี.ค.'!R146+'เม.ย.-มิ.ย.'!R146</f>
        <v>0</v>
      </c>
      <c r="S146" s="459">
        <f>+'ต.ค.-ธ.ค.'!S147+'ม.ค.-มี.ค.'!S146+'เม.ย.-มิ.ย.'!S146</f>
        <v>0</v>
      </c>
      <c r="T146" s="459">
        <f>+'ต.ค.-ธ.ค.'!U147+'ม.ค.-มี.ค.'!U146+'เม.ย.-มิ.ย.'!U146</f>
        <v>0</v>
      </c>
      <c r="U146" s="459">
        <f>+'ต.ค.-ธ.ค.'!V147+'ม.ค.-มี.ค.'!V146+'เม.ย.-มิ.ย.'!V146</f>
        <v>0</v>
      </c>
      <c r="W146"/>
    </row>
    <row r="147" spans="1:23" s="310" customFormat="1" ht="29.25" customHeight="1">
      <c r="A147" s="61"/>
      <c r="B147" s="388" t="s">
        <v>362</v>
      </c>
      <c r="C147" s="419">
        <v>5000</v>
      </c>
      <c r="D147" s="450"/>
      <c r="E147" s="459">
        <f>+'ต.ค.-ธ.ค.'!E148+'ม.ค.-มี.ค.'!E147+'เม.ย.-มิ.ย.'!E147</f>
        <v>0</v>
      </c>
      <c r="F147" s="459">
        <f>+'ต.ค.-ธ.ค.'!F148+'ม.ค.-มี.ค.'!F147+'เม.ย.-มิ.ย.'!F147</f>
        <v>0</v>
      </c>
      <c r="G147" s="459">
        <f>+'ต.ค.-ธ.ค.'!G148+'ม.ค.-มี.ค.'!G147+'เม.ย.-มิ.ย.'!G147</f>
        <v>0</v>
      </c>
      <c r="H147" s="459">
        <f>+'ต.ค.-ธ.ค.'!H148+'ม.ค.-มี.ค.'!H147+'เม.ย.-มิ.ย.'!H147</f>
        <v>0</v>
      </c>
      <c r="I147" s="459">
        <f>+'ต.ค.-ธ.ค.'!I148+'ม.ค.-มี.ค.'!I147+'เม.ย.-มิ.ย.'!I147</f>
        <v>0</v>
      </c>
      <c r="J147" s="459">
        <f>+'ต.ค.-ธ.ค.'!J148+'ม.ค.-มี.ค.'!J147+'เม.ย.-มิ.ย.'!J147</f>
        <v>0</v>
      </c>
      <c r="K147" s="459">
        <f>+'ต.ค.-ธ.ค.'!K148+'ม.ค.-มี.ค.'!K147+'เม.ย.-มิ.ย.'!K147</f>
        <v>0</v>
      </c>
      <c r="L147" s="459">
        <f>+'ต.ค.-ธ.ค.'!L148+'ม.ค.-มี.ค.'!L147+'เม.ย.-มิ.ย.'!L147</f>
        <v>0</v>
      </c>
      <c r="M147" s="459">
        <f>+'ต.ค.-ธ.ค.'!M148+'ม.ค.-มี.ค.'!M147+'เม.ย.-มิ.ย.'!M147</f>
        <v>0</v>
      </c>
      <c r="N147" s="459">
        <f>+'ต.ค.-ธ.ค.'!N148+'ม.ค.-มี.ค.'!N147+'เม.ย.-มิ.ย.'!N147</f>
        <v>0</v>
      </c>
      <c r="O147" s="459">
        <f>+'ต.ค.-ธ.ค.'!O148+'ม.ค.-มี.ค.'!O147+'เม.ย.-มิ.ย.'!O147</f>
        <v>0</v>
      </c>
      <c r="P147" s="459">
        <f>+'ต.ค.-ธ.ค.'!P148+'ม.ค.-มี.ค.'!P147+'เม.ย.-มิ.ย.'!P147</f>
        <v>0</v>
      </c>
      <c r="Q147" s="459">
        <f>+'ต.ค.-ธ.ค.'!Q148+'ม.ค.-มี.ค.'!Q147+'เม.ย.-มิ.ย.'!Q147</f>
        <v>0</v>
      </c>
      <c r="R147" s="459">
        <f>+'ต.ค.-ธ.ค.'!R148+'ม.ค.-มี.ค.'!R147+'เม.ย.-มิ.ย.'!R147</f>
        <v>0</v>
      </c>
      <c r="S147" s="459">
        <f>+'ต.ค.-ธ.ค.'!S148+'ม.ค.-มี.ค.'!S147+'เม.ย.-มิ.ย.'!S147</f>
        <v>0</v>
      </c>
      <c r="T147" s="459">
        <f>+'ต.ค.-ธ.ค.'!U148+'ม.ค.-มี.ค.'!U147+'เม.ย.-มิ.ย.'!U147</f>
        <v>0</v>
      </c>
      <c r="U147" s="459">
        <f>+'ต.ค.-ธ.ค.'!V148+'ม.ค.-มี.ค.'!V147+'เม.ย.-มิ.ย.'!V147</f>
        <v>0</v>
      </c>
      <c r="W147"/>
    </row>
    <row r="148" spans="1:23" s="310" customFormat="1" ht="29.25" customHeight="1">
      <c r="A148" s="61"/>
      <c r="B148" s="388" t="s">
        <v>363</v>
      </c>
      <c r="C148" s="419">
        <v>5000</v>
      </c>
      <c r="D148" s="442"/>
      <c r="E148" s="459">
        <f>+'ต.ค.-ธ.ค.'!E149+'ม.ค.-มี.ค.'!E148+'เม.ย.-มิ.ย.'!E148</f>
        <v>0</v>
      </c>
      <c r="F148" s="459">
        <f>+'ต.ค.-ธ.ค.'!F149+'ม.ค.-มี.ค.'!F148+'เม.ย.-มิ.ย.'!F148</f>
        <v>0</v>
      </c>
      <c r="G148" s="459">
        <f>+'ต.ค.-ธ.ค.'!G149+'ม.ค.-มี.ค.'!G148+'เม.ย.-มิ.ย.'!G148</f>
        <v>0</v>
      </c>
      <c r="H148" s="459">
        <f>+'ต.ค.-ธ.ค.'!H149+'ม.ค.-มี.ค.'!H148+'เม.ย.-มิ.ย.'!H148</f>
        <v>0</v>
      </c>
      <c r="I148" s="459">
        <f>+'ต.ค.-ธ.ค.'!I149+'ม.ค.-มี.ค.'!I148+'เม.ย.-มิ.ย.'!I148</f>
        <v>0</v>
      </c>
      <c r="J148" s="459">
        <f>+'ต.ค.-ธ.ค.'!J149+'ม.ค.-มี.ค.'!J148+'เม.ย.-มิ.ย.'!J148</f>
        <v>0</v>
      </c>
      <c r="K148" s="459">
        <f>+'ต.ค.-ธ.ค.'!K149+'ม.ค.-มี.ค.'!K148+'เม.ย.-มิ.ย.'!K148</f>
        <v>0</v>
      </c>
      <c r="L148" s="459">
        <f>+'ต.ค.-ธ.ค.'!L149+'ม.ค.-มี.ค.'!L148+'เม.ย.-มิ.ย.'!L148</f>
        <v>0</v>
      </c>
      <c r="M148" s="459">
        <f>+'ต.ค.-ธ.ค.'!M149+'ม.ค.-มี.ค.'!M148+'เม.ย.-มิ.ย.'!M148</f>
        <v>0</v>
      </c>
      <c r="N148" s="459">
        <f>+'ต.ค.-ธ.ค.'!N149+'ม.ค.-มี.ค.'!N148+'เม.ย.-มิ.ย.'!N148</f>
        <v>0</v>
      </c>
      <c r="O148" s="459">
        <f>+'ต.ค.-ธ.ค.'!O149+'ม.ค.-มี.ค.'!O148+'เม.ย.-มิ.ย.'!O148</f>
        <v>0</v>
      </c>
      <c r="P148" s="459">
        <f>+'ต.ค.-ธ.ค.'!P149+'ม.ค.-มี.ค.'!P148+'เม.ย.-มิ.ย.'!P148</f>
        <v>0</v>
      </c>
      <c r="Q148" s="459">
        <f>+'ต.ค.-ธ.ค.'!Q149+'ม.ค.-มี.ค.'!Q148+'เม.ย.-มิ.ย.'!Q148</f>
        <v>0</v>
      </c>
      <c r="R148" s="459">
        <f>+'ต.ค.-ธ.ค.'!R149+'ม.ค.-มี.ค.'!R148+'เม.ย.-มิ.ย.'!R148</f>
        <v>0</v>
      </c>
      <c r="S148" s="459">
        <f>+'ต.ค.-ธ.ค.'!S149+'ม.ค.-มี.ค.'!S148+'เม.ย.-มิ.ย.'!S148</f>
        <v>0</v>
      </c>
      <c r="T148" s="459">
        <f>+'ต.ค.-ธ.ค.'!U149+'ม.ค.-มี.ค.'!U148+'เม.ย.-มิ.ย.'!U148</f>
        <v>0</v>
      </c>
      <c r="U148" s="459">
        <f>+'ต.ค.-ธ.ค.'!V149+'ม.ค.-มี.ค.'!V148+'เม.ย.-มิ.ย.'!V148</f>
        <v>0</v>
      </c>
      <c r="W148"/>
    </row>
    <row r="149" spans="1:23" s="310" customFormat="1" ht="29.25" customHeight="1">
      <c r="A149" s="61"/>
      <c r="B149" s="388" t="s">
        <v>364</v>
      </c>
      <c r="C149" s="419">
        <v>5000</v>
      </c>
      <c r="D149" s="442"/>
      <c r="E149" s="459">
        <f>+'ต.ค.-ธ.ค.'!E150+'ม.ค.-มี.ค.'!E149+'เม.ย.-มิ.ย.'!E149</f>
        <v>0</v>
      </c>
      <c r="F149" s="459">
        <f>+'ต.ค.-ธ.ค.'!F150+'ม.ค.-มี.ค.'!F149+'เม.ย.-มิ.ย.'!F149</f>
        <v>0</v>
      </c>
      <c r="G149" s="459">
        <f>+'ต.ค.-ธ.ค.'!G150+'ม.ค.-มี.ค.'!G149+'เม.ย.-มิ.ย.'!G149</f>
        <v>0</v>
      </c>
      <c r="H149" s="459">
        <f>+'ต.ค.-ธ.ค.'!H150+'ม.ค.-มี.ค.'!H149+'เม.ย.-มิ.ย.'!H149</f>
        <v>0</v>
      </c>
      <c r="I149" s="459">
        <f>+'ต.ค.-ธ.ค.'!I150+'ม.ค.-มี.ค.'!I149+'เม.ย.-มิ.ย.'!I149</f>
        <v>0</v>
      </c>
      <c r="J149" s="459">
        <f>+'ต.ค.-ธ.ค.'!J150+'ม.ค.-มี.ค.'!J149+'เม.ย.-มิ.ย.'!J149</f>
        <v>0</v>
      </c>
      <c r="K149" s="459">
        <f>+'ต.ค.-ธ.ค.'!K150+'ม.ค.-มี.ค.'!K149+'เม.ย.-มิ.ย.'!K149</f>
        <v>0</v>
      </c>
      <c r="L149" s="459">
        <f>+'ต.ค.-ธ.ค.'!L150+'ม.ค.-มี.ค.'!L149+'เม.ย.-มิ.ย.'!L149</f>
        <v>0</v>
      </c>
      <c r="M149" s="459">
        <f>+'ต.ค.-ธ.ค.'!M150+'ม.ค.-มี.ค.'!M149+'เม.ย.-มิ.ย.'!M149</f>
        <v>0</v>
      </c>
      <c r="N149" s="459">
        <f>+'ต.ค.-ธ.ค.'!N150+'ม.ค.-มี.ค.'!N149+'เม.ย.-มิ.ย.'!N149</f>
        <v>0</v>
      </c>
      <c r="O149" s="459">
        <f>+'ต.ค.-ธ.ค.'!O150+'ม.ค.-มี.ค.'!O149+'เม.ย.-มิ.ย.'!O149</f>
        <v>0</v>
      </c>
      <c r="P149" s="459">
        <f>+'ต.ค.-ธ.ค.'!P150+'ม.ค.-มี.ค.'!P149+'เม.ย.-มิ.ย.'!P149</f>
        <v>0</v>
      </c>
      <c r="Q149" s="459">
        <f>+'ต.ค.-ธ.ค.'!Q150+'ม.ค.-มี.ค.'!Q149+'เม.ย.-มิ.ย.'!Q149</f>
        <v>0</v>
      </c>
      <c r="R149" s="459">
        <f>+'ต.ค.-ธ.ค.'!R150+'ม.ค.-มี.ค.'!R149+'เม.ย.-มิ.ย.'!R149</f>
        <v>0</v>
      </c>
      <c r="S149" s="459">
        <f>+'ต.ค.-ธ.ค.'!S150+'ม.ค.-มี.ค.'!S149+'เม.ย.-มิ.ย.'!S149</f>
        <v>0</v>
      </c>
      <c r="T149" s="459">
        <f>+'ต.ค.-ธ.ค.'!U150+'ม.ค.-มี.ค.'!U149+'เม.ย.-มิ.ย.'!U149</f>
        <v>0</v>
      </c>
      <c r="U149" s="459">
        <f>+'ต.ค.-ธ.ค.'!V150+'ม.ค.-มี.ค.'!V149+'เม.ย.-มิ.ย.'!V149</f>
        <v>0</v>
      </c>
      <c r="W149"/>
    </row>
    <row r="150" spans="1:23" s="310" customFormat="1" ht="29.25" customHeight="1">
      <c r="A150" s="61"/>
      <c r="B150" s="388" t="s">
        <v>365</v>
      </c>
      <c r="C150" s="419">
        <v>5000</v>
      </c>
      <c r="D150" s="442"/>
      <c r="E150" s="459">
        <f>+'ต.ค.-ธ.ค.'!E151+'ม.ค.-มี.ค.'!E150+'เม.ย.-มิ.ย.'!E150</f>
        <v>0</v>
      </c>
      <c r="F150" s="459">
        <f>+'ต.ค.-ธ.ค.'!F151+'ม.ค.-มี.ค.'!F150+'เม.ย.-มิ.ย.'!F150</f>
        <v>0</v>
      </c>
      <c r="G150" s="459">
        <f>+'ต.ค.-ธ.ค.'!G151+'ม.ค.-มี.ค.'!G150+'เม.ย.-มิ.ย.'!G150</f>
        <v>0</v>
      </c>
      <c r="H150" s="459">
        <f>+'ต.ค.-ธ.ค.'!H151+'ม.ค.-มี.ค.'!H150+'เม.ย.-มิ.ย.'!H150</f>
        <v>0</v>
      </c>
      <c r="I150" s="459">
        <f>+'ต.ค.-ธ.ค.'!I151+'ม.ค.-มี.ค.'!I150+'เม.ย.-มิ.ย.'!I150</f>
        <v>0</v>
      </c>
      <c r="J150" s="459">
        <f>+'ต.ค.-ธ.ค.'!J151+'ม.ค.-มี.ค.'!J150+'เม.ย.-มิ.ย.'!J150</f>
        <v>0</v>
      </c>
      <c r="K150" s="459">
        <f>+'ต.ค.-ธ.ค.'!K151+'ม.ค.-มี.ค.'!K150+'เม.ย.-มิ.ย.'!K150</f>
        <v>0</v>
      </c>
      <c r="L150" s="459">
        <f>+'ต.ค.-ธ.ค.'!L151+'ม.ค.-มี.ค.'!L150+'เม.ย.-มิ.ย.'!L150</f>
        <v>0</v>
      </c>
      <c r="M150" s="459">
        <f>+'ต.ค.-ธ.ค.'!M151+'ม.ค.-มี.ค.'!M150+'เม.ย.-มิ.ย.'!M150</f>
        <v>0</v>
      </c>
      <c r="N150" s="459">
        <f>+'ต.ค.-ธ.ค.'!N151+'ม.ค.-มี.ค.'!N150+'เม.ย.-มิ.ย.'!N150</f>
        <v>0</v>
      </c>
      <c r="O150" s="459">
        <f>+'ต.ค.-ธ.ค.'!O151+'ม.ค.-มี.ค.'!O150+'เม.ย.-มิ.ย.'!O150</f>
        <v>0</v>
      </c>
      <c r="P150" s="459">
        <f>+'ต.ค.-ธ.ค.'!P151+'ม.ค.-มี.ค.'!P150+'เม.ย.-มิ.ย.'!P150</f>
        <v>0</v>
      </c>
      <c r="Q150" s="459">
        <f>+'ต.ค.-ธ.ค.'!Q151+'ม.ค.-มี.ค.'!Q150+'เม.ย.-มิ.ย.'!Q150</f>
        <v>0</v>
      </c>
      <c r="R150" s="459">
        <f>+'ต.ค.-ธ.ค.'!R151+'ม.ค.-มี.ค.'!R150+'เม.ย.-มิ.ย.'!R150</f>
        <v>0</v>
      </c>
      <c r="S150" s="459">
        <f>+'ต.ค.-ธ.ค.'!S151+'ม.ค.-มี.ค.'!S150+'เม.ย.-มิ.ย.'!S150</f>
        <v>0</v>
      </c>
      <c r="T150" s="459">
        <f>+'ต.ค.-ธ.ค.'!U151+'ม.ค.-มี.ค.'!U150+'เม.ย.-มิ.ย.'!U150</f>
        <v>0</v>
      </c>
      <c r="U150" s="459">
        <f>+'ต.ค.-ธ.ค.'!V151+'ม.ค.-มี.ค.'!V150+'เม.ย.-มิ.ย.'!V150</f>
        <v>0</v>
      </c>
      <c r="W150"/>
    </row>
    <row r="151" spans="1:23" s="310" customFormat="1" ht="29.25" customHeight="1">
      <c r="A151" s="61"/>
      <c r="B151" s="388" t="s">
        <v>366</v>
      </c>
      <c r="C151" s="419">
        <v>5000</v>
      </c>
      <c r="D151" s="442"/>
      <c r="E151" s="459">
        <f>+'ต.ค.-ธ.ค.'!E152+'ม.ค.-มี.ค.'!E151+'เม.ย.-มิ.ย.'!E151</f>
        <v>0</v>
      </c>
      <c r="F151" s="459">
        <f>+'ต.ค.-ธ.ค.'!F152+'ม.ค.-มี.ค.'!F151+'เม.ย.-มิ.ย.'!F151</f>
        <v>0</v>
      </c>
      <c r="G151" s="459">
        <f>+'ต.ค.-ธ.ค.'!G152+'ม.ค.-มี.ค.'!G151+'เม.ย.-มิ.ย.'!G151</f>
        <v>0</v>
      </c>
      <c r="H151" s="459">
        <f>+'ต.ค.-ธ.ค.'!H152+'ม.ค.-มี.ค.'!H151+'เม.ย.-มิ.ย.'!H151</f>
        <v>0</v>
      </c>
      <c r="I151" s="459">
        <f>+'ต.ค.-ธ.ค.'!I152+'ม.ค.-มี.ค.'!I151+'เม.ย.-มิ.ย.'!I151</f>
        <v>0</v>
      </c>
      <c r="J151" s="459">
        <f>+'ต.ค.-ธ.ค.'!J152+'ม.ค.-มี.ค.'!J151+'เม.ย.-มิ.ย.'!J151</f>
        <v>0</v>
      </c>
      <c r="K151" s="459">
        <f>+'ต.ค.-ธ.ค.'!K152+'ม.ค.-มี.ค.'!K151+'เม.ย.-มิ.ย.'!K151</f>
        <v>0</v>
      </c>
      <c r="L151" s="459">
        <f>+'ต.ค.-ธ.ค.'!L152+'ม.ค.-มี.ค.'!L151+'เม.ย.-มิ.ย.'!L151</f>
        <v>0</v>
      </c>
      <c r="M151" s="459">
        <f>+'ต.ค.-ธ.ค.'!M152+'ม.ค.-มี.ค.'!M151+'เม.ย.-มิ.ย.'!M151</f>
        <v>0</v>
      </c>
      <c r="N151" s="459">
        <f>+'ต.ค.-ธ.ค.'!N152+'ม.ค.-มี.ค.'!N151+'เม.ย.-มิ.ย.'!N151</f>
        <v>0</v>
      </c>
      <c r="O151" s="459">
        <f>+'ต.ค.-ธ.ค.'!O152+'ม.ค.-มี.ค.'!O151+'เม.ย.-มิ.ย.'!O151</f>
        <v>0</v>
      </c>
      <c r="P151" s="459">
        <f>+'ต.ค.-ธ.ค.'!P152+'ม.ค.-มี.ค.'!P151+'เม.ย.-มิ.ย.'!P151</f>
        <v>0</v>
      </c>
      <c r="Q151" s="459">
        <f>+'ต.ค.-ธ.ค.'!Q152+'ม.ค.-มี.ค.'!Q151+'เม.ย.-มิ.ย.'!Q151</f>
        <v>0</v>
      </c>
      <c r="R151" s="459">
        <f>+'ต.ค.-ธ.ค.'!R152+'ม.ค.-มี.ค.'!R151+'เม.ย.-มิ.ย.'!R151</f>
        <v>0</v>
      </c>
      <c r="S151" s="459">
        <f>+'ต.ค.-ธ.ค.'!S152+'ม.ค.-มี.ค.'!S151+'เม.ย.-มิ.ย.'!S151</f>
        <v>0</v>
      </c>
      <c r="T151" s="459">
        <f>+'ต.ค.-ธ.ค.'!U152+'ม.ค.-มี.ค.'!U151+'เม.ย.-มิ.ย.'!U151</f>
        <v>0</v>
      </c>
      <c r="U151" s="459">
        <f>+'ต.ค.-ธ.ค.'!V152+'ม.ค.-มี.ค.'!V151+'เม.ย.-มิ.ย.'!V151</f>
        <v>0</v>
      </c>
      <c r="W151"/>
    </row>
    <row r="152" spans="1:23" s="310" customFormat="1" ht="29.25" customHeight="1">
      <c r="A152" s="61"/>
      <c r="B152" s="388" t="s">
        <v>367</v>
      </c>
      <c r="C152" s="419">
        <v>5000</v>
      </c>
      <c r="D152" s="442"/>
      <c r="E152" s="459">
        <f>+'ต.ค.-ธ.ค.'!E153+'ม.ค.-มี.ค.'!E152+'เม.ย.-มิ.ย.'!E152</f>
        <v>0</v>
      </c>
      <c r="F152" s="459">
        <f>+'ต.ค.-ธ.ค.'!F153+'ม.ค.-มี.ค.'!F152+'เม.ย.-มิ.ย.'!F152</f>
        <v>0</v>
      </c>
      <c r="G152" s="459">
        <f>+'ต.ค.-ธ.ค.'!G153+'ม.ค.-มี.ค.'!G152+'เม.ย.-มิ.ย.'!G152</f>
        <v>0</v>
      </c>
      <c r="H152" s="459">
        <f>+'ต.ค.-ธ.ค.'!H153+'ม.ค.-มี.ค.'!H152+'เม.ย.-มิ.ย.'!H152</f>
        <v>0</v>
      </c>
      <c r="I152" s="459">
        <f>+'ต.ค.-ธ.ค.'!I153+'ม.ค.-มี.ค.'!I152+'เม.ย.-มิ.ย.'!I152</f>
        <v>0</v>
      </c>
      <c r="J152" s="459">
        <f>+'ต.ค.-ธ.ค.'!J153+'ม.ค.-มี.ค.'!J152+'เม.ย.-มิ.ย.'!J152</f>
        <v>0</v>
      </c>
      <c r="K152" s="459">
        <f>+'ต.ค.-ธ.ค.'!K153+'ม.ค.-มี.ค.'!K152+'เม.ย.-มิ.ย.'!K152</f>
        <v>0</v>
      </c>
      <c r="L152" s="459">
        <f>+'ต.ค.-ธ.ค.'!L153+'ม.ค.-มี.ค.'!L152+'เม.ย.-มิ.ย.'!L152</f>
        <v>0</v>
      </c>
      <c r="M152" s="459">
        <f>+'ต.ค.-ธ.ค.'!M153+'ม.ค.-มี.ค.'!M152+'เม.ย.-มิ.ย.'!M152</f>
        <v>0</v>
      </c>
      <c r="N152" s="459">
        <f>+'ต.ค.-ธ.ค.'!N153+'ม.ค.-มี.ค.'!N152+'เม.ย.-มิ.ย.'!N152</f>
        <v>0</v>
      </c>
      <c r="O152" s="459">
        <f>+'ต.ค.-ธ.ค.'!O153+'ม.ค.-มี.ค.'!O152+'เม.ย.-มิ.ย.'!O152</f>
        <v>0</v>
      </c>
      <c r="P152" s="459">
        <f>+'ต.ค.-ธ.ค.'!P153+'ม.ค.-มี.ค.'!P152+'เม.ย.-มิ.ย.'!P152</f>
        <v>0</v>
      </c>
      <c r="Q152" s="459">
        <f>+'ต.ค.-ธ.ค.'!Q153+'ม.ค.-มี.ค.'!Q152+'เม.ย.-มิ.ย.'!Q152</f>
        <v>0</v>
      </c>
      <c r="R152" s="459">
        <f>+'ต.ค.-ธ.ค.'!R153+'ม.ค.-มี.ค.'!R152+'เม.ย.-มิ.ย.'!R152</f>
        <v>0</v>
      </c>
      <c r="S152" s="459">
        <f>+'ต.ค.-ธ.ค.'!S153+'ม.ค.-มี.ค.'!S152+'เม.ย.-มิ.ย.'!S152</f>
        <v>0</v>
      </c>
      <c r="T152" s="459">
        <f>+'ต.ค.-ธ.ค.'!U153+'ม.ค.-มี.ค.'!U152+'เม.ย.-มิ.ย.'!U152</f>
        <v>0</v>
      </c>
      <c r="U152" s="459">
        <f>+'ต.ค.-ธ.ค.'!V153+'ม.ค.-มี.ค.'!V152+'เม.ย.-มิ.ย.'!V152</f>
        <v>0</v>
      </c>
      <c r="W152"/>
    </row>
    <row r="153" spans="1:23" s="310" customFormat="1" ht="29.25" customHeight="1">
      <c r="A153" s="61"/>
      <c r="B153" s="388" t="s">
        <v>368</v>
      </c>
      <c r="C153" s="419">
        <v>5000</v>
      </c>
      <c r="D153" s="442"/>
      <c r="E153" s="459">
        <f>+'ต.ค.-ธ.ค.'!E154+'ม.ค.-มี.ค.'!E153+'เม.ย.-มิ.ย.'!E153</f>
        <v>0</v>
      </c>
      <c r="F153" s="459">
        <f>+'ต.ค.-ธ.ค.'!F154+'ม.ค.-มี.ค.'!F153+'เม.ย.-มิ.ย.'!F153</f>
        <v>0</v>
      </c>
      <c r="G153" s="459">
        <f>+'ต.ค.-ธ.ค.'!G154+'ม.ค.-มี.ค.'!G153+'เม.ย.-มิ.ย.'!G153</f>
        <v>0</v>
      </c>
      <c r="H153" s="459">
        <f>+'ต.ค.-ธ.ค.'!H154+'ม.ค.-มี.ค.'!H153+'เม.ย.-มิ.ย.'!H153</f>
        <v>0</v>
      </c>
      <c r="I153" s="459">
        <f>+'ต.ค.-ธ.ค.'!I154+'ม.ค.-มี.ค.'!I153+'เม.ย.-มิ.ย.'!I153</f>
        <v>0</v>
      </c>
      <c r="J153" s="459">
        <f>+'ต.ค.-ธ.ค.'!J154+'ม.ค.-มี.ค.'!J153+'เม.ย.-มิ.ย.'!J153</f>
        <v>0</v>
      </c>
      <c r="K153" s="459">
        <f>+'ต.ค.-ธ.ค.'!K154+'ม.ค.-มี.ค.'!K153+'เม.ย.-มิ.ย.'!K153</f>
        <v>0</v>
      </c>
      <c r="L153" s="459">
        <f>+'ต.ค.-ธ.ค.'!L154+'ม.ค.-มี.ค.'!L153+'เม.ย.-มิ.ย.'!L153</f>
        <v>0</v>
      </c>
      <c r="M153" s="459">
        <f>+'ต.ค.-ธ.ค.'!M154+'ม.ค.-มี.ค.'!M153+'เม.ย.-มิ.ย.'!M153</f>
        <v>0</v>
      </c>
      <c r="N153" s="459">
        <f>+'ต.ค.-ธ.ค.'!N154+'ม.ค.-มี.ค.'!N153+'เม.ย.-มิ.ย.'!N153</f>
        <v>0</v>
      </c>
      <c r="O153" s="459">
        <f>+'ต.ค.-ธ.ค.'!O154+'ม.ค.-มี.ค.'!O153+'เม.ย.-มิ.ย.'!O153</f>
        <v>0</v>
      </c>
      <c r="P153" s="459">
        <f>+'ต.ค.-ธ.ค.'!P154+'ม.ค.-มี.ค.'!P153+'เม.ย.-มิ.ย.'!P153</f>
        <v>0</v>
      </c>
      <c r="Q153" s="459">
        <f>+'ต.ค.-ธ.ค.'!Q154+'ม.ค.-มี.ค.'!Q153+'เม.ย.-มิ.ย.'!Q153</f>
        <v>0</v>
      </c>
      <c r="R153" s="459">
        <f>+'ต.ค.-ธ.ค.'!R154+'ม.ค.-มี.ค.'!R153+'เม.ย.-มิ.ย.'!R153</f>
        <v>0</v>
      </c>
      <c r="S153" s="459">
        <f>+'ต.ค.-ธ.ค.'!S154+'ม.ค.-มี.ค.'!S153+'เม.ย.-มิ.ย.'!S153</f>
        <v>0</v>
      </c>
      <c r="T153" s="459">
        <f>+'ต.ค.-ธ.ค.'!U154+'ม.ค.-มี.ค.'!U153+'เม.ย.-มิ.ย.'!U153</f>
        <v>0</v>
      </c>
      <c r="U153" s="459">
        <f>+'ต.ค.-ธ.ค.'!V154+'ม.ค.-มี.ค.'!V153+'เม.ย.-มิ.ย.'!V153</f>
        <v>0</v>
      </c>
      <c r="W153"/>
    </row>
    <row r="154" spans="1:23" s="310" customFormat="1" ht="29.25" customHeight="1">
      <c r="A154" s="61"/>
      <c r="B154" s="388" t="s">
        <v>369</v>
      </c>
      <c r="C154" s="419">
        <f>10000-10000</f>
        <v>0</v>
      </c>
      <c r="D154" s="442"/>
      <c r="E154" s="459">
        <f>+'ต.ค.-ธ.ค.'!E155+'ม.ค.-มี.ค.'!E154+'เม.ย.-มิ.ย.'!E154</f>
        <v>0</v>
      </c>
      <c r="F154" s="459">
        <f>+'ต.ค.-ธ.ค.'!F155+'ม.ค.-มี.ค.'!F154+'เม.ย.-มิ.ย.'!F154</f>
        <v>0</v>
      </c>
      <c r="G154" s="459">
        <f>+'ต.ค.-ธ.ค.'!G155+'ม.ค.-มี.ค.'!G154+'เม.ย.-มิ.ย.'!G154</f>
        <v>0</v>
      </c>
      <c r="H154" s="459">
        <f>+'ต.ค.-ธ.ค.'!H155+'ม.ค.-มี.ค.'!H154+'เม.ย.-มิ.ย.'!H154</f>
        <v>0</v>
      </c>
      <c r="I154" s="459">
        <f>+'ต.ค.-ธ.ค.'!I155+'ม.ค.-มี.ค.'!I154+'เม.ย.-มิ.ย.'!I154</f>
        <v>0</v>
      </c>
      <c r="J154" s="459">
        <f>+'ต.ค.-ธ.ค.'!J155+'ม.ค.-มี.ค.'!J154+'เม.ย.-มิ.ย.'!J154</f>
        <v>0</v>
      </c>
      <c r="K154" s="459">
        <f>+'ต.ค.-ธ.ค.'!K155+'ม.ค.-มี.ค.'!K154+'เม.ย.-มิ.ย.'!K154</f>
        <v>0</v>
      </c>
      <c r="L154" s="459">
        <f>+'ต.ค.-ธ.ค.'!L155+'ม.ค.-มี.ค.'!L154+'เม.ย.-มิ.ย.'!L154</f>
        <v>0</v>
      </c>
      <c r="M154" s="459">
        <f>+'ต.ค.-ธ.ค.'!M155+'ม.ค.-มี.ค.'!M154+'เม.ย.-มิ.ย.'!M154</f>
        <v>0</v>
      </c>
      <c r="N154" s="459">
        <f>+'ต.ค.-ธ.ค.'!N155+'ม.ค.-มี.ค.'!N154+'เม.ย.-มิ.ย.'!N154</f>
        <v>0</v>
      </c>
      <c r="O154" s="459">
        <f>+'ต.ค.-ธ.ค.'!O155+'ม.ค.-มี.ค.'!O154+'เม.ย.-มิ.ย.'!O154</f>
        <v>0</v>
      </c>
      <c r="P154" s="459">
        <f>+'ต.ค.-ธ.ค.'!P155+'ม.ค.-มี.ค.'!P154+'เม.ย.-มิ.ย.'!P154</f>
        <v>0</v>
      </c>
      <c r="Q154" s="459">
        <f>+'ต.ค.-ธ.ค.'!Q155+'ม.ค.-มี.ค.'!Q154+'เม.ย.-มิ.ย.'!Q154</f>
        <v>0</v>
      </c>
      <c r="R154" s="459">
        <f>+'ต.ค.-ธ.ค.'!R155+'ม.ค.-มี.ค.'!R154+'เม.ย.-มิ.ย.'!R154</f>
        <v>0</v>
      </c>
      <c r="S154" s="459">
        <f>+'ต.ค.-ธ.ค.'!S155+'ม.ค.-มี.ค.'!S154+'เม.ย.-มิ.ย.'!S154</f>
        <v>0</v>
      </c>
      <c r="T154" s="459">
        <f>+'ต.ค.-ธ.ค.'!U155+'ม.ค.-มี.ค.'!U154+'เม.ย.-มิ.ย.'!U154</f>
        <v>0</v>
      </c>
      <c r="U154" s="459">
        <f>+'ต.ค.-ธ.ค.'!V155+'ม.ค.-มี.ค.'!V154+'เม.ย.-มิ.ย.'!V154</f>
        <v>0</v>
      </c>
      <c r="W154"/>
    </row>
    <row r="155" spans="1:23" s="310" customFormat="1" ht="29.25" customHeight="1">
      <c r="A155" s="61"/>
      <c r="B155" s="388" t="s">
        <v>370</v>
      </c>
      <c r="C155" s="419">
        <v>10000</v>
      </c>
      <c r="D155" s="442"/>
      <c r="E155" s="459">
        <f>+'ต.ค.-ธ.ค.'!E156+'ม.ค.-มี.ค.'!E155+'เม.ย.-มิ.ย.'!E155</f>
        <v>0</v>
      </c>
      <c r="F155" s="459">
        <f>+'ต.ค.-ธ.ค.'!F156+'ม.ค.-มี.ค.'!F155+'เม.ย.-มิ.ย.'!F155</f>
        <v>0</v>
      </c>
      <c r="G155" s="459">
        <f>+'ต.ค.-ธ.ค.'!G156+'ม.ค.-มี.ค.'!G155+'เม.ย.-มิ.ย.'!G155</f>
        <v>0</v>
      </c>
      <c r="H155" s="459">
        <f>+'ต.ค.-ธ.ค.'!H156+'ม.ค.-มี.ค.'!H155+'เม.ย.-มิ.ย.'!H155</f>
        <v>0</v>
      </c>
      <c r="I155" s="459">
        <f>+'ต.ค.-ธ.ค.'!I156+'ม.ค.-มี.ค.'!I155+'เม.ย.-มิ.ย.'!I155</f>
        <v>0</v>
      </c>
      <c r="J155" s="459">
        <f>+'ต.ค.-ธ.ค.'!J156+'ม.ค.-มี.ค.'!J155+'เม.ย.-มิ.ย.'!J155</f>
        <v>0</v>
      </c>
      <c r="K155" s="459">
        <f>+'ต.ค.-ธ.ค.'!K156+'ม.ค.-มี.ค.'!K155+'เม.ย.-มิ.ย.'!K155</f>
        <v>0</v>
      </c>
      <c r="L155" s="459">
        <f>+'ต.ค.-ธ.ค.'!L156+'ม.ค.-มี.ค.'!L155+'เม.ย.-มิ.ย.'!L155</f>
        <v>0</v>
      </c>
      <c r="M155" s="459">
        <f>+'ต.ค.-ธ.ค.'!M156+'ม.ค.-มี.ค.'!M155+'เม.ย.-มิ.ย.'!M155</f>
        <v>0</v>
      </c>
      <c r="N155" s="459">
        <f>+'ต.ค.-ธ.ค.'!N156+'ม.ค.-มี.ค.'!N155+'เม.ย.-มิ.ย.'!N155</f>
        <v>0</v>
      </c>
      <c r="O155" s="459">
        <f>+'ต.ค.-ธ.ค.'!O156+'ม.ค.-มี.ค.'!O155+'เม.ย.-มิ.ย.'!O155</f>
        <v>0</v>
      </c>
      <c r="P155" s="459">
        <f>+'ต.ค.-ธ.ค.'!P156+'ม.ค.-มี.ค.'!P155+'เม.ย.-มิ.ย.'!P155</f>
        <v>0</v>
      </c>
      <c r="Q155" s="459">
        <f>+'ต.ค.-ธ.ค.'!Q156+'ม.ค.-มี.ค.'!Q155+'เม.ย.-มิ.ย.'!Q155</f>
        <v>0</v>
      </c>
      <c r="R155" s="459">
        <f>+'ต.ค.-ธ.ค.'!R156+'ม.ค.-มี.ค.'!R155+'เม.ย.-มิ.ย.'!R155</f>
        <v>0</v>
      </c>
      <c r="S155" s="459">
        <f>+'ต.ค.-ธ.ค.'!S156+'ม.ค.-มี.ค.'!S155+'เม.ย.-มิ.ย.'!S155</f>
        <v>0</v>
      </c>
      <c r="T155" s="459">
        <f>+'ต.ค.-ธ.ค.'!U156+'ม.ค.-มี.ค.'!U155+'เม.ย.-มิ.ย.'!U155</f>
        <v>0</v>
      </c>
      <c r="U155" s="459">
        <f>+'ต.ค.-ธ.ค.'!V156+'ม.ค.-มี.ค.'!V155+'เม.ย.-มิ.ย.'!V155</f>
        <v>0</v>
      </c>
      <c r="W155"/>
    </row>
    <row r="156" spans="1:23" s="310" customFormat="1" ht="29.25" customHeight="1">
      <c r="A156" s="61"/>
      <c r="B156" s="388" t="s">
        <v>163</v>
      </c>
      <c r="C156" s="419">
        <f>350000-156000-153000-11000-10000-20000</f>
        <v>0</v>
      </c>
      <c r="D156" s="442"/>
      <c r="E156" s="459">
        <f>+'ต.ค.-ธ.ค.'!E157+'ม.ค.-มี.ค.'!E156+'เม.ย.-มิ.ย.'!E156</f>
        <v>0</v>
      </c>
      <c r="F156" s="459">
        <f>+'ต.ค.-ธ.ค.'!F157+'ม.ค.-มี.ค.'!F156+'เม.ย.-มิ.ย.'!F156</f>
        <v>0</v>
      </c>
      <c r="G156" s="459">
        <f>+'ต.ค.-ธ.ค.'!G157+'ม.ค.-มี.ค.'!G156+'เม.ย.-มิ.ย.'!G156</f>
        <v>0</v>
      </c>
      <c r="H156" s="459">
        <f>+'ต.ค.-ธ.ค.'!H157+'ม.ค.-มี.ค.'!H156+'เม.ย.-มิ.ย.'!H156</f>
        <v>0</v>
      </c>
      <c r="I156" s="459">
        <f>+'ต.ค.-ธ.ค.'!I157+'ม.ค.-มี.ค.'!I156+'เม.ย.-มิ.ย.'!I156</f>
        <v>0</v>
      </c>
      <c r="J156" s="459">
        <f>+'ต.ค.-ธ.ค.'!J157+'ม.ค.-มี.ค.'!J156+'เม.ย.-มิ.ย.'!J156</f>
        <v>0</v>
      </c>
      <c r="K156" s="459">
        <f>+'ต.ค.-ธ.ค.'!K157+'ม.ค.-มี.ค.'!K156+'เม.ย.-มิ.ย.'!K156</f>
        <v>0</v>
      </c>
      <c r="L156" s="459">
        <f>+'ต.ค.-ธ.ค.'!L157+'ม.ค.-มี.ค.'!L156+'เม.ย.-มิ.ย.'!L156</f>
        <v>0</v>
      </c>
      <c r="M156" s="459">
        <f>+'ต.ค.-ธ.ค.'!M157+'ม.ค.-มี.ค.'!M156+'เม.ย.-มิ.ย.'!M156</f>
        <v>0</v>
      </c>
      <c r="N156" s="459">
        <f>+'ต.ค.-ธ.ค.'!N157+'ม.ค.-มี.ค.'!N156+'เม.ย.-มิ.ย.'!N156</f>
        <v>0</v>
      </c>
      <c r="O156" s="459">
        <f>+'ต.ค.-ธ.ค.'!O157+'ม.ค.-มี.ค.'!O156+'เม.ย.-มิ.ย.'!O156</f>
        <v>0</v>
      </c>
      <c r="P156" s="459">
        <f>+'ต.ค.-ธ.ค.'!P157+'ม.ค.-มี.ค.'!P156+'เม.ย.-มิ.ย.'!P156</f>
        <v>0</v>
      </c>
      <c r="Q156" s="459">
        <f>+'ต.ค.-ธ.ค.'!Q157+'ม.ค.-มี.ค.'!Q156+'เม.ย.-มิ.ย.'!Q156</f>
        <v>0</v>
      </c>
      <c r="R156" s="459">
        <f>+'ต.ค.-ธ.ค.'!R157+'ม.ค.-มี.ค.'!R156+'เม.ย.-มิ.ย.'!R156</f>
        <v>0</v>
      </c>
      <c r="S156" s="459">
        <f>+'ต.ค.-ธ.ค.'!S157+'ม.ค.-มี.ค.'!S156+'เม.ย.-มิ.ย.'!S156</f>
        <v>0</v>
      </c>
      <c r="T156" s="459">
        <f>+'ต.ค.-ธ.ค.'!U157+'ม.ค.-มี.ค.'!U156+'เม.ย.-มิ.ย.'!U156</f>
        <v>0</v>
      </c>
      <c r="U156" s="459">
        <f>+'ต.ค.-ธ.ค.'!V157+'ม.ค.-มี.ค.'!V156+'เม.ย.-มิ.ย.'!V156</f>
        <v>0</v>
      </c>
      <c r="W156"/>
    </row>
    <row r="157" spans="1:23" s="310" customFormat="1" ht="29.25" customHeight="1">
      <c r="A157" s="61"/>
      <c r="B157" s="388" t="s">
        <v>214</v>
      </c>
      <c r="C157" s="419">
        <v>25000</v>
      </c>
      <c r="D157" s="442"/>
      <c r="E157" s="459">
        <f>+'ต.ค.-ธ.ค.'!E158+'ม.ค.-มี.ค.'!E157+'เม.ย.-มิ.ย.'!E157</f>
        <v>0</v>
      </c>
      <c r="F157" s="459">
        <f>+'ต.ค.-ธ.ค.'!F158+'ม.ค.-มี.ค.'!F157+'เม.ย.-มิ.ย.'!F157</f>
        <v>0</v>
      </c>
      <c r="G157" s="459">
        <f>+'ต.ค.-ธ.ค.'!G158+'ม.ค.-มี.ค.'!G157+'เม.ย.-มิ.ย.'!G157</f>
        <v>0</v>
      </c>
      <c r="H157" s="459">
        <f>+'ต.ค.-ธ.ค.'!H158+'ม.ค.-มี.ค.'!H157+'เม.ย.-มิ.ย.'!H157</f>
        <v>0</v>
      </c>
      <c r="I157" s="459">
        <f>+'ต.ค.-ธ.ค.'!I158+'ม.ค.-มี.ค.'!I157+'เม.ย.-มิ.ย.'!I157</f>
        <v>0</v>
      </c>
      <c r="J157" s="459">
        <f>+'ต.ค.-ธ.ค.'!J158+'ม.ค.-มี.ค.'!J157+'เม.ย.-มิ.ย.'!J157</f>
        <v>0</v>
      </c>
      <c r="K157" s="459">
        <f>+'ต.ค.-ธ.ค.'!K158+'ม.ค.-มี.ค.'!K157+'เม.ย.-มิ.ย.'!K157</f>
        <v>0</v>
      </c>
      <c r="L157" s="459">
        <f>+'ต.ค.-ธ.ค.'!L158+'ม.ค.-มี.ค.'!L157+'เม.ย.-มิ.ย.'!L157</f>
        <v>0</v>
      </c>
      <c r="M157" s="459">
        <f>+'ต.ค.-ธ.ค.'!M158+'ม.ค.-มี.ค.'!M157+'เม.ย.-มิ.ย.'!M157</f>
        <v>0</v>
      </c>
      <c r="N157" s="459">
        <f>+'ต.ค.-ธ.ค.'!N158+'ม.ค.-มี.ค.'!N157+'เม.ย.-มิ.ย.'!N157</f>
        <v>0</v>
      </c>
      <c r="O157" s="459">
        <f>+'ต.ค.-ธ.ค.'!O158+'ม.ค.-มี.ค.'!O157+'เม.ย.-มิ.ย.'!O157</f>
        <v>0</v>
      </c>
      <c r="P157" s="459">
        <f>+'ต.ค.-ธ.ค.'!P158+'ม.ค.-มี.ค.'!P157+'เม.ย.-มิ.ย.'!P157</f>
        <v>0</v>
      </c>
      <c r="Q157" s="459">
        <f>+'ต.ค.-ธ.ค.'!Q158+'ม.ค.-มี.ค.'!Q157+'เม.ย.-มิ.ย.'!Q157</f>
        <v>0</v>
      </c>
      <c r="R157" s="459">
        <f>+'ต.ค.-ธ.ค.'!R158+'ม.ค.-มี.ค.'!R157+'เม.ย.-มิ.ย.'!R157</f>
        <v>24450</v>
      </c>
      <c r="S157" s="459">
        <f>+'ต.ค.-ธ.ค.'!S158+'ม.ค.-มี.ค.'!S157+'เม.ย.-มิ.ย.'!S157</f>
        <v>0</v>
      </c>
      <c r="T157" s="459">
        <f>+'ต.ค.-ธ.ค.'!U158+'ม.ค.-มี.ค.'!U157+'เม.ย.-มิ.ย.'!U157</f>
        <v>0</v>
      </c>
      <c r="U157" s="459">
        <f>+'ต.ค.-ธ.ค.'!V158+'ม.ค.-มี.ค.'!V157+'เม.ย.-มิ.ย.'!V157</f>
        <v>0</v>
      </c>
      <c r="W157"/>
    </row>
    <row r="158" spans="1:23" s="310" customFormat="1" ht="29.25" customHeight="1">
      <c r="A158" s="61"/>
      <c r="B158" s="388" t="s">
        <v>167</v>
      </c>
      <c r="C158" s="419">
        <f>30000-30000</f>
        <v>0</v>
      </c>
      <c r="D158" s="442"/>
      <c r="E158" s="459">
        <f>+'ต.ค.-ธ.ค.'!E159+'ม.ค.-มี.ค.'!E158+'เม.ย.-มิ.ย.'!E158</f>
        <v>0</v>
      </c>
      <c r="F158" s="459">
        <f>+'ต.ค.-ธ.ค.'!F159+'ม.ค.-มี.ค.'!F158+'เม.ย.-มิ.ย.'!F158</f>
        <v>0</v>
      </c>
      <c r="G158" s="459">
        <f>+'ต.ค.-ธ.ค.'!G159+'ม.ค.-มี.ค.'!G158+'เม.ย.-มิ.ย.'!G158</f>
        <v>0</v>
      </c>
      <c r="H158" s="459">
        <f>+'ต.ค.-ธ.ค.'!H159+'ม.ค.-มี.ค.'!H158+'เม.ย.-มิ.ย.'!H158</f>
        <v>0</v>
      </c>
      <c r="I158" s="459">
        <f>+'ต.ค.-ธ.ค.'!I159+'ม.ค.-มี.ค.'!I158+'เม.ย.-มิ.ย.'!I158</f>
        <v>0</v>
      </c>
      <c r="J158" s="459">
        <f>+'ต.ค.-ธ.ค.'!J159+'ม.ค.-มี.ค.'!J158+'เม.ย.-มิ.ย.'!J158</f>
        <v>0</v>
      </c>
      <c r="K158" s="459">
        <f>+'ต.ค.-ธ.ค.'!K159+'ม.ค.-มี.ค.'!K158+'เม.ย.-มิ.ย.'!K158</f>
        <v>0</v>
      </c>
      <c r="L158" s="459">
        <f>+'ต.ค.-ธ.ค.'!L159+'ม.ค.-มี.ค.'!L158+'เม.ย.-มิ.ย.'!L158</f>
        <v>0</v>
      </c>
      <c r="M158" s="459">
        <f>+'ต.ค.-ธ.ค.'!M159+'ม.ค.-มี.ค.'!M158+'เม.ย.-มิ.ย.'!M158</f>
        <v>0</v>
      </c>
      <c r="N158" s="459">
        <f>+'ต.ค.-ธ.ค.'!N159+'ม.ค.-มี.ค.'!N158+'เม.ย.-มิ.ย.'!N158</f>
        <v>0</v>
      </c>
      <c r="O158" s="459">
        <f>+'ต.ค.-ธ.ค.'!O159+'ม.ค.-มี.ค.'!O158+'เม.ย.-มิ.ย.'!O158</f>
        <v>0</v>
      </c>
      <c r="P158" s="459">
        <f>+'ต.ค.-ธ.ค.'!P159+'ม.ค.-มี.ค.'!P158+'เม.ย.-มิ.ย.'!P158</f>
        <v>0</v>
      </c>
      <c r="Q158" s="459">
        <f>+'ต.ค.-ธ.ค.'!Q159+'ม.ค.-มี.ค.'!Q158+'เม.ย.-มิ.ย.'!Q158</f>
        <v>0</v>
      </c>
      <c r="R158" s="459">
        <f>+'ต.ค.-ธ.ค.'!R159+'ม.ค.-มี.ค.'!R158+'เม.ย.-มิ.ย.'!R158</f>
        <v>0</v>
      </c>
      <c r="S158" s="459">
        <f>+'ต.ค.-ธ.ค.'!S159+'ม.ค.-มี.ค.'!S158+'เม.ย.-มิ.ย.'!S158</f>
        <v>0</v>
      </c>
      <c r="T158" s="459">
        <f>+'ต.ค.-ธ.ค.'!U159+'ม.ค.-มี.ค.'!U158+'เม.ย.-มิ.ย.'!U158</f>
        <v>0</v>
      </c>
      <c r="U158" s="459">
        <f>+'ต.ค.-ธ.ค.'!V159+'ม.ค.-มี.ค.'!V158+'เม.ย.-มิ.ย.'!V158</f>
        <v>0</v>
      </c>
      <c r="W158"/>
    </row>
    <row r="159" spans="1:23" s="310" customFormat="1" ht="29.25" customHeight="1">
      <c r="A159" s="61"/>
      <c r="B159" s="388" t="s">
        <v>371</v>
      </c>
      <c r="C159" s="419">
        <v>30000</v>
      </c>
      <c r="D159" s="442"/>
      <c r="E159" s="459">
        <f>+'ต.ค.-ธ.ค.'!E160+'ม.ค.-มี.ค.'!E159+'เม.ย.-มิ.ย.'!E159</f>
        <v>0</v>
      </c>
      <c r="F159" s="459">
        <f>+'ต.ค.-ธ.ค.'!F160+'ม.ค.-มี.ค.'!F159+'เม.ย.-มิ.ย.'!F159</f>
        <v>0</v>
      </c>
      <c r="G159" s="459">
        <f>+'ต.ค.-ธ.ค.'!G160+'ม.ค.-มี.ค.'!G159+'เม.ย.-มิ.ย.'!G159</f>
        <v>0</v>
      </c>
      <c r="H159" s="459">
        <f>+'ต.ค.-ธ.ค.'!H160+'ม.ค.-มี.ค.'!H159+'เม.ย.-มิ.ย.'!H159</f>
        <v>0</v>
      </c>
      <c r="I159" s="459">
        <f>+'ต.ค.-ธ.ค.'!I160+'ม.ค.-มี.ค.'!I159+'เม.ย.-มิ.ย.'!I159</f>
        <v>0</v>
      </c>
      <c r="J159" s="459">
        <f>+'ต.ค.-ธ.ค.'!J160+'ม.ค.-มี.ค.'!J159+'เม.ย.-มิ.ย.'!J159</f>
        <v>0</v>
      </c>
      <c r="K159" s="459">
        <f>+'ต.ค.-ธ.ค.'!K160+'ม.ค.-มี.ค.'!K159+'เม.ย.-มิ.ย.'!K159</f>
        <v>0</v>
      </c>
      <c r="L159" s="459">
        <f>+'ต.ค.-ธ.ค.'!L160+'ม.ค.-มี.ค.'!L159+'เม.ย.-มิ.ย.'!L159</f>
        <v>0</v>
      </c>
      <c r="M159" s="459">
        <f>+'ต.ค.-ธ.ค.'!M160+'ม.ค.-มี.ค.'!M159+'เม.ย.-มิ.ย.'!M159</f>
        <v>0</v>
      </c>
      <c r="N159" s="459">
        <f>+'ต.ค.-ธ.ค.'!N160+'ม.ค.-มี.ค.'!N159+'เม.ย.-มิ.ย.'!N159</f>
        <v>0</v>
      </c>
      <c r="O159" s="459">
        <f>+'ต.ค.-ธ.ค.'!O160+'ม.ค.-มี.ค.'!O159+'เม.ย.-มิ.ย.'!O159</f>
        <v>0</v>
      </c>
      <c r="P159" s="459">
        <f>+'ต.ค.-ธ.ค.'!P160+'ม.ค.-มี.ค.'!P159+'เม.ย.-มิ.ย.'!P159</f>
        <v>0</v>
      </c>
      <c r="Q159" s="459">
        <f>+'ต.ค.-ธ.ค.'!Q160+'ม.ค.-มี.ค.'!Q159+'เม.ย.-มิ.ย.'!Q159</f>
        <v>0</v>
      </c>
      <c r="R159" s="459">
        <f>+'ต.ค.-ธ.ค.'!R160+'ม.ค.-มี.ค.'!R159+'เม.ย.-มิ.ย.'!R159</f>
        <v>0</v>
      </c>
      <c r="S159" s="459">
        <f>+'ต.ค.-ธ.ค.'!S160+'ม.ค.-มี.ค.'!S159+'เม.ย.-มิ.ย.'!S159</f>
        <v>30000</v>
      </c>
      <c r="T159" s="459">
        <f>+'ต.ค.-ธ.ค.'!U160+'ม.ค.-มี.ค.'!U159+'เม.ย.-มิ.ย.'!U159</f>
        <v>0</v>
      </c>
      <c r="U159" s="459">
        <f>+'ต.ค.-ธ.ค.'!V160+'ม.ค.-มี.ค.'!V159+'เม.ย.-มิ.ย.'!V159</f>
        <v>0</v>
      </c>
      <c r="W159"/>
    </row>
    <row r="160" spans="1:23" s="310" customFormat="1" ht="29.25" customHeight="1">
      <c r="A160" s="61"/>
      <c r="B160" s="388" t="s">
        <v>170</v>
      </c>
      <c r="C160" s="419">
        <v>40000</v>
      </c>
      <c r="D160" s="442"/>
      <c r="E160" s="459">
        <f>+'ต.ค.-ธ.ค.'!E161+'ม.ค.-มี.ค.'!E160+'เม.ย.-มิ.ย.'!E160</f>
        <v>0</v>
      </c>
      <c r="F160" s="459">
        <f>+'ต.ค.-ธ.ค.'!F161+'ม.ค.-มี.ค.'!F160+'เม.ย.-มิ.ย.'!F160</f>
        <v>0</v>
      </c>
      <c r="G160" s="459">
        <f>+'ต.ค.-ธ.ค.'!G161+'ม.ค.-มี.ค.'!G160+'เม.ย.-มิ.ย.'!G160</f>
        <v>0</v>
      </c>
      <c r="H160" s="459">
        <f>+'ต.ค.-ธ.ค.'!H161+'ม.ค.-มี.ค.'!H160+'เม.ย.-มิ.ย.'!H160</f>
        <v>0</v>
      </c>
      <c r="I160" s="459">
        <f>+'ต.ค.-ธ.ค.'!I161+'ม.ค.-มี.ค.'!I160+'เม.ย.-มิ.ย.'!I160</f>
        <v>0</v>
      </c>
      <c r="J160" s="459">
        <f>+'ต.ค.-ธ.ค.'!J161+'ม.ค.-มี.ค.'!J160+'เม.ย.-มิ.ย.'!J160</f>
        <v>0</v>
      </c>
      <c r="K160" s="459">
        <f>+'ต.ค.-ธ.ค.'!K161+'ม.ค.-มี.ค.'!K160+'เม.ย.-มิ.ย.'!K160</f>
        <v>0</v>
      </c>
      <c r="L160" s="459">
        <f>+'ต.ค.-ธ.ค.'!L161+'ม.ค.-มี.ค.'!L160+'เม.ย.-มิ.ย.'!L160</f>
        <v>0</v>
      </c>
      <c r="M160" s="459">
        <f>+'ต.ค.-ธ.ค.'!M161+'ม.ค.-มี.ค.'!M160+'เม.ย.-มิ.ย.'!M160</f>
        <v>0</v>
      </c>
      <c r="N160" s="459">
        <f>+'ต.ค.-ธ.ค.'!N161+'ม.ค.-มี.ค.'!N160+'เม.ย.-มิ.ย.'!N160</f>
        <v>0</v>
      </c>
      <c r="O160" s="459">
        <f>+'ต.ค.-ธ.ค.'!O161+'ม.ค.-มี.ค.'!O160+'เม.ย.-มิ.ย.'!O160</f>
        <v>0</v>
      </c>
      <c r="P160" s="459">
        <f>+'ต.ค.-ธ.ค.'!P161+'ม.ค.-มี.ค.'!P160+'เม.ย.-มิ.ย.'!P160</f>
        <v>0</v>
      </c>
      <c r="Q160" s="459">
        <f>+'ต.ค.-ธ.ค.'!Q161+'ม.ค.-มี.ค.'!Q160+'เม.ย.-มิ.ย.'!Q160</f>
        <v>0</v>
      </c>
      <c r="R160" s="459">
        <f>+'ต.ค.-ธ.ค.'!R161+'ม.ค.-มี.ค.'!R160+'เม.ย.-มิ.ย.'!R160</f>
        <v>0</v>
      </c>
      <c r="S160" s="459">
        <f>+'ต.ค.-ธ.ค.'!S161+'ม.ค.-มี.ค.'!S160+'เม.ย.-มิ.ย.'!S160</f>
        <v>40000</v>
      </c>
      <c r="T160" s="459">
        <f>+'ต.ค.-ธ.ค.'!U161+'ม.ค.-มี.ค.'!U160+'เม.ย.-มิ.ย.'!U160</f>
        <v>0</v>
      </c>
      <c r="U160" s="459">
        <f>+'ต.ค.-ธ.ค.'!V161+'ม.ค.-มี.ค.'!V160+'เม.ย.-มิ.ย.'!V160</f>
        <v>0</v>
      </c>
      <c r="W160"/>
    </row>
    <row r="161" spans="1:23" s="310" customFormat="1" ht="29.25" customHeight="1">
      <c r="A161" s="61"/>
      <c r="B161" s="388" t="s">
        <v>266</v>
      </c>
      <c r="C161" s="419">
        <v>15000</v>
      </c>
      <c r="D161" s="442"/>
      <c r="E161" s="459">
        <f>+'ต.ค.-ธ.ค.'!E162+'ม.ค.-มี.ค.'!E161+'เม.ย.-มิ.ย.'!E161</f>
        <v>0</v>
      </c>
      <c r="F161" s="459">
        <f>+'ต.ค.-ธ.ค.'!F162+'ม.ค.-มี.ค.'!F161+'เม.ย.-มิ.ย.'!F161</f>
        <v>0</v>
      </c>
      <c r="G161" s="459">
        <f>+'ต.ค.-ธ.ค.'!G162+'ม.ค.-มี.ค.'!G161+'เม.ย.-มิ.ย.'!G161</f>
        <v>0</v>
      </c>
      <c r="H161" s="459">
        <f>+'ต.ค.-ธ.ค.'!H162+'ม.ค.-มี.ค.'!H161+'เม.ย.-มิ.ย.'!H161</f>
        <v>0</v>
      </c>
      <c r="I161" s="459">
        <f>+'ต.ค.-ธ.ค.'!I162+'ม.ค.-มี.ค.'!I161+'เม.ย.-มิ.ย.'!I161</f>
        <v>0</v>
      </c>
      <c r="J161" s="459">
        <f>+'ต.ค.-ธ.ค.'!J162+'ม.ค.-มี.ค.'!J161+'เม.ย.-มิ.ย.'!J161</f>
        <v>0</v>
      </c>
      <c r="K161" s="459">
        <f>+'ต.ค.-ธ.ค.'!K162+'ม.ค.-มี.ค.'!K161+'เม.ย.-มิ.ย.'!K161</f>
        <v>0</v>
      </c>
      <c r="L161" s="459">
        <f>+'ต.ค.-ธ.ค.'!L162+'ม.ค.-มี.ค.'!L161+'เม.ย.-มิ.ย.'!L161</f>
        <v>0</v>
      </c>
      <c r="M161" s="459">
        <f>+'ต.ค.-ธ.ค.'!M162+'ม.ค.-มี.ค.'!M161+'เม.ย.-มิ.ย.'!M161</f>
        <v>0</v>
      </c>
      <c r="N161" s="459">
        <f>+'ต.ค.-ธ.ค.'!N162+'ม.ค.-มี.ค.'!N161+'เม.ย.-มิ.ย.'!N161</f>
        <v>0</v>
      </c>
      <c r="O161" s="459">
        <f>+'ต.ค.-ธ.ค.'!O162+'ม.ค.-มี.ค.'!O161+'เม.ย.-มิ.ย.'!O161</f>
        <v>0</v>
      </c>
      <c r="P161" s="459">
        <f>+'ต.ค.-ธ.ค.'!P162+'ม.ค.-มี.ค.'!P161+'เม.ย.-มิ.ย.'!P161</f>
        <v>0</v>
      </c>
      <c r="Q161" s="459">
        <f>+'ต.ค.-ธ.ค.'!Q162+'ม.ค.-มี.ค.'!Q161+'เม.ย.-มิ.ย.'!Q161</f>
        <v>0</v>
      </c>
      <c r="R161" s="459">
        <f>+'ต.ค.-ธ.ค.'!R162+'ม.ค.-มี.ค.'!R161+'เม.ย.-มิ.ย.'!R161</f>
        <v>0</v>
      </c>
      <c r="S161" s="459">
        <f>+'ต.ค.-ธ.ค.'!S162+'ม.ค.-มี.ค.'!S161+'เม.ย.-มิ.ย.'!S161</f>
        <v>0</v>
      </c>
      <c r="T161" s="459">
        <f>+'ต.ค.-ธ.ค.'!U162+'ม.ค.-มี.ค.'!U161+'เม.ย.-มิ.ย.'!U161</f>
        <v>0</v>
      </c>
      <c r="U161" s="459">
        <f>+'ต.ค.-ธ.ค.'!V162+'ม.ค.-มี.ค.'!V161+'เม.ย.-มิ.ย.'!V161</f>
        <v>0</v>
      </c>
      <c r="W161"/>
    </row>
    <row r="162" spans="1:23" s="310" customFormat="1" ht="29.25" customHeight="1">
      <c r="A162" s="61"/>
      <c r="B162" s="388" t="s">
        <v>372</v>
      </c>
      <c r="C162" s="419">
        <v>65000</v>
      </c>
      <c r="D162" s="442"/>
      <c r="E162" s="459">
        <f>+'ต.ค.-ธ.ค.'!E163+'ม.ค.-มี.ค.'!E162+'เม.ย.-มิ.ย.'!E162</f>
        <v>0</v>
      </c>
      <c r="F162" s="459">
        <f>+'ต.ค.-ธ.ค.'!F163+'ม.ค.-มี.ค.'!F162+'เม.ย.-มิ.ย.'!F162</f>
        <v>0</v>
      </c>
      <c r="G162" s="459">
        <f>+'ต.ค.-ธ.ค.'!G163+'ม.ค.-มี.ค.'!G162+'เม.ย.-มิ.ย.'!G162</f>
        <v>0</v>
      </c>
      <c r="H162" s="459">
        <f>+'ต.ค.-ธ.ค.'!H163+'ม.ค.-มี.ค.'!H162+'เม.ย.-มิ.ย.'!H162</f>
        <v>0</v>
      </c>
      <c r="I162" s="459">
        <f>+'ต.ค.-ธ.ค.'!I163+'ม.ค.-มี.ค.'!I162+'เม.ย.-มิ.ย.'!I162</f>
        <v>0</v>
      </c>
      <c r="J162" s="459">
        <f>+'ต.ค.-ธ.ค.'!J163+'ม.ค.-มี.ค.'!J162+'เม.ย.-มิ.ย.'!J162</f>
        <v>0</v>
      </c>
      <c r="K162" s="459">
        <f>+'ต.ค.-ธ.ค.'!K163+'ม.ค.-มี.ค.'!K162+'เม.ย.-มิ.ย.'!K162</f>
        <v>0</v>
      </c>
      <c r="L162" s="459">
        <f>+'ต.ค.-ธ.ค.'!L163+'ม.ค.-มี.ค.'!L162+'เม.ย.-มิ.ย.'!L162</f>
        <v>0</v>
      </c>
      <c r="M162" s="459">
        <f>+'ต.ค.-ธ.ค.'!M163+'ม.ค.-มี.ค.'!M162+'เม.ย.-มิ.ย.'!M162</f>
        <v>0</v>
      </c>
      <c r="N162" s="459">
        <f>+'ต.ค.-ธ.ค.'!N163+'ม.ค.-มี.ค.'!N162+'เม.ย.-มิ.ย.'!N162</f>
        <v>0</v>
      </c>
      <c r="O162" s="459">
        <f>+'ต.ค.-ธ.ค.'!O163+'ม.ค.-มี.ค.'!O162+'เม.ย.-มิ.ย.'!O162</f>
        <v>0</v>
      </c>
      <c r="P162" s="459">
        <f>+'ต.ค.-ธ.ค.'!P163+'ม.ค.-มี.ค.'!P162+'เม.ย.-มิ.ย.'!P162</f>
        <v>0</v>
      </c>
      <c r="Q162" s="459">
        <f>+'ต.ค.-ธ.ค.'!Q163+'ม.ค.-มี.ค.'!Q162+'เม.ย.-มิ.ย.'!Q162</f>
        <v>0</v>
      </c>
      <c r="R162" s="459">
        <f>+'ต.ค.-ธ.ค.'!R163+'ม.ค.-มี.ค.'!R162+'เม.ย.-มิ.ย.'!R162</f>
        <v>0</v>
      </c>
      <c r="S162" s="459">
        <f>+'ต.ค.-ธ.ค.'!S163+'ม.ค.-มี.ค.'!S162+'เม.ย.-มิ.ย.'!S162</f>
        <v>64980</v>
      </c>
      <c r="T162" s="459">
        <f>+'ต.ค.-ธ.ค.'!U163+'ม.ค.-มี.ค.'!U162+'เม.ย.-มิ.ย.'!U162</f>
        <v>0</v>
      </c>
      <c r="U162" s="459">
        <f>+'ต.ค.-ธ.ค.'!V163+'ม.ค.-มี.ค.'!V162+'เม.ย.-มิ.ย.'!V162</f>
        <v>0</v>
      </c>
      <c r="W162"/>
    </row>
    <row r="163" spans="1:23" ht="29.25" customHeight="1">
      <c r="A163" s="61"/>
      <c r="B163" s="388" t="s">
        <v>373</v>
      </c>
      <c r="C163" s="419">
        <f>65000-65000</f>
        <v>0</v>
      </c>
      <c r="D163" s="442"/>
      <c r="E163" s="459">
        <f>+'ต.ค.-ธ.ค.'!E164+'ม.ค.-มี.ค.'!E163+'เม.ย.-มิ.ย.'!E163</f>
        <v>0</v>
      </c>
      <c r="F163" s="459">
        <f>+'ต.ค.-ธ.ค.'!F164+'ม.ค.-มี.ค.'!F163+'เม.ย.-มิ.ย.'!F163</f>
        <v>0</v>
      </c>
      <c r="G163" s="459">
        <f>+'ต.ค.-ธ.ค.'!G164+'ม.ค.-มี.ค.'!G163+'เม.ย.-มิ.ย.'!G163</f>
        <v>0</v>
      </c>
      <c r="H163" s="459">
        <f>+'ต.ค.-ธ.ค.'!H164+'ม.ค.-มี.ค.'!H163+'เม.ย.-มิ.ย.'!H163</f>
        <v>0</v>
      </c>
      <c r="I163" s="459">
        <f>+'ต.ค.-ธ.ค.'!I164+'ม.ค.-มี.ค.'!I163+'เม.ย.-มิ.ย.'!I163</f>
        <v>0</v>
      </c>
      <c r="J163" s="459">
        <f>+'ต.ค.-ธ.ค.'!J164+'ม.ค.-มี.ค.'!J163+'เม.ย.-มิ.ย.'!J163</f>
        <v>0</v>
      </c>
      <c r="K163" s="459">
        <f>+'ต.ค.-ธ.ค.'!K164+'ม.ค.-มี.ค.'!K163+'เม.ย.-มิ.ย.'!K163</f>
        <v>0</v>
      </c>
      <c r="L163" s="459">
        <f>+'ต.ค.-ธ.ค.'!L164+'ม.ค.-มี.ค.'!L163+'เม.ย.-มิ.ย.'!L163</f>
        <v>0</v>
      </c>
      <c r="M163" s="459">
        <f>+'ต.ค.-ธ.ค.'!M164+'ม.ค.-มี.ค.'!M163+'เม.ย.-มิ.ย.'!M163</f>
        <v>0</v>
      </c>
      <c r="N163" s="459">
        <f>+'ต.ค.-ธ.ค.'!N164+'ม.ค.-มี.ค.'!N163+'เม.ย.-มิ.ย.'!N163</f>
        <v>0</v>
      </c>
      <c r="O163" s="459">
        <f>+'ต.ค.-ธ.ค.'!O164+'ม.ค.-มี.ค.'!O163+'เม.ย.-มิ.ย.'!O163</f>
        <v>0</v>
      </c>
      <c r="P163" s="459">
        <f>+'ต.ค.-ธ.ค.'!P164+'ม.ค.-มี.ค.'!P163+'เม.ย.-มิ.ย.'!P163</f>
        <v>0</v>
      </c>
      <c r="Q163" s="459">
        <f>+'ต.ค.-ธ.ค.'!Q164+'ม.ค.-มี.ค.'!Q163+'เม.ย.-มิ.ย.'!Q163</f>
        <v>0</v>
      </c>
      <c r="R163" s="459">
        <f>+'ต.ค.-ธ.ค.'!R164+'ม.ค.-มี.ค.'!R163+'เม.ย.-มิ.ย.'!R163</f>
        <v>0</v>
      </c>
      <c r="S163" s="459">
        <f>+'ต.ค.-ธ.ค.'!S164+'ม.ค.-มี.ค.'!S163+'เม.ย.-มิ.ย.'!S163</f>
        <v>0</v>
      </c>
      <c r="T163" s="459">
        <f>+'ต.ค.-ธ.ค.'!U164+'ม.ค.-มี.ค.'!U163+'เม.ย.-มิ.ย.'!U163</f>
        <v>0</v>
      </c>
      <c r="U163" s="459">
        <f>+'ต.ค.-ธ.ค.'!V164+'ม.ค.-มี.ค.'!V163+'เม.ย.-มิ.ย.'!V163</f>
        <v>0</v>
      </c>
    </row>
    <row r="164" spans="1:23" ht="29.25" customHeight="1">
      <c r="A164" s="61"/>
      <c r="B164" s="388" t="s">
        <v>374</v>
      </c>
      <c r="C164" s="419">
        <v>20000</v>
      </c>
      <c r="D164" s="442"/>
      <c r="E164" s="459">
        <f>+'ต.ค.-ธ.ค.'!E165+'ม.ค.-มี.ค.'!E164+'เม.ย.-มิ.ย.'!E164</f>
        <v>0</v>
      </c>
      <c r="F164" s="459">
        <f>+'ต.ค.-ธ.ค.'!F165+'ม.ค.-มี.ค.'!F164+'เม.ย.-มิ.ย.'!F164</f>
        <v>0</v>
      </c>
      <c r="G164" s="459">
        <f>+'ต.ค.-ธ.ค.'!G165+'ม.ค.-มี.ค.'!G164+'เม.ย.-มิ.ย.'!G164</f>
        <v>0</v>
      </c>
      <c r="H164" s="459">
        <f>+'ต.ค.-ธ.ค.'!H165+'ม.ค.-มี.ค.'!H164+'เม.ย.-มิ.ย.'!H164</f>
        <v>0</v>
      </c>
      <c r="I164" s="459">
        <f>+'ต.ค.-ธ.ค.'!I165+'ม.ค.-มี.ค.'!I164+'เม.ย.-มิ.ย.'!I164</f>
        <v>0</v>
      </c>
      <c r="J164" s="459">
        <f>+'ต.ค.-ธ.ค.'!J165+'ม.ค.-มี.ค.'!J164+'เม.ย.-มิ.ย.'!J164</f>
        <v>0</v>
      </c>
      <c r="K164" s="459">
        <f>+'ต.ค.-ธ.ค.'!K165+'ม.ค.-มี.ค.'!K164+'เม.ย.-มิ.ย.'!K164</f>
        <v>0</v>
      </c>
      <c r="L164" s="459">
        <f>+'ต.ค.-ธ.ค.'!L165+'ม.ค.-มี.ค.'!L164+'เม.ย.-มิ.ย.'!L164</f>
        <v>0</v>
      </c>
      <c r="M164" s="459">
        <f>+'ต.ค.-ธ.ค.'!M165+'ม.ค.-มี.ค.'!M164+'เม.ย.-มิ.ย.'!M164</f>
        <v>0</v>
      </c>
      <c r="N164" s="459">
        <f>+'ต.ค.-ธ.ค.'!N165+'ม.ค.-มี.ค.'!N164+'เม.ย.-มิ.ย.'!N164</f>
        <v>0</v>
      </c>
      <c r="O164" s="459">
        <f>+'ต.ค.-ธ.ค.'!O165+'ม.ค.-มี.ค.'!O164+'เม.ย.-มิ.ย.'!O164</f>
        <v>0</v>
      </c>
      <c r="P164" s="459">
        <f>+'ต.ค.-ธ.ค.'!P165+'ม.ค.-มี.ค.'!P164+'เม.ย.-มิ.ย.'!P164</f>
        <v>0</v>
      </c>
      <c r="Q164" s="459">
        <f>+'ต.ค.-ธ.ค.'!Q165+'ม.ค.-มี.ค.'!Q164+'เม.ย.-มิ.ย.'!Q164</f>
        <v>0</v>
      </c>
      <c r="R164" s="459">
        <f>+'ต.ค.-ธ.ค.'!R165+'ม.ค.-มี.ค.'!R164+'เม.ย.-มิ.ย.'!R164</f>
        <v>0</v>
      </c>
      <c r="S164" s="459">
        <f>+'ต.ค.-ธ.ค.'!S165+'ม.ค.-มี.ค.'!S164+'เม.ย.-มิ.ย.'!S164</f>
        <v>20000</v>
      </c>
      <c r="T164" s="459">
        <f>+'ต.ค.-ธ.ค.'!U165+'ม.ค.-มี.ค.'!U164+'เม.ย.-มิ.ย.'!U164</f>
        <v>0</v>
      </c>
      <c r="U164" s="459">
        <f>+'ต.ค.-ธ.ค.'!V165+'ม.ค.-มี.ค.'!V164+'เม.ย.-มิ.ย.'!V164</f>
        <v>0</v>
      </c>
    </row>
    <row r="165" spans="1:23" ht="29.25" customHeight="1">
      <c r="A165" s="61"/>
      <c r="B165" s="388" t="s">
        <v>375</v>
      </c>
      <c r="C165" s="419">
        <v>20000</v>
      </c>
      <c r="D165" s="442"/>
      <c r="E165" s="459">
        <f>+'ต.ค.-ธ.ค.'!E166+'ม.ค.-มี.ค.'!E165+'เม.ย.-มิ.ย.'!E165</f>
        <v>0</v>
      </c>
      <c r="F165" s="459">
        <f>+'ต.ค.-ธ.ค.'!F166+'ม.ค.-มี.ค.'!F165+'เม.ย.-มิ.ย.'!F165</f>
        <v>0</v>
      </c>
      <c r="G165" s="459">
        <f>+'ต.ค.-ธ.ค.'!G166+'ม.ค.-มี.ค.'!G165+'เม.ย.-มิ.ย.'!G165</f>
        <v>0</v>
      </c>
      <c r="H165" s="459">
        <f>+'ต.ค.-ธ.ค.'!H166+'ม.ค.-มี.ค.'!H165+'เม.ย.-มิ.ย.'!H165</f>
        <v>0</v>
      </c>
      <c r="I165" s="459">
        <f>+'ต.ค.-ธ.ค.'!I166+'ม.ค.-มี.ค.'!I165+'เม.ย.-มิ.ย.'!I165</f>
        <v>0</v>
      </c>
      <c r="J165" s="459">
        <f>+'ต.ค.-ธ.ค.'!J166+'ม.ค.-มี.ค.'!J165+'เม.ย.-มิ.ย.'!J165</f>
        <v>0</v>
      </c>
      <c r="K165" s="459">
        <f>+'ต.ค.-ธ.ค.'!K166+'ม.ค.-มี.ค.'!K165+'เม.ย.-มิ.ย.'!K165</f>
        <v>0</v>
      </c>
      <c r="L165" s="459">
        <f>+'ต.ค.-ธ.ค.'!L166+'ม.ค.-มี.ค.'!L165+'เม.ย.-มิ.ย.'!L165</f>
        <v>0</v>
      </c>
      <c r="M165" s="459">
        <f>+'ต.ค.-ธ.ค.'!M166+'ม.ค.-มี.ค.'!M165+'เม.ย.-มิ.ย.'!M165</f>
        <v>0</v>
      </c>
      <c r="N165" s="459">
        <f>+'ต.ค.-ธ.ค.'!N166+'ม.ค.-มี.ค.'!N165+'เม.ย.-มิ.ย.'!N165</f>
        <v>0</v>
      </c>
      <c r="O165" s="459">
        <f>+'ต.ค.-ธ.ค.'!O166+'ม.ค.-มี.ค.'!O165+'เม.ย.-มิ.ย.'!O165</f>
        <v>0</v>
      </c>
      <c r="P165" s="459">
        <f>+'ต.ค.-ธ.ค.'!P166+'ม.ค.-มี.ค.'!P165+'เม.ย.-มิ.ย.'!P165</f>
        <v>0</v>
      </c>
      <c r="Q165" s="459">
        <f>+'ต.ค.-ธ.ค.'!Q166+'ม.ค.-มี.ค.'!Q165+'เม.ย.-มิ.ย.'!Q165</f>
        <v>0</v>
      </c>
      <c r="R165" s="459">
        <f>+'ต.ค.-ธ.ค.'!R166+'ม.ค.-มี.ค.'!R165+'เม.ย.-มิ.ย.'!R165</f>
        <v>0</v>
      </c>
      <c r="S165" s="459">
        <f>+'ต.ค.-ธ.ค.'!S166+'ม.ค.-มี.ค.'!S165+'เม.ย.-มิ.ย.'!S165</f>
        <v>4000</v>
      </c>
      <c r="T165" s="459">
        <f>+'ต.ค.-ธ.ค.'!U166+'ม.ค.-มี.ค.'!U165+'เม.ย.-มิ.ย.'!U165</f>
        <v>0</v>
      </c>
      <c r="U165" s="459">
        <f>+'ต.ค.-ธ.ค.'!V166+'ม.ค.-มี.ค.'!V165+'เม.ย.-มิ.ย.'!V165</f>
        <v>0</v>
      </c>
    </row>
    <row r="166" spans="1:23" ht="29.25" customHeight="1">
      <c r="A166" s="61"/>
      <c r="B166" s="388" t="s">
        <v>376</v>
      </c>
      <c r="C166" s="419">
        <v>25000</v>
      </c>
      <c r="D166" s="442"/>
      <c r="E166" s="459">
        <f>+'ต.ค.-ธ.ค.'!E167+'ม.ค.-มี.ค.'!E166+'เม.ย.-มิ.ย.'!E166</f>
        <v>0</v>
      </c>
      <c r="F166" s="459">
        <f>+'ต.ค.-ธ.ค.'!F167+'ม.ค.-มี.ค.'!F166+'เม.ย.-มิ.ย.'!F166</f>
        <v>0</v>
      </c>
      <c r="G166" s="459">
        <f>+'ต.ค.-ธ.ค.'!G167+'ม.ค.-มี.ค.'!G166+'เม.ย.-มิ.ย.'!G166</f>
        <v>0</v>
      </c>
      <c r="H166" s="459">
        <f>+'ต.ค.-ธ.ค.'!H167+'ม.ค.-มี.ค.'!H166+'เม.ย.-มิ.ย.'!H166</f>
        <v>0</v>
      </c>
      <c r="I166" s="459">
        <f>+'ต.ค.-ธ.ค.'!I167+'ม.ค.-มี.ค.'!I166+'เม.ย.-มิ.ย.'!I166</f>
        <v>0</v>
      </c>
      <c r="J166" s="459">
        <f>+'ต.ค.-ธ.ค.'!J167+'ม.ค.-มี.ค.'!J166+'เม.ย.-มิ.ย.'!J166</f>
        <v>0</v>
      </c>
      <c r="K166" s="459">
        <f>+'ต.ค.-ธ.ค.'!K167+'ม.ค.-มี.ค.'!K166+'เม.ย.-มิ.ย.'!K166</f>
        <v>0</v>
      </c>
      <c r="L166" s="459">
        <f>+'ต.ค.-ธ.ค.'!L167+'ม.ค.-มี.ค.'!L166+'เม.ย.-มิ.ย.'!L166</f>
        <v>0</v>
      </c>
      <c r="M166" s="459">
        <f>+'ต.ค.-ธ.ค.'!M167+'ม.ค.-มี.ค.'!M166+'เม.ย.-มิ.ย.'!M166</f>
        <v>0</v>
      </c>
      <c r="N166" s="459">
        <f>+'ต.ค.-ธ.ค.'!N167+'ม.ค.-มี.ค.'!N166+'เม.ย.-มิ.ย.'!N166</f>
        <v>0</v>
      </c>
      <c r="O166" s="459">
        <f>+'ต.ค.-ธ.ค.'!O167+'ม.ค.-มี.ค.'!O166+'เม.ย.-มิ.ย.'!O166</f>
        <v>0</v>
      </c>
      <c r="P166" s="459">
        <f>+'ต.ค.-ธ.ค.'!P167+'ม.ค.-มี.ค.'!P166+'เม.ย.-มิ.ย.'!P166</f>
        <v>0</v>
      </c>
      <c r="Q166" s="459">
        <f>+'ต.ค.-ธ.ค.'!Q167+'ม.ค.-มี.ค.'!Q166+'เม.ย.-มิ.ย.'!Q166</f>
        <v>0</v>
      </c>
      <c r="R166" s="459">
        <f>+'ต.ค.-ธ.ค.'!R167+'ม.ค.-มี.ค.'!R166+'เม.ย.-มิ.ย.'!R166</f>
        <v>0</v>
      </c>
      <c r="S166" s="459">
        <f>+'ต.ค.-ธ.ค.'!S167+'ม.ค.-มี.ค.'!S166+'เม.ย.-มิ.ย.'!S166</f>
        <v>0</v>
      </c>
      <c r="T166" s="459">
        <f>+'ต.ค.-ธ.ค.'!U167+'ม.ค.-มี.ค.'!U166+'เม.ย.-มิ.ย.'!U166</f>
        <v>0</v>
      </c>
      <c r="U166" s="459">
        <f>+'ต.ค.-ธ.ค.'!V167+'ม.ค.-มี.ค.'!V166+'เม.ย.-มิ.ย.'!V166</f>
        <v>0</v>
      </c>
    </row>
    <row r="167" spans="1:23" ht="29.25" customHeight="1">
      <c r="A167" s="61"/>
      <c r="B167" s="388" t="s">
        <v>377</v>
      </c>
      <c r="C167" s="419">
        <v>20000</v>
      </c>
      <c r="D167" s="442"/>
      <c r="E167" s="459">
        <f>+'ต.ค.-ธ.ค.'!E168+'ม.ค.-มี.ค.'!E167+'เม.ย.-มิ.ย.'!E167</f>
        <v>0</v>
      </c>
      <c r="F167" s="459">
        <f>+'ต.ค.-ธ.ค.'!F168+'ม.ค.-มี.ค.'!F167+'เม.ย.-มิ.ย.'!F167</f>
        <v>0</v>
      </c>
      <c r="G167" s="459">
        <f>+'ต.ค.-ธ.ค.'!G168+'ม.ค.-มี.ค.'!G167+'เม.ย.-มิ.ย.'!G167</f>
        <v>0</v>
      </c>
      <c r="H167" s="459">
        <f>+'ต.ค.-ธ.ค.'!H168+'ม.ค.-มี.ค.'!H167+'เม.ย.-มิ.ย.'!H167</f>
        <v>0</v>
      </c>
      <c r="I167" s="459">
        <f>+'ต.ค.-ธ.ค.'!I168+'ม.ค.-มี.ค.'!I167+'เม.ย.-มิ.ย.'!I167</f>
        <v>0</v>
      </c>
      <c r="J167" s="459">
        <f>+'ต.ค.-ธ.ค.'!J168+'ม.ค.-มี.ค.'!J167+'เม.ย.-มิ.ย.'!J167</f>
        <v>0</v>
      </c>
      <c r="K167" s="459">
        <f>+'ต.ค.-ธ.ค.'!K168+'ม.ค.-มี.ค.'!K167+'เม.ย.-มิ.ย.'!K167</f>
        <v>0</v>
      </c>
      <c r="L167" s="459">
        <f>+'ต.ค.-ธ.ค.'!L168+'ม.ค.-มี.ค.'!L167+'เม.ย.-มิ.ย.'!L167</f>
        <v>0</v>
      </c>
      <c r="M167" s="459">
        <f>+'ต.ค.-ธ.ค.'!M168+'ม.ค.-มี.ค.'!M167+'เม.ย.-มิ.ย.'!M167</f>
        <v>0</v>
      </c>
      <c r="N167" s="459">
        <f>+'ต.ค.-ธ.ค.'!N168+'ม.ค.-มี.ค.'!N167+'เม.ย.-มิ.ย.'!N167</f>
        <v>0</v>
      </c>
      <c r="O167" s="459">
        <f>+'ต.ค.-ธ.ค.'!O168+'ม.ค.-มี.ค.'!O167+'เม.ย.-มิ.ย.'!O167</f>
        <v>0</v>
      </c>
      <c r="P167" s="459">
        <f>+'ต.ค.-ธ.ค.'!P168+'ม.ค.-มี.ค.'!P167+'เม.ย.-มิ.ย.'!P167</f>
        <v>0</v>
      </c>
      <c r="Q167" s="459">
        <f>+'ต.ค.-ธ.ค.'!Q168+'ม.ค.-มี.ค.'!Q167+'เม.ย.-มิ.ย.'!Q167</f>
        <v>0</v>
      </c>
      <c r="R167" s="459">
        <f>+'ต.ค.-ธ.ค.'!R168+'ม.ค.-มี.ค.'!R167+'เม.ย.-มิ.ย.'!R167</f>
        <v>0</v>
      </c>
      <c r="S167" s="459">
        <f>+'ต.ค.-ธ.ค.'!S168+'ม.ค.-มี.ค.'!S167+'เม.ย.-มิ.ย.'!S167</f>
        <v>0</v>
      </c>
      <c r="T167" s="459">
        <f>+'ต.ค.-ธ.ค.'!U168+'ม.ค.-มี.ค.'!U167+'เม.ย.-มิ.ย.'!U167</f>
        <v>0</v>
      </c>
      <c r="U167" s="459">
        <f>+'ต.ค.-ธ.ค.'!V168+'ม.ค.-มี.ค.'!V167+'เม.ย.-มิ.ย.'!V167</f>
        <v>0</v>
      </c>
    </row>
    <row r="168" spans="1:23" ht="29.25" customHeight="1">
      <c r="A168" s="61"/>
      <c r="B168" s="388" t="s">
        <v>267</v>
      </c>
      <c r="C168" s="419">
        <v>15000</v>
      </c>
      <c r="D168" s="442"/>
      <c r="E168" s="459">
        <f>+'ต.ค.-ธ.ค.'!E169+'ม.ค.-มี.ค.'!E168+'เม.ย.-มิ.ย.'!E168</f>
        <v>0</v>
      </c>
      <c r="F168" s="459">
        <f>+'ต.ค.-ธ.ค.'!F169+'ม.ค.-มี.ค.'!F168+'เม.ย.-มิ.ย.'!F168</f>
        <v>0</v>
      </c>
      <c r="G168" s="459">
        <f>+'ต.ค.-ธ.ค.'!G169+'ม.ค.-มี.ค.'!G168+'เม.ย.-มิ.ย.'!G168</f>
        <v>0</v>
      </c>
      <c r="H168" s="459">
        <f>+'ต.ค.-ธ.ค.'!H169+'ม.ค.-มี.ค.'!H168+'เม.ย.-มิ.ย.'!H168</f>
        <v>0</v>
      </c>
      <c r="I168" s="459">
        <f>+'ต.ค.-ธ.ค.'!I169+'ม.ค.-มี.ค.'!I168+'เม.ย.-มิ.ย.'!I168</f>
        <v>0</v>
      </c>
      <c r="J168" s="459">
        <f>+'ต.ค.-ธ.ค.'!J169+'ม.ค.-มี.ค.'!J168+'เม.ย.-มิ.ย.'!J168</f>
        <v>0</v>
      </c>
      <c r="K168" s="459">
        <f>+'ต.ค.-ธ.ค.'!K169+'ม.ค.-มี.ค.'!K168+'เม.ย.-มิ.ย.'!K168</f>
        <v>0</v>
      </c>
      <c r="L168" s="459">
        <f>+'ต.ค.-ธ.ค.'!L169+'ม.ค.-มี.ค.'!L168+'เม.ย.-มิ.ย.'!L168</f>
        <v>0</v>
      </c>
      <c r="M168" s="459">
        <f>+'ต.ค.-ธ.ค.'!M169+'ม.ค.-มี.ค.'!M168+'เม.ย.-มิ.ย.'!M168</f>
        <v>0</v>
      </c>
      <c r="N168" s="459">
        <f>+'ต.ค.-ธ.ค.'!N169+'ม.ค.-มี.ค.'!N168+'เม.ย.-มิ.ย.'!N168</f>
        <v>0</v>
      </c>
      <c r="O168" s="459">
        <f>+'ต.ค.-ธ.ค.'!O169+'ม.ค.-มี.ค.'!O168+'เม.ย.-มิ.ย.'!O168</f>
        <v>0</v>
      </c>
      <c r="P168" s="459">
        <f>+'ต.ค.-ธ.ค.'!P169+'ม.ค.-มี.ค.'!P168+'เม.ย.-มิ.ย.'!P168</f>
        <v>0</v>
      </c>
      <c r="Q168" s="459">
        <f>+'ต.ค.-ธ.ค.'!Q169+'ม.ค.-มี.ค.'!Q168+'เม.ย.-มิ.ย.'!Q168</f>
        <v>0</v>
      </c>
      <c r="R168" s="459">
        <f>+'ต.ค.-ธ.ค.'!R169+'ม.ค.-มี.ค.'!R168+'เม.ย.-มิ.ย.'!R168</f>
        <v>0</v>
      </c>
      <c r="S168" s="459">
        <f>+'ต.ค.-ธ.ค.'!S169+'ม.ค.-มี.ค.'!S168+'เม.ย.-มิ.ย.'!S168</f>
        <v>0</v>
      </c>
      <c r="T168" s="459">
        <f>+'ต.ค.-ธ.ค.'!U169+'ม.ค.-มี.ค.'!U168+'เม.ย.-มิ.ย.'!U168</f>
        <v>0</v>
      </c>
      <c r="U168" s="459">
        <f>+'ต.ค.-ธ.ค.'!V169+'ม.ค.-มี.ค.'!V168+'เม.ย.-มิ.ย.'!V168</f>
        <v>0</v>
      </c>
    </row>
    <row r="169" spans="1:23" ht="29.25" customHeight="1">
      <c r="A169" s="61"/>
      <c r="B169" s="388" t="s">
        <v>215</v>
      </c>
      <c r="C169" s="419">
        <v>10000</v>
      </c>
      <c r="D169" s="442"/>
      <c r="E169" s="459">
        <f>+'ต.ค.-ธ.ค.'!E170+'ม.ค.-มี.ค.'!E169+'เม.ย.-มิ.ย.'!E169</f>
        <v>0</v>
      </c>
      <c r="F169" s="459">
        <f>+'ต.ค.-ธ.ค.'!F170+'ม.ค.-มี.ค.'!F169+'เม.ย.-มิ.ย.'!F169</f>
        <v>0</v>
      </c>
      <c r="G169" s="459">
        <f>+'ต.ค.-ธ.ค.'!G170+'ม.ค.-มี.ค.'!G169+'เม.ย.-มิ.ย.'!G169</f>
        <v>0</v>
      </c>
      <c r="H169" s="459">
        <f>+'ต.ค.-ธ.ค.'!H170+'ม.ค.-มี.ค.'!H169+'เม.ย.-มิ.ย.'!H169</f>
        <v>0</v>
      </c>
      <c r="I169" s="459">
        <f>+'ต.ค.-ธ.ค.'!I170+'ม.ค.-มี.ค.'!I169+'เม.ย.-มิ.ย.'!I169</f>
        <v>0</v>
      </c>
      <c r="J169" s="459">
        <f>+'ต.ค.-ธ.ค.'!J170+'ม.ค.-มี.ค.'!J169+'เม.ย.-มิ.ย.'!J169</f>
        <v>0</v>
      </c>
      <c r="K169" s="459">
        <f>+'ต.ค.-ธ.ค.'!K170+'ม.ค.-มี.ค.'!K169+'เม.ย.-มิ.ย.'!K169</f>
        <v>0</v>
      </c>
      <c r="L169" s="459">
        <f>+'ต.ค.-ธ.ค.'!L170+'ม.ค.-มี.ค.'!L169+'เม.ย.-มิ.ย.'!L169</f>
        <v>0</v>
      </c>
      <c r="M169" s="459">
        <f>+'ต.ค.-ธ.ค.'!M170+'ม.ค.-มี.ค.'!M169+'เม.ย.-มิ.ย.'!M169</f>
        <v>0</v>
      </c>
      <c r="N169" s="459">
        <f>+'ต.ค.-ธ.ค.'!N170+'ม.ค.-มี.ค.'!N169+'เม.ย.-มิ.ย.'!N169</f>
        <v>0</v>
      </c>
      <c r="O169" s="459">
        <f>+'ต.ค.-ธ.ค.'!O170+'ม.ค.-มี.ค.'!O169+'เม.ย.-มิ.ย.'!O169</f>
        <v>0</v>
      </c>
      <c r="P169" s="459">
        <f>+'ต.ค.-ธ.ค.'!P170+'ม.ค.-มี.ค.'!P169+'เม.ย.-มิ.ย.'!P169</f>
        <v>0</v>
      </c>
      <c r="Q169" s="459">
        <f>+'ต.ค.-ธ.ค.'!Q170+'ม.ค.-มี.ค.'!Q169+'เม.ย.-มิ.ย.'!Q169</f>
        <v>0</v>
      </c>
      <c r="R169" s="459">
        <f>+'ต.ค.-ธ.ค.'!R170+'ม.ค.-มี.ค.'!R169+'เม.ย.-มิ.ย.'!R169</f>
        <v>0</v>
      </c>
      <c r="S169" s="459">
        <f>+'ต.ค.-ธ.ค.'!S170+'ม.ค.-มี.ค.'!S169+'เม.ย.-มิ.ย.'!S169</f>
        <v>0</v>
      </c>
      <c r="T169" s="459">
        <f>+'ต.ค.-ธ.ค.'!U170+'ม.ค.-มี.ค.'!U169+'เม.ย.-มิ.ย.'!U169</f>
        <v>0</v>
      </c>
      <c r="U169" s="459">
        <f>+'ต.ค.-ธ.ค.'!V170+'ม.ค.-มี.ค.'!V169+'เม.ย.-มิ.ย.'!V169</f>
        <v>0</v>
      </c>
    </row>
    <row r="170" spans="1:23" ht="29.25" customHeight="1">
      <c r="A170" s="61"/>
      <c r="B170" s="388" t="s">
        <v>268</v>
      </c>
      <c r="C170" s="419">
        <v>5000</v>
      </c>
      <c r="D170" s="442"/>
      <c r="E170" s="459">
        <f>+'ต.ค.-ธ.ค.'!E171+'ม.ค.-มี.ค.'!E170+'เม.ย.-มิ.ย.'!E170</f>
        <v>0</v>
      </c>
      <c r="F170" s="459">
        <f>+'ต.ค.-ธ.ค.'!F171+'ม.ค.-มี.ค.'!F170+'เม.ย.-มิ.ย.'!F170</f>
        <v>0</v>
      </c>
      <c r="G170" s="459">
        <f>+'ต.ค.-ธ.ค.'!G171+'ม.ค.-มี.ค.'!G170+'เม.ย.-มิ.ย.'!G170</f>
        <v>0</v>
      </c>
      <c r="H170" s="459">
        <f>+'ต.ค.-ธ.ค.'!H171+'ม.ค.-มี.ค.'!H170+'เม.ย.-มิ.ย.'!H170</f>
        <v>0</v>
      </c>
      <c r="I170" s="459">
        <f>+'ต.ค.-ธ.ค.'!I171+'ม.ค.-มี.ค.'!I170+'เม.ย.-มิ.ย.'!I170</f>
        <v>0</v>
      </c>
      <c r="J170" s="459">
        <f>+'ต.ค.-ธ.ค.'!J171+'ม.ค.-มี.ค.'!J170+'เม.ย.-มิ.ย.'!J170</f>
        <v>0</v>
      </c>
      <c r="K170" s="459">
        <f>+'ต.ค.-ธ.ค.'!K171+'ม.ค.-มี.ค.'!K170+'เม.ย.-มิ.ย.'!K170</f>
        <v>0</v>
      </c>
      <c r="L170" s="459">
        <f>+'ต.ค.-ธ.ค.'!L171+'ม.ค.-มี.ค.'!L170+'เม.ย.-มิ.ย.'!L170</f>
        <v>0</v>
      </c>
      <c r="M170" s="459">
        <f>+'ต.ค.-ธ.ค.'!M171+'ม.ค.-มี.ค.'!M170+'เม.ย.-มิ.ย.'!M170</f>
        <v>0</v>
      </c>
      <c r="N170" s="459">
        <f>+'ต.ค.-ธ.ค.'!N171+'ม.ค.-มี.ค.'!N170+'เม.ย.-มิ.ย.'!N170</f>
        <v>0</v>
      </c>
      <c r="O170" s="459">
        <f>+'ต.ค.-ธ.ค.'!O171+'ม.ค.-มี.ค.'!O170+'เม.ย.-มิ.ย.'!O170</f>
        <v>0</v>
      </c>
      <c r="P170" s="459">
        <f>+'ต.ค.-ธ.ค.'!P171+'ม.ค.-มี.ค.'!P170+'เม.ย.-มิ.ย.'!P170</f>
        <v>0</v>
      </c>
      <c r="Q170" s="459">
        <f>+'ต.ค.-ธ.ค.'!Q171+'ม.ค.-มี.ค.'!Q170+'เม.ย.-มิ.ย.'!Q170</f>
        <v>0</v>
      </c>
      <c r="R170" s="459">
        <f>+'ต.ค.-ธ.ค.'!R171+'ม.ค.-มี.ค.'!R170+'เม.ย.-มิ.ย.'!R170</f>
        <v>0</v>
      </c>
      <c r="S170" s="459">
        <f>+'ต.ค.-ธ.ค.'!S171+'ม.ค.-มี.ค.'!S170+'เม.ย.-มิ.ย.'!S170</f>
        <v>0</v>
      </c>
      <c r="T170" s="459">
        <f>+'ต.ค.-ธ.ค.'!U171+'ม.ค.-มี.ค.'!U170+'เม.ย.-มิ.ย.'!U170</f>
        <v>0</v>
      </c>
      <c r="U170" s="459">
        <f>+'ต.ค.-ธ.ค.'!V171+'ม.ค.-มี.ค.'!V170+'เม.ย.-มิ.ย.'!V170</f>
        <v>4715</v>
      </c>
    </row>
    <row r="171" spans="1:23" ht="29.25" customHeight="1">
      <c r="A171" s="61"/>
      <c r="B171" s="388" t="s">
        <v>413</v>
      </c>
      <c r="C171" s="419">
        <v>140000</v>
      </c>
      <c r="D171" s="442"/>
      <c r="E171" s="459">
        <f>+'ต.ค.-ธ.ค.'!E172+'ม.ค.-มี.ค.'!E171+'เม.ย.-มิ.ย.'!E171</f>
        <v>0</v>
      </c>
      <c r="F171" s="459">
        <f>+'ต.ค.-ธ.ค.'!F172+'ม.ค.-มี.ค.'!F171+'เม.ย.-มิ.ย.'!F171</f>
        <v>139960</v>
      </c>
      <c r="G171" s="459">
        <f>+'ต.ค.-ธ.ค.'!G172+'ม.ค.-มี.ค.'!G171+'เม.ย.-มิ.ย.'!G171</f>
        <v>0</v>
      </c>
      <c r="H171" s="459">
        <f>+'ต.ค.-ธ.ค.'!H172+'ม.ค.-มี.ค.'!H171+'เม.ย.-มิ.ย.'!H171</f>
        <v>0</v>
      </c>
      <c r="I171" s="459">
        <f>+'ต.ค.-ธ.ค.'!I172+'ม.ค.-มี.ค.'!I171+'เม.ย.-มิ.ย.'!I171</f>
        <v>0</v>
      </c>
      <c r="J171" s="459">
        <f>+'ต.ค.-ธ.ค.'!J172+'ม.ค.-มี.ค.'!J171+'เม.ย.-มิ.ย.'!J171</f>
        <v>0</v>
      </c>
      <c r="K171" s="459">
        <f>+'ต.ค.-ธ.ค.'!K172+'ม.ค.-มี.ค.'!K171+'เม.ย.-มิ.ย.'!K171</f>
        <v>0</v>
      </c>
      <c r="L171" s="459">
        <f>+'ต.ค.-ธ.ค.'!L172+'ม.ค.-มี.ค.'!L171+'เม.ย.-มิ.ย.'!L171</f>
        <v>0</v>
      </c>
      <c r="M171" s="459">
        <f>+'ต.ค.-ธ.ค.'!M172+'ม.ค.-มี.ค.'!M171+'เม.ย.-มิ.ย.'!M171</f>
        <v>0</v>
      </c>
      <c r="N171" s="459">
        <f>+'ต.ค.-ธ.ค.'!N172+'ม.ค.-มี.ค.'!N171+'เม.ย.-มิ.ย.'!N171</f>
        <v>0</v>
      </c>
      <c r="O171" s="459">
        <f>+'ต.ค.-ธ.ค.'!O172+'ม.ค.-มี.ค.'!O171+'เม.ย.-มิ.ย.'!O171</f>
        <v>0</v>
      </c>
      <c r="P171" s="459">
        <f>+'ต.ค.-ธ.ค.'!P172+'ม.ค.-มี.ค.'!P171+'เม.ย.-มิ.ย.'!P171</f>
        <v>0</v>
      </c>
      <c r="Q171" s="459">
        <f>+'ต.ค.-ธ.ค.'!Q172+'ม.ค.-มี.ค.'!Q171+'เม.ย.-มิ.ย.'!Q171</f>
        <v>0</v>
      </c>
      <c r="R171" s="459">
        <f>+'ต.ค.-ธ.ค.'!R172+'ม.ค.-มี.ค.'!R171+'เม.ย.-มิ.ย.'!R171</f>
        <v>0</v>
      </c>
      <c r="S171" s="459">
        <f>+'ต.ค.-ธ.ค.'!S172+'ม.ค.-มี.ค.'!S171+'เม.ย.-มิ.ย.'!S171</f>
        <v>0</v>
      </c>
      <c r="T171" s="459">
        <f>+'ต.ค.-ธ.ค.'!U172+'ม.ค.-มี.ค.'!U171+'เม.ย.-มิ.ย.'!U171</f>
        <v>0</v>
      </c>
      <c r="U171" s="459">
        <f>+'ต.ค.-ธ.ค.'!V172+'ม.ค.-มี.ค.'!V171+'เม.ย.-มิ.ย.'!V171</f>
        <v>0</v>
      </c>
      <c r="V171" s="321"/>
    </row>
    <row r="172" spans="1:23" ht="29.25" customHeight="1">
      <c r="A172" s="61"/>
      <c r="B172" s="388" t="s">
        <v>414</v>
      </c>
      <c r="C172" s="419">
        <v>40000</v>
      </c>
      <c r="D172" s="442"/>
      <c r="E172" s="459">
        <f>+'ต.ค.-ธ.ค.'!E173+'ม.ค.-มี.ค.'!E172+'เม.ย.-มิ.ย.'!E172</f>
        <v>0</v>
      </c>
      <c r="F172" s="459">
        <f>+'ต.ค.-ธ.ค.'!F173+'ม.ค.-มี.ค.'!F172+'เม.ย.-มิ.ย.'!F172</f>
        <v>0</v>
      </c>
      <c r="G172" s="459">
        <f>+'ต.ค.-ธ.ค.'!G173+'ม.ค.-มี.ค.'!G172+'เม.ย.-มิ.ย.'!G172</f>
        <v>0</v>
      </c>
      <c r="H172" s="459">
        <f>+'ต.ค.-ธ.ค.'!H173+'ม.ค.-มี.ค.'!H172+'เม.ย.-มิ.ย.'!H172</f>
        <v>0</v>
      </c>
      <c r="I172" s="459">
        <f>+'ต.ค.-ธ.ค.'!I173+'ม.ค.-มี.ค.'!I172+'เม.ย.-มิ.ย.'!I172</f>
        <v>0</v>
      </c>
      <c r="J172" s="459">
        <f>+'ต.ค.-ธ.ค.'!J173+'ม.ค.-มี.ค.'!J172+'เม.ย.-มิ.ย.'!J172</f>
        <v>0</v>
      </c>
      <c r="K172" s="459">
        <f>+'ต.ค.-ธ.ค.'!K173+'ม.ค.-มี.ค.'!K172+'เม.ย.-มิ.ย.'!K172</f>
        <v>37080</v>
      </c>
      <c r="L172" s="459">
        <f>+'ต.ค.-ธ.ค.'!L173+'ม.ค.-มี.ค.'!L172+'เม.ย.-มิ.ย.'!L172</f>
        <v>0</v>
      </c>
      <c r="M172" s="459">
        <f>+'ต.ค.-ธ.ค.'!M173+'ม.ค.-มี.ค.'!M172+'เม.ย.-มิ.ย.'!M172</f>
        <v>0</v>
      </c>
      <c r="N172" s="459">
        <f>+'ต.ค.-ธ.ค.'!N173+'ม.ค.-มี.ค.'!N172+'เม.ย.-มิ.ย.'!N172</f>
        <v>0</v>
      </c>
      <c r="O172" s="459">
        <f>+'ต.ค.-ธ.ค.'!O173+'ม.ค.-มี.ค.'!O172+'เม.ย.-มิ.ย.'!O172</f>
        <v>0</v>
      </c>
      <c r="P172" s="459">
        <f>+'ต.ค.-ธ.ค.'!P173+'ม.ค.-มี.ค.'!P172+'เม.ย.-มิ.ย.'!P172</f>
        <v>0</v>
      </c>
      <c r="Q172" s="459">
        <f>+'ต.ค.-ธ.ค.'!Q173+'ม.ค.-มี.ค.'!Q172+'เม.ย.-มิ.ย.'!Q172</f>
        <v>0</v>
      </c>
      <c r="R172" s="459">
        <f>+'ต.ค.-ธ.ค.'!R173+'ม.ค.-มี.ค.'!R172+'เม.ย.-มิ.ย.'!R172</f>
        <v>0</v>
      </c>
      <c r="S172" s="459">
        <f>+'ต.ค.-ธ.ค.'!S173+'ม.ค.-มี.ค.'!S172+'เม.ย.-มิ.ย.'!S172</f>
        <v>0</v>
      </c>
      <c r="T172" s="459">
        <f>+'ต.ค.-ธ.ค.'!U173+'ม.ค.-มี.ค.'!U172+'เม.ย.-มิ.ย.'!U172</f>
        <v>0</v>
      </c>
      <c r="U172" s="459">
        <f>+'ต.ค.-ธ.ค.'!V173+'ม.ค.-มี.ค.'!V172+'เม.ย.-มิ.ย.'!V172</f>
        <v>0</v>
      </c>
    </row>
    <row r="173" spans="1:23" ht="31.5" customHeight="1">
      <c r="A173" s="61"/>
      <c r="B173" s="388" t="s">
        <v>415</v>
      </c>
      <c r="C173" s="419">
        <v>20000</v>
      </c>
      <c r="D173" s="442"/>
      <c r="E173" s="459">
        <f>+'ต.ค.-ธ.ค.'!E174+'ม.ค.-มี.ค.'!E173+'เม.ย.-มิ.ย.'!E173</f>
        <v>0</v>
      </c>
      <c r="F173" s="459">
        <f>+'ต.ค.-ธ.ค.'!F174+'ม.ค.-มี.ค.'!F173+'เม.ย.-มิ.ย.'!F173</f>
        <v>0</v>
      </c>
      <c r="G173" s="459">
        <f>+'ต.ค.-ธ.ค.'!G174+'ม.ค.-มี.ค.'!G173+'เม.ย.-มิ.ย.'!G173</f>
        <v>0</v>
      </c>
      <c r="H173" s="459">
        <f>+'ต.ค.-ธ.ค.'!H174+'ม.ค.-มี.ค.'!H173+'เม.ย.-มิ.ย.'!H173</f>
        <v>0</v>
      </c>
      <c r="I173" s="459">
        <f>+'ต.ค.-ธ.ค.'!I174+'ม.ค.-มี.ค.'!I173+'เม.ย.-มิ.ย.'!I173</f>
        <v>0</v>
      </c>
      <c r="J173" s="459">
        <f>+'ต.ค.-ธ.ค.'!J174+'ม.ค.-มี.ค.'!J173+'เม.ย.-มิ.ย.'!J173</f>
        <v>0</v>
      </c>
      <c r="K173" s="459">
        <f>+'ต.ค.-ธ.ค.'!K174+'ม.ค.-มี.ค.'!K173+'เม.ย.-มิ.ย.'!K173</f>
        <v>0</v>
      </c>
      <c r="L173" s="459">
        <f>+'ต.ค.-ธ.ค.'!L174+'ม.ค.-มี.ค.'!L173+'เม.ย.-มิ.ย.'!L173</f>
        <v>0</v>
      </c>
      <c r="M173" s="459">
        <f>+'ต.ค.-ธ.ค.'!M174+'ม.ค.-มี.ค.'!M173+'เม.ย.-มิ.ย.'!M173</f>
        <v>0</v>
      </c>
      <c r="N173" s="459">
        <f>+'ต.ค.-ธ.ค.'!N174+'ม.ค.-มี.ค.'!N173+'เม.ย.-มิ.ย.'!N173</f>
        <v>0</v>
      </c>
      <c r="O173" s="459">
        <f>+'ต.ค.-ธ.ค.'!O174+'ม.ค.-มี.ค.'!O173+'เม.ย.-มิ.ย.'!O173</f>
        <v>0</v>
      </c>
      <c r="P173" s="459">
        <f>+'ต.ค.-ธ.ค.'!P174+'ม.ค.-มี.ค.'!P173+'เม.ย.-มิ.ย.'!P173</f>
        <v>20000</v>
      </c>
      <c r="Q173" s="459">
        <f>+'ต.ค.-ธ.ค.'!Q174+'ม.ค.-มี.ค.'!Q173+'เม.ย.-มิ.ย.'!Q173</f>
        <v>0</v>
      </c>
      <c r="R173" s="459">
        <f>+'ต.ค.-ธ.ค.'!R174+'ม.ค.-มี.ค.'!R173+'เม.ย.-มิ.ย.'!R173</f>
        <v>0</v>
      </c>
      <c r="S173" s="459">
        <f>+'ต.ค.-ธ.ค.'!S174+'ม.ค.-มี.ค.'!S173+'เม.ย.-มิ.ย.'!S173</f>
        <v>0</v>
      </c>
      <c r="T173" s="459">
        <f>+'ต.ค.-ธ.ค.'!U174+'ม.ค.-มี.ค.'!U173+'เม.ย.-มิ.ย.'!U173</f>
        <v>0</v>
      </c>
      <c r="U173" s="459">
        <f>+'ต.ค.-ธ.ค.'!V174+'ม.ค.-มี.ค.'!V173+'เม.ย.-มิ.ย.'!V173</f>
        <v>0</v>
      </c>
      <c r="V173" s="321"/>
    </row>
    <row r="174" spans="1:23" ht="29.25" customHeight="1">
      <c r="A174" s="61"/>
      <c r="B174" s="388" t="s">
        <v>330</v>
      </c>
      <c r="C174" s="419"/>
      <c r="D174" s="442"/>
      <c r="E174" s="459">
        <f>+'ต.ค.-ธ.ค.'!E175+'ม.ค.-มี.ค.'!E174+'เม.ย.-มิ.ย.'!E174</f>
        <v>0</v>
      </c>
      <c r="F174" s="459">
        <f>+'ต.ค.-ธ.ค.'!F175+'ม.ค.-มี.ค.'!F174+'เม.ย.-มิ.ย.'!F174</f>
        <v>0</v>
      </c>
      <c r="G174" s="459">
        <f>+'ต.ค.-ธ.ค.'!G175+'ม.ค.-มี.ค.'!G174+'เม.ย.-มิ.ย.'!G174</f>
        <v>0</v>
      </c>
      <c r="H174" s="459">
        <f>+'ต.ค.-ธ.ค.'!H175+'ม.ค.-มี.ค.'!H174+'เม.ย.-มิ.ย.'!H174</f>
        <v>0</v>
      </c>
      <c r="I174" s="459">
        <f>+'ต.ค.-ธ.ค.'!I175+'ม.ค.-มี.ค.'!I174+'เม.ย.-มิ.ย.'!I174</f>
        <v>0</v>
      </c>
      <c r="J174" s="459">
        <f>+'ต.ค.-ธ.ค.'!J175+'ม.ค.-มี.ค.'!J174+'เม.ย.-มิ.ย.'!J174</f>
        <v>0</v>
      </c>
      <c r="K174" s="459">
        <f>+'ต.ค.-ธ.ค.'!K175+'ม.ค.-มี.ค.'!K174+'เม.ย.-มิ.ย.'!K174</f>
        <v>0</v>
      </c>
      <c r="L174" s="459">
        <f>+'ต.ค.-ธ.ค.'!L175+'ม.ค.-มี.ค.'!L174+'เม.ย.-มิ.ย.'!L174</f>
        <v>0</v>
      </c>
      <c r="M174" s="459">
        <f>+'ต.ค.-ธ.ค.'!M175+'ม.ค.-มี.ค.'!M174+'เม.ย.-มิ.ย.'!M174</f>
        <v>0</v>
      </c>
      <c r="N174" s="459">
        <f>+'ต.ค.-ธ.ค.'!N175+'ม.ค.-มี.ค.'!N174+'เม.ย.-มิ.ย.'!N174</f>
        <v>0</v>
      </c>
      <c r="O174" s="459">
        <f>+'ต.ค.-ธ.ค.'!O175+'ม.ค.-มี.ค.'!O174+'เม.ย.-มิ.ย.'!O174</f>
        <v>0</v>
      </c>
      <c r="P174" s="459">
        <f>+'ต.ค.-ธ.ค.'!P175+'ม.ค.-มี.ค.'!P174+'เม.ย.-มิ.ย.'!P174</f>
        <v>0</v>
      </c>
      <c r="Q174" s="459">
        <f>+'ต.ค.-ธ.ค.'!Q175+'ม.ค.-มี.ค.'!Q174+'เม.ย.-มิ.ย.'!Q174</f>
        <v>0</v>
      </c>
      <c r="R174" s="459">
        <f>+'ต.ค.-ธ.ค.'!R175+'ม.ค.-มี.ค.'!R174+'เม.ย.-มิ.ย.'!R174</f>
        <v>0</v>
      </c>
      <c r="S174" s="459">
        <f>+'ต.ค.-ธ.ค.'!S175+'ม.ค.-มี.ค.'!S174+'เม.ย.-มิ.ย.'!S174</f>
        <v>0</v>
      </c>
      <c r="T174" s="459">
        <f>+'ต.ค.-ธ.ค.'!U175+'ม.ค.-มี.ค.'!U174+'เม.ย.-มิ.ย.'!U174</f>
        <v>0</v>
      </c>
      <c r="U174" s="459">
        <f>+'ต.ค.-ธ.ค.'!V175+'ม.ค.-มี.ค.'!V174+'เม.ย.-มิ.ย.'!V174</f>
        <v>0</v>
      </c>
    </row>
    <row r="175" spans="1:23" ht="25.5" customHeight="1">
      <c r="A175" s="61"/>
      <c r="B175" s="388"/>
      <c r="C175" s="419"/>
      <c r="D175" s="442"/>
      <c r="E175" s="459">
        <f>+'ต.ค.-ธ.ค.'!E176+'ม.ค.-มี.ค.'!E175+'เม.ย.-มิ.ย.'!E175</f>
        <v>0</v>
      </c>
      <c r="F175" s="459">
        <f>+'ต.ค.-ธ.ค.'!F176+'ม.ค.-มี.ค.'!F175+'เม.ย.-มิ.ย.'!F175</f>
        <v>0</v>
      </c>
      <c r="G175" s="459">
        <f>+'ต.ค.-ธ.ค.'!G176+'ม.ค.-มี.ค.'!G175+'เม.ย.-มิ.ย.'!G175</f>
        <v>0</v>
      </c>
      <c r="H175" s="459">
        <f>+'ต.ค.-ธ.ค.'!H176+'ม.ค.-มี.ค.'!H175+'เม.ย.-มิ.ย.'!H175</f>
        <v>0</v>
      </c>
      <c r="I175" s="459">
        <f>+'ต.ค.-ธ.ค.'!I176+'ม.ค.-มี.ค.'!I175+'เม.ย.-มิ.ย.'!I175</f>
        <v>0</v>
      </c>
      <c r="J175" s="459">
        <f>+'ต.ค.-ธ.ค.'!J176+'ม.ค.-มี.ค.'!J175+'เม.ย.-มิ.ย.'!J175</f>
        <v>0</v>
      </c>
      <c r="K175" s="459">
        <f>+'ต.ค.-ธ.ค.'!K176+'ม.ค.-มี.ค.'!K175+'เม.ย.-มิ.ย.'!K175</f>
        <v>0</v>
      </c>
      <c r="L175" s="459">
        <f>+'ต.ค.-ธ.ค.'!L176+'ม.ค.-มี.ค.'!L175+'เม.ย.-มิ.ย.'!L175</f>
        <v>0</v>
      </c>
      <c r="M175" s="459">
        <f>+'ต.ค.-ธ.ค.'!M176+'ม.ค.-มี.ค.'!M175+'เม.ย.-มิ.ย.'!M175</f>
        <v>0</v>
      </c>
      <c r="N175" s="459">
        <f>+'ต.ค.-ธ.ค.'!N176+'ม.ค.-มี.ค.'!N175+'เม.ย.-มิ.ย.'!N175</f>
        <v>0</v>
      </c>
      <c r="O175" s="459">
        <f>+'ต.ค.-ธ.ค.'!O176+'ม.ค.-มี.ค.'!O175+'เม.ย.-มิ.ย.'!O175</f>
        <v>0</v>
      </c>
      <c r="P175" s="459">
        <f>+'ต.ค.-ธ.ค.'!P176+'ม.ค.-มี.ค.'!P175+'เม.ย.-มิ.ย.'!P175</f>
        <v>0</v>
      </c>
      <c r="Q175" s="459">
        <f>+'ต.ค.-ธ.ค.'!Q176+'ม.ค.-มี.ค.'!Q175+'เม.ย.-มิ.ย.'!Q175</f>
        <v>0</v>
      </c>
      <c r="R175" s="459">
        <f>+'ต.ค.-ธ.ค.'!R176+'ม.ค.-มี.ค.'!R175+'เม.ย.-มิ.ย.'!R175</f>
        <v>0</v>
      </c>
      <c r="S175" s="459">
        <f>+'ต.ค.-ธ.ค.'!S176+'ม.ค.-มี.ค.'!S175+'เม.ย.-มิ.ย.'!S175</f>
        <v>0</v>
      </c>
      <c r="T175" s="459">
        <f>+'ต.ค.-ธ.ค.'!U176+'ม.ค.-มี.ค.'!U175+'เม.ย.-มิ.ย.'!U175</f>
        <v>0</v>
      </c>
      <c r="U175" s="459">
        <f>+'ต.ค.-ธ.ค.'!V176+'ม.ค.-มี.ค.'!V175+'เม.ย.-มิ.ย.'!V175</f>
        <v>0</v>
      </c>
    </row>
    <row r="176" spans="1:23" ht="25.5" customHeight="1" thickBot="1">
      <c r="A176" s="462"/>
      <c r="B176" s="386" t="s">
        <v>5</v>
      </c>
      <c r="C176" s="411">
        <f t="shared" ref="C176:U176" si="4">SUM(C51:C175)</f>
        <v>6374300</v>
      </c>
      <c r="D176" s="466">
        <f t="shared" si="4"/>
        <v>0</v>
      </c>
      <c r="E176" s="467">
        <f t="shared" si="4"/>
        <v>1766925.04</v>
      </c>
      <c r="F176" s="467">
        <f t="shared" si="4"/>
        <v>274734</v>
      </c>
      <c r="G176" s="467">
        <f t="shared" si="4"/>
        <v>115898</v>
      </c>
      <c r="H176" s="467">
        <f t="shared" si="4"/>
        <v>993741</v>
      </c>
      <c r="I176" s="466">
        <f t="shared" si="4"/>
        <v>805695</v>
      </c>
      <c r="J176" s="466">
        <f t="shared" si="4"/>
        <v>49995</v>
      </c>
      <c r="K176" s="466">
        <f t="shared" si="4"/>
        <v>37080</v>
      </c>
      <c r="L176" s="466">
        <f t="shared" si="4"/>
        <v>0</v>
      </c>
      <c r="M176" s="467">
        <f t="shared" si="4"/>
        <v>295672</v>
      </c>
      <c r="N176" s="466">
        <f t="shared" si="4"/>
        <v>0</v>
      </c>
      <c r="O176" s="466">
        <f t="shared" si="4"/>
        <v>0</v>
      </c>
      <c r="P176" s="466">
        <f t="shared" si="4"/>
        <v>23600</v>
      </c>
      <c r="Q176" s="466">
        <f t="shared" si="4"/>
        <v>4880</v>
      </c>
      <c r="R176" s="466">
        <f t="shared" si="4"/>
        <v>24450</v>
      </c>
      <c r="S176" s="466">
        <f t="shared" si="4"/>
        <v>158980</v>
      </c>
      <c r="T176" s="466">
        <f t="shared" si="4"/>
        <v>0</v>
      </c>
      <c r="U176" s="466">
        <f t="shared" si="4"/>
        <v>4715</v>
      </c>
      <c r="V176" s="314">
        <f>SUM(D176:U176)</f>
        <v>4556365.04</v>
      </c>
    </row>
    <row r="177" spans="1:22" ht="25.5" customHeight="1" thickTop="1">
      <c r="A177" s="441" t="s">
        <v>113</v>
      </c>
      <c r="B177" s="382"/>
      <c r="C177" s="407"/>
      <c r="D177" s="458"/>
      <c r="E177" s="459"/>
      <c r="F177" s="460"/>
      <c r="G177" s="460"/>
      <c r="H177" s="460"/>
      <c r="I177" s="458"/>
      <c r="J177" s="458"/>
      <c r="K177" s="458"/>
      <c r="L177" s="458"/>
      <c r="M177" s="460"/>
      <c r="N177" s="458"/>
      <c r="O177" s="458"/>
      <c r="P177" s="458"/>
      <c r="Q177" s="458"/>
      <c r="R177" s="461"/>
      <c r="S177" s="470"/>
      <c r="T177" s="461"/>
      <c r="U177" s="461"/>
    </row>
    <row r="178" spans="1:22" ht="25.5" customHeight="1">
      <c r="A178" s="61"/>
      <c r="B178" s="383" t="s">
        <v>111</v>
      </c>
      <c r="C178" s="408">
        <f>50000+25000+5000+25000+10000+10000-8000</f>
        <v>117000</v>
      </c>
      <c r="D178" s="442">
        <f>+'ต.ค.-ธ.ค.'!D179+'ม.ค.-มี.ค.'!D178+'เม.ย.-มิ.ย.'!D178</f>
        <v>0</v>
      </c>
      <c r="E178" s="442">
        <f>+'ต.ค.-ธ.ค.'!E179+'ม.ค.-มี.ค.'!E178+'เม.ย.-มิ.ย.'!E178</f>
        <v>31107.8</v>
      </c>
      <c r="F178" s="442">
        <f>+'ต.ค.-ธ.ค.'!F179+'ม.ค.-มี.ค.'!F178+'เม.ย.-มิ.ย.'!F178</f>
        <v>36908</v>
      </c>
      <c r="G178" s="442">
        <f>+'ต.ค.-ธ.ค.'!G179+'ม.ค.-มี.ค.'!G178+'เม.ย.-มิ.ย.'!G178</f>
        <v>0</v>
      </c>
      <c r="H178" s="442">
        <f>+'ต.ค.-ธ.ค.'!H179+'ม.ค.-มี.ค.'!H178+'เม.ย.-มิ.ย.'!H178</f>
        <v>16470</v>
      </c>
      <c r="I178" s="442">
        <f>+'ต.ค.-ธ.ค.'!I179+'ม.ค.-มี.ค.'!I178+'เม.ย.-มิ.ย.'!I178</f>
        <v>0</v>
      </c>
      <c r="J178" s="442">
        <f>+'ต.ค.-ธ.ค.'!J179+'ม.ค.-มี.ค.'!J178+'เม.ย.-มิ.ย.'!J178</f>
        <v>0</v>
      </c>
      <c r="K178" s="442">
        <f>+'ต.ค.-ธ.ค.'!K179+'ม.ค.-มี.ค.'!K178+'เม.ย.-มิ.ย.'!K178</f>
        <v>0</v>
      </c>
      <c r="L178" s="442">
        <f>+'ต.ค.-ธ.ค.'!L179+'ม.ค.-มี.ค.'!L178+'เม.ย.-มิ.ย.'!L178</f>
        <v>0</v>
      </c>
      <c r="M178" s="442">
        <f>+'ต.ค.-ธ.ค.'!M179+'ม.ค.-มี.ค.'!M178+'เม.ย.-มิ.ย.'!M178</f>
        <v>11153</v>
      </c>
      <c r="N178" s="442">
        <f>+'ต.ค.-ธ.ค.'!N179+'ม.ค.-มี.ค.'!N178+'เม.ย.-มิ.ย.'!N178</f>
        <v>0</v>
      </c>
      <c r="O178" s="442">
        <f>+'ต.ค.-ธ.ค.'!O179+'ม.ค.-มี.ค.'!O178+'เม.ย.-มิ.ย.'!O178</f>
        <v>0</v>
      </c>
      <c r="P178" s="442">
        <f>+'ต.ค.-ธ.ค.'!P179+'ม.ค.-มี.ค.'!P178+'เม.ย.-มิ.ย.'!P178</f>
        <v>0</v>
      </c>
      <c r="Q178" s="442">
        <f>+'ต.ค.-ธ.ค.'!Q179+'ม.ค.-มี.ค.'!Q178+'เม.ย.-มิ.ย.'!Q178</f>
        <v>0</v>
      </c>
      <c r="R178" s="442">
        <f>+'ต.ค.-ธ.ค.'!R179+'ม.ค.-มี.ค.'!R178+'เม.ย.-มิ.ย.'!R178</f>
        <v>0</v>
      </c>
      <c r="S178" s="442">
        <f>+'ต.ค.-ธ.ค.'!S179+'ม.ค.-มี.ค.'!S178+'เม.ย.-มิ.ย.'!S178</f>
        <v>0</v>
      </c>
      <c r="T178" s="442">
        <f>+'ต.ค.-ธ.ค.'!U179+'ม.ค.-มี.ค.'!U178+'เม.ย.-มิ.ย.'!U178</f>
        <v>0</v>
      </c>
      <c r="U178" s="442">
        <f>+'ต.ค.-ธ.ค.'!V179+'ม.ค.-มี.ค.'!V178+'เม.ย.-มิ.ย.'!V178</f>
        <v>0</v>
      </c>
    </row>
    <row r="179" spans="1:22" s="67" customFormat="1" ht="25.5" customHeight="1">
      <c r="A179" s="61"/>
      <c r="B179" s="383" t="s">
        <v>302</v>
      </c>
      <c r="C179" s="408">
        <v>10000</v>
      </c>
      <c r="D179" s="442">
        <f>+'ต.ค.-ธ.ค.'!D180+'ม.ค.-มี.ค.'!D179+'เม.ย.-มิ.ย.'!D179</f>
        <v>0</v>
      </c>
      <c r="E179" s="442">
        <f>+'ต.ค.-ธ.ค.'!E180+'ม.ค.-มี.ค.'!E179+'เม.ย.-มิ.ย.'!E179</f>
        <v>0</v>
      </c>
      <c r="F179" s="442">
        <f>+'ต.ค.-ธ.ค.'!F180+'ม.ค.-มี.ค.'!F179+'เม.ย.-มิ.ย.'!F179</f>
        <v>0</v>
      </c>
      <c r="G179" s="442">
        <f>+'ต.ค.-ธ.ค.'!G180+'ม.ค.-มี.ค.'!G179+'เม.ย.-มิ.ย.'!G179</f>
        <v>0</v>
      </c>
      <c r="H179" s="442">
        <f>+'ต.ค.-ธ.ค.'!H180+'ม.ค.-มี.ค.'!H179+'เม.ย.-มิ.ย.'!H179</f>
        <v>500</v>
      </c>
      <c r="I179" s="442">
        <f>+'ต.ค.-ธ.ค.'!I180+'ม.ค.-มี.ค.'!I179+'เม.ย.-มิ.ย.'!I179</f>
        <v>0</v>
      </c>
      <c r="J179" s="442">
        <f>+'ต.ค.-ธ.ค.'!J180+'ม.ค.-มี.ค.'!J179+'เม.ย.-มิ.ย.'!J179</f>
        <v>0</v>
      </c>
      <c r="K179" s="442">
        <f>+'ต.ค.-ธ.ค.'!K180+'ม.ค.-มี.ค.'!K179+'เม.ย.-มิ.ย.'!K179</f>
        <v>0</v>
      </c>
      <c r="L179" s="442">
        <f>+'ต.ค.-ธ.ค.'!L180+'ม.ค.-มี.ค.'!L179+'เม.ย.-มิ.ย.'!L179</f>
        <v>0</v>
      </c>
      <c r="M179" s="442">
        <f>+'ต.ค.-ธ.ค.'!M180+'ม.ค.-มี.ค.'!M179+'เม.ย.-มิ.ย.'!M179</f>
        <v>0</v>
      </c>
      <c r="N179" s="442">
        <f>+'ต.ค.-ธ.ค.'!N180+'ม.ค.-มี.ค.'!N179+'เม.ย.-มิ.ย.'!N179</f>
        <v>0</v>
      </c>
      <c r="O179" s="442">
        <f>+'ต.ค.-ธ.ค.'!O180+'ม.ค.-มี.ค.'!O179+'เม.ย.-มิ.ย.'!O179</f>
        <v>0</v>
      </c>
      <c r="P179" s="442">
        <f>+'ต.ค.-ธ.ค.'!P180+'ม.ค.-มี.ค.'!P179+'เม.ย.-มิ.ย.'!P179</f>
        <v>0</v>
      </c>
      <c r="Q179" s="442">
        <f>+'ต.ค.-ธ.ค.'!Q180+'ม.ค.-มี.ค.'!Q179+'เม.ย.-มิ.ย.'!Q179</f>
        <v>0</v>
      </c>
      <c r="R179" s="442">
        <f>+'ต.ค.-ธ.ค.'!R180+'ม.ค.-มี.ค.'!R179+'เม.ย.-มิ.ย.'!R179</f>
        <v>0</v>
      </c>
      <c r="S179" s="442">
        <f>+'ต.ค.-ธ.ค.'!S180+'ม.ค.-มี.ค.'!S179+'เม.ย.-มิ.ย.'!S179</f>
        <v>0</v>
      </c>
      <c r="T179" s="442">
        <f>+'ต.ค.-ธ.ค.'!U180+'ม.ค.-มี.ค.'!U179+'เม.ย.-มิ.ย.'!U179</f>
        <v>0</v>
      </c>
      <c r="U179" s="442">
        <f>+'ต.ค.-ธ.ค.'!V180+'ม.ค.-มี.ค.'!V179+'เม.ย.-มิ.ย.'!V179</f>
        <v>0</v>
      </c>
      <c r="V179" s="312"/>
    </row>
    <row r="180" spans="1:22" s="67" customFormat="1" ht="25.5" customHeight="1">
      <c r="A180" s="61"/>
      <c r="B180" s="383" t="s">
        <v>16</v>
      </c>
      <c r="C180" s="408">
        <f>8000+200000+5000</f>
        <v>213000</v>
      </c>
      <c r="D180" s="442">
        <f>+'ต.ค.-ธ.ค.'!D181+'ม.ค.-มี.ค.'!D180+'เม.ย.-มิ.ย.'!D180</f>
        <v>0</v>
      </c>
      <c r="E180" s="442">
        <f>+'ต.ค.-ธ.ค.'!E181+'ม.ค.-มี.ค.'!E180+'เม.ย.-มิ.ย.'!E180</f>
        <v>1309</v>
      </c>
      <c r="F180" s="442">
        <f>+'ต.ค.-ธ.ค.'!F181+'ม.ค.-มี.ค.'!F180+'เม.ย.-มิ.ย.'!F180</f>
        <v>0</v>
      </c>
      <c r="G180" s="442">
        <f>+'ต.ค.-ธ.ค.'!G181+'ม.ค.-มี.ค.'!G180+'เม.ย.-มิ.ย.'!G180</f>
        <v>0</v>
      </c>
      <c r="H180" s="442">
        <f>+'ต.ค.-ธ.ค.'!H181+'ม.ค.-มี.ค.'!H180+'เม.ย.-มิ.ย.'!H180</f>
        <v>2350</v>
      </c>
      <c r="I180" s="442">
        <f>+'ต.ค.-ธ.ค.'!I181+'ม.ค.-มี.ค.'!I180+'เม.ย.-มิ.ย.'!I180</f>
        <v>0</v>
      </c>
      <c r="J180" s="442">
        <f>+'ต.ค.-ธ.ค.'!J181+'ม.ค.-มี.ค.'!J180+'เม.ย.-มิ.ย.'!J180</f>
        <v>0</v>
      </c>
      <c r="K180" s="442">
        <f>+'ต.ค.-ธ.ค.'!K181+'ม.ค.-มี.ค.'!K180+'เม.ย.-มิ.ย.'!K180</f>
        <v>0</v>
      </c>
      <c r="L180" s="442">
        <f>+'ต.ค.-ธ.ค.'!L181+'ม.ค.-มี.ค.'!L180+'เม.ย.-มิ.ย.'!L180</f>
        <v>0</v>
      </c>
      <c r="M180" s="442">
        <f>+'ต.ค.-ธ.ค.'!M181+'ม.ค.-มี.ค.'!M180+'เม.ย.-มิ.ย.'!M180</f>
        <v>0</v>
      </c>
      <c r="N180" s="442">
        <f>+'ต.ค.-ธ.ค.'!N181+'ม.ค.-มี.ค.'!N180+'เม.ย.-มิ.ย.'!N180</f>
        <v>78500</v>
      </c>
      <c r="O180" s="442">
        <f>+'ต.ค.-ธ.ค.'!O181+'ม.ค.-มี.ค.'!O180+'เม.ย.-มิ.ย.'!O180</f>
        <v>0</v>
      </c>
      <c r="P180" s="442">
        <f>+'ต.ค.-ธ.ค.'!P181+'ม.ค.-มี.ค.'!P180+'เม.ย.-มิ.ย.'!P180</f>
        <v>0</v>
      </c>
      <c r="Q180" s="442">
        <f>+'ต.ค.-ธ.ค.'!Q181+'ม.ค.-มี.ค.'!Q180+'เม.ย.-มิ.ย.'!Q180</f>
        <v>0</v>
      </c>
      <c r="R180" s="442">
        <f>+'ต.ค.-ธ.ค.'!R181+'ม.ค.-มี.ค.'!R180+'เม.ย.-มิ.ย.'!R180</f>
        <v>0</v>
      </c>
      <c r="S180" s="442">
        <f>+'ต.ค.-ธ.ค.'!S181+'ม.ค.-มี.ค.'!S180+'เม.ย.-มิ.ย.'!S180</f>
        <v>0</v>
      </c>
      <c r="T180" s="442">
        <f>+'ต.ค.-ธ.ค.'!U181+'ม.ค.-มี.ค.'!U180+'เม.ย.-มิ.ย.'!U180</f>
        <v>0</v>
      </c>
      <c r="U180" s="442">
        <f>+'ต.ค.-ธ.ค.'!V181+'ม.ค.-มี.ค.'!V180+'เม.ย.-มิ.ย.'!V180</f>
        <v>0</v>
      </c>
      <c r="V180" s="312"/>
    </row>
    <row r="181" spans="1:22" s="67" customFormat="1" ht="25.5" customHeight="1">
      <c r="A181" s="61"/>
      <c r="B181" s="383" t="s">
        <v>12</v>
      </c>
      <c r="C181" s="408">
        <f>15000+10000</f>
        <v>25000</v>
      </c>
      <c r="D181" s="442">
        <f>+'ต.ค.-ธ.ค.'!D182+'ม.ค.-มี.ค.'!D181+'เม.ย.-มิ.ย.'!D181</f>
        <v>0</v>
      </c>
      <c r="E181" s="442">
        <f>+'ต.ค.-ธ.ค.'!E182+'ม.ค.-มี.ค.'!E181+'เม.ย.-มิ.ย.'!E181</f>
        <v>14623</v>
      </c>
      <c r="F181" s="442">
        <f>+'ต.ค.-ธ.ค.'!F182+'ม.ค.-มี.ค.'!F181+'เม.ย.-มิ.ย.'!F181</f>
        <v>0</v>
      </c>
      <c r="G181" s="442">
        <f>+'ต.ค.-ธ.ค.'!G182+'ม.ค.-มี.ค.'!G181+'เม.ย.-มิ.ย.'!G181</f>
        <v>0</v>
      </c>
      <c r="H181" s="442">
        <f>+'ต.ค.-ธ.ค.'!H182+'ม.ค.-มี.ค.'!H181+'เม.ย.-มิ.ย.'!H181</f>
        <v>5570</v>
      </c>
      <c r="I181" s="442">
        <f>+'ต.ค.-ธ.ค.'!I182+'ม.ค.-มี.ค.'!I181+'เม.ย.-มิ.ย.'!I181</f>
        <v>0</v>
      </c>
      <c r="J181" s="442">
        <f>+'ต.ค.-ธ.ค.'!J182+'ม.ค.-มี.ค.'!J181+'เม.ย.-มิ.ย.'!J181</f>
        <v>0</v>
      </c>
      <c r="K181" s="442">
        <f>+'ต.ค.-ธ.ค.'!K182+'ม.ค.-มี.ค.'!K181+'เม.ย.-มิ.ย.'!K181</f>
        <v>0</v>
      </c>
      <c r="L181" s="442">
        <f>+'ต.ค.-ธ.ค.'!L182+'ม.ค.-มี.ค.'!L181+'เม.ย.-มิ.ย.'!L181</f>
        <v>0</v>
      </c>
      <c r="M181" s="442">
        <f>+'ต.ค.-ธ.ค.'!M182+'ม.ค.-มี.ค.'!M181+'เม.ย.-มิ.ย.'!M181</f>
        <v>0</v>
      </c>
      <c r="N181" s="442">
        <f>+'ต.ค.-ธ.ค.'!N182+'ม.ค.-มี.ค.'!N181+'เม.ย.-มิ.ย.'!N181</f>
        <v>0</v>
      </c>
      <c r="O181" s="442">
        <f>+'ต.ค.-ธ.ค.'!O182+'ม.ค.-มี.ค.'!O181+'เม.ย.-มิ.ย.'!O181</f>
        <v>0</v>
      </c>
      <c r="P181" s="442">
        <f>+'ต.ค.-ธ.ค.'!P182+'ม.ค.-มี.ค.'!P181+'เม.ย.-มิ.ย.'!P181</f>
        <v>0</v>
      </c>
      <c r="Q181" s="442">
        <f>+'ต.ค.-ธ.ค.'!Q182+'ม.ค.-มี.ค.'!Q181+'เม.ย.-มิ.ย.'!Q181</f>
        <v>0</v>
      </c>
      <c r="R181" s="442">
        <f>+'ต.ค.-ธ.ค.'!R182+'ม.ค.-มี.ค.'!R181+'เม.ย.-มิ.ย.'!R181</f>
        <v>0</v>
      </c>
      <c r="S181" s="442">
        <f>+'ต.ค.-ธ.ค.'!S182+'ม.ค.-มี.ค.'!S181+'เม.ย.-มิ.ย.'!S181</f>
        <v>0</v>
      </c>
      <c r="T181" s="442">
        <f>+'ต.ค.-ธ.ค.'!U182+'ม.ค.-มี.ค.'!U181+'เม.ย.-มิ.ย.'!U181</f>
        <v>0</v>
      </c>
      <c r="U181" s="442">
        <f>+'ต.ค.-ธ.ค.'!V182+'ม.ค.-มี.ค.'!V181+'เม.ย.-มิ.ย.'!V181</f>
        <v>0</v>
      </c>
      <c r="V181" s="312"/>
    </row>
    <row r="182" spans="1:22" ht="25.5" customHeight="1">
      <c r="A182" s="61"/>
      <c r="B182" s="383" t="s">
        <v>17</v>
      </c>
      <c r="C182" s="408">
        <f>15000+25000+20000-10000+8000-3000</f>
        <v>55000</v>
      </c>
      <c r="D182" s="442">
        <f>+'ต.ค.-ธ.ค.'!D183+'ม.ค.-มี.ค.'!D182+'เม.ย.-มิ.ย.'!D182</f>
        <v>0</v>
      </c>
      <c r="E182" s="442">
        <f>+'ต.ค.-ธ.ค.'!E183+'ม.ค.-มี.ค.'!E182+'เม.ย.-มิ.ย.'!E182</f>
        <v>0</v>
      </c>
      <c r="F182" s="442">
        <f>+'ต.ค.-ธ.ค.'!F183+'ม.ค.-มี.ค.'!F182+'เม.ย.-มิ.ย.'!F182</f>
        <v>0</v>
      </c>
      <c r="G182" s="442">
        <f>+'ต.ค.-ธ.ค.'!G183+'ม.ค.-มี.ค.'!G182+'เม.ย.-มิ.ย.'!G182</f>
        <v>0</v>
      </c>
      <c r="H182" s="442">
        <f>+'ต.ค.-ธ.ค.'!H183+'ม.ค.-มี.ค.'!H182+'เม.ย.-มิ.ย.'!H182</f>
        <v>15591</v>
      </c>
      <c r="I182" s="442">
        <f>+'ต.ค.-ธ.ค.'!I183+'ม.ค.-มี.ค.'!I182+'เม.ย.-มิ.ย.'!I182</f>
        <v>0</v>
      </c>
      <c r="J182" s="442">
        <f>+'ต.ค.-ธ.ค.'!J183+'ม.ค.-มี.ค.'!J182+'เม.ย.-มิ.ย.'!J182</f>
        <v>0</v>
      </c>
      <c r="K182" s="442">
        <f>+'ต.ค.-ธ.ค.'!K183+'ม.ค.-มี.ค.'!K182+'เม.ย.-มิ.ย.'!K182</f>
        <v>0</v>
      </c>
      <c r="L182" s="442">
        <f>+'ต.ค.-ธ.ค.'!L183+'ม.ค.-มี.ค.'!L182+'เม.ย.-มิ.ย.'!L182</f>
        <v>0</v>
      </c>
      <c r="M182" s="442">
        <f>+'ต.ค.-ธ.ค.'!M183+'ม.ค.-มี.ค.'!M182+'เม.ย.-มิ.ย.'!M182</f>
        <v>0</v>
      </c>
      <c r="N182" s="442">
        <f>+'ต.ค.-ธ.ค.'!N183+'ม.ค.-มี.ค.'!N182+'เม.ย.-มิ.ย.'!N182</f>
        <v>0</v>
      </c>
      <c r="O182" s="442">
        <f>+'ต.ค.-ธ.ค.'!O183+'ม.ค.-มี.ค.'!O182+'เม.ย.-มิ.ย.'!O182</f>
        <v>0</v>
      </c>
      <c r="P182" s="442">
        <f>+'ต.ค.-ธ.ค.'!P183+'ม.ค.-มี.ค.'!P182+'เม.ย.-มิ.ย.'!P182</f>
        <v>0</v>
      </c>
      <c r="Q182" s="442">
        <f>+'ต.ค.-ธ.ค.'!Q183+'ม.ค.-มี.ค.'!Q182+'เม.ย.-มิ.ย.'!Q182</f>
        <v>0</v>
      </c>
      <c r="R182" s="442">
        <f>+'ต.ค.-ธ.ค.'!R183+'ม.ค.-มี.ค.'!R182+'เม.ย.-มิ.ย.'!R182</f>
        <v>0</v>
      </c>
      <c r="S182" s="442">
        <f>+'ต.ค.-ธ.ค.'!S183+'ม.ค.-มี.ค.'!S182+'เม.ย.-มิ.ย.'!S182</f>
        <v>0</v>
      </c>
      <c r="T182" s="442">
        <f>+'ต.ค.-ธ.ค.'!U183+'ม.ค.-มี.ค.'!U182+'เม.ย.-มิ.ย.'!U182</f>
        <v>0</v>
      </c>
      <c r="U182" s="442">
        <f>+'ต.ค.-ธ.ค.'!V183+'ม.ค.-มี.ค.'!V182+'เม.ย.-มิ.ย.'!V182</f>
        <v>0</v>
      </c>
    </row>
    <row r="183" spans="1:22" ht="25.5" customHeight="1">
      <c r="A183" s="61"/>
      <c r="B183" s="383" t="s">
        <v>13</v>
      </c>
      <c r="C183" s="408">
        <v>15000</v>
      </c>
      <c r="D183" s="442">
        <f>+'ต.ค.-ธ.ค.'!D184+'ม.ค.-มี.ค.'!D183+'เม.ย.-มิ.ย.'!D183</f>
        <v>0</v>
      </c>
      <c r="E183" s="442">
        <f>+'ต.ค.-ธ.ค.'!E184+'ม.ค.-มี.ค.'!E183+'เม.ย.-มิ.ย.'!E183</f>
        <v>0</v>
      </c>
      <c r="F183" s="442">
        <f>+'ต.ค.-ธ.ค.'!F184+'ม.ค.-มี.ค.'!F183+'เม.ย.-มิ.ย.'!F183</f>
        <v>0</v>
      </c>
      <c r="G183" s="442">
        <f>+'ต.ค.-ธ.ค.'!G184+'ม.ค.-มี.ค.'!G183+'เม.ย.-มิ.ย.'!G183</f>
        <v>0</v>
      </c>
      <c r="H183" s="442">
        <f>+'ต.ค.-ธ.ค.'!H184+'ม.ค.-มี.ค.'!H183+'เม.ย.-มิ.ย.'!H183</f>
        <v>0</v>
      </c>
      <c r="I183" s="442">
        <f>+'ต.ค.-ธ.ค.'!I184+'ม.ค.-มี.ค.'!I183+'เม.ย.-มิ.ย.'!I183</f>
        <v>0</v>
      </c>
      <c r="J183" s="442">
        <f>+'ต.ค.-ธ.ค.'!J184+'ม.ค.-มี.ค.'!J183+'เม.ย.-มิ.ย.'!J183</f>
        <v>0</v>
      </c>
      <c r="K183" s="442">
        <f>+'ต.ค.-ธ.ค.'!K184+'ม.ค.-มี.ค.'!K183+'เม.ย.-มิ.ย.'!K183</f>
        <v>0</v>
      </c>
      <c r="L183" s="442">
        <f>+'ต.ค.-ธ.ค.'!L184+'ม.ค.-มี.ค.'!L183+'เม.ย.-มิ.ย.'!L183</f>
        <v>0</v>
      </c>
      <c r="M183" s="442">
        <f>+'ต.ค.-ธ.ค.'!M184+'ม.ค.-มี.ค.'!M183+'เม.ย.-มิ.ย.'!M183</f>
        <v>0</v>
      </c>
      <c r="N183" s="442">
        <f>+'ต.ค.-ธ.ค.'!N184+'ม.ค.-มี.ค.'!N183+'เม.ย.-มิ.ย.'!N183</f>
        <v>0</v>
      </c>
      <c r="O183" s="442">
        <f>+'ต.ค.-ธ.ค.'!O184+'ม.ค.-มี.ค.'!O183+'เม.ย.-มิ.ย.'!O183</f>
        <v>0</v>
      </c>
      <c r="P183" s="442">
        <f>+'ต.ค.-ธ.ค.'!P184+'ม.ค.-มี.ค.'!P183+'เม.ย.-มิ.ย.'!P183</f>
        <v>0</v>
      </c>
      <c r="Q183" s="442">
        <f>+'ต.ค.-ธ.ค.'!Q184+'ม.ค.-มี.ค.'!Q183+'เม.ย.-มิ.ย.'!Q183</f>
        <v>0</v>
      </c>
      <c r="R183" s="442">
        <f>+'ต.ค.-ธ.ค.'!R184+'ม.ค.-มี.ค.'!R183+'เม.ย.-มิ.ย.'!R183</f>
        <v>0</v>
      </c>
      <c r="S183" s="442">
        <f>+'ต.ค.-ธ.ค.'!S184+'ม.ค.-มี.ค.'!S183+'เม.ย.-มิ.ย.'!S183</f>
        <v>0</v>
      </c>
      <c r="T183" s="442">
        <f>+'ต.ค.-ธ.ค.'!U184+'ม.ค.-มี.ค.'!U183+'เม.ย.-มิ.ย.'!U183</f>
        <v>0</v>
      </c>
      <c r="U183" s="442">
        <f>+'ต.ค.-ธ.ค.'!V184+'ม.ค.-มี.ค.'!V183+'เม.ย.-มิ.ย.'!V183</f>
        <v>0</v>
      </c>
    </row>
    <row r="184" spans="1:22" ht="25.5" customHeight="1">
      <c r="A184" s="61"/>
      <c r="B184" s="383" t="s">
        <v>14</v>
      </c>
      <c r="C184" s="408">
        <f>240000+5000+20000</f>
        <v>265000</v>
      </c>
      <c r="D184" s="442">
        <f>+'ต.ค.-ธ.ค.'!D185+'ม.ค.-มี.ค.'!D184+'เม.ย.-มิ.ย.'!D184</f>
        <v>0</v>
      </c>
      <c r="E184" s="442">
        <f>+'ต.ค.-ธ.ค.'!E185+'ม.ค.-มี.ค.'!E184+'เม.ย.-มิ.ย.'!E184</f>
        <v>161945.56</v>
      </c>
      <c r="F184" s="442">
        <f>+'ต.ค.-ธ.ค.'!F185+'ม.ค.-มี.ค.'!F184+'เม.ย.-มิ.ย.'!F184</f>
        <v>671.2</v>
      </c>
      <c r="G184" s="442">
        <f>+'ต.ค.-ธ.ค.'!G185+'ม.ค.-มี.ค.'!G184+'เม.ย.-มิ.ย.'!G184</f>
        <v>0</v>
      </c>
      <c r="H184" s="442">
        <f>+'ต.ค.-ธ.ค.'!H185+'ม.ค.-มี.ค.'!H184+'เม.ย.-มิ.ย.'!H184</f>
        <v>0</v>
      </c>
      <c r="I184" s="442">
        <f>+'ต.ค.-ธ.ค.'!I185+'ม.ค.-มี.ค.'!I184+'เม.ย.-มิ.ย.'!I184</f>
        <v>0</v>
      </c>
      <c r="J184" s="442">
        <f>+'ต.ค.-ธ.ค.'!J185+'ม.ค.-มี.ค.'!J184+'เม.ย.-มิ.ย.'!J184</f>
        <v>0</v>
      </c>
      <c r="K184" s="442">
        <f>+'ต.ค.-ธ.ค.'!K185+'ม.ค.-มี.ค.'!K184+'เม.ย.-มิ.ย.'!K184</f>
        <v>0</v>
      </c>
      <c r="L184" s="442">
        <f>+'ต.ค.-ธ.ค.'!L185+'ม.ค.-มี.ค.'!L184+'เม.ย.-มิ.ย.'!L184</f>
        <v>0</v>
      </c>
      <c r="M184" s="442">
        <f>+'ต.ค.-ธ.ค.'!M185+'ม.ค.-มี.ค.'!M184+'เม.ย.-มิ.ย.'!M184</f>
        <v>7666.65</v>
      </c>
      <c r="N184" s="442">
        <f>+'ต.ค.-ธ.ค.'!N185+'ม.ค.-มี.ค.'!N184+'เม.ย.-มิ.ย.'!N184</f>
        <v>0</v>
      </c>
      <c r="O184" s="442">
        <f>+'ต.ค.-ธ.ค.'!O185+'ม.ค.-มี.ค.'!O184+'เม.ย.-มิ.ย.'!O184</f>
        <v>0</v>
      </c>
      <c r="P184" s="442">
        <f>+'ต.ค.-ธ.ค.'!P185+'ม.ค.-มี.ค.'!P184+'เม.ย.-มิ.ย.'!P184</f>
        <v>0</v>
      </c>
      <c r="Q184" s="442">
        <f>+'ต.ค.-ธ.ค.'!Q185+'ม.ค.-มี.ค.'!Q184+'เม.ย.-มิ.ย.'!Q184</f>
        <v>0</v>
      </c>
      <c r="R184" s="442">
        <f>+'ต.ค.-ธ.ค.'!R185+'ม.ค.-มี.ค.'!R184+'เม.ย.-มิ.ย.'!R184</f>
        <v>0</v>
      </c>
      <c r="S184" s="442">
        <f>+'ต.ค.-ธ.ค.'!S185+'ม.ค.-มี.ค.'!S184+'เม.ย.-มิ.ย.'!S184</f>
        <v>0</v>
      </c>
      <c r="T184" s="442">
        <f>+'ต.ค.-ธ.ค.'!U185+'ม.ค.-มี.ค.'!U184+'เม.ย.-มิ.ย.'!U184</f>
        <v>0</v>
      </c>
      <c r="U184" s="442">
        <f>+'ต.ค.-ธ.ค.'!V185+'ม.ค.-มี.ค.'!V184+'เม.ย.-มิ.ย.'!V184</f>
        <v>0</v>
      </c>
    </row>
    <row r="185" spans="1:22" ht="25.5" customHeight="1">
      <c r="A185" s="61"/>
      <c r="B185" s="383" t="s">
        <v>112</v>
      </c>
      <c r="C185" s="408">
        <f>5000+5000+5000-5000</f>
        <v>10000</v>
      </c>
      <c r="D185" s="442">
        <f>+'ต.ค.-ธ.ค.'!D186+'ม.ค.-มี.ค.'!D185+'เม.ย.-มิ.ย.'!D185</f>
        <v>0</v>
      </c>
      <c r="E185" s="442">
        <f>+'ต.ค.-ธ.ค.'!E186+'ม.ค.-มี.ค.'!E185+'เม.ย.-มิ.ย.'!E185</f>
        <v>0</v>
      </c>
      <c r="F185" s="442">
        <f>+'ต.ค.-ธ.ค.'!F186+'ม.ค.-มี.ค.'!F185+'เม.ย.-มิ.ย.'!F185</f>
        <v>0</v>
      </c>
      <c r="G185" s="442">
        <f>+'ต.ค.-ธ.ค.'!G186+'ม.ค.-มี.ค.'!G185+'เม.ย.-มิ.ย.'!G185</f>
        <v>0</v>
      </c>
      <c r="H185" s="442">
        <f>+'ต.ค.-ธ.ค.'!H186+'ม.ค.-มี.ค.'!H185+'เม.ย.-มิ.ย.'!H185</f>
        <v>0</v>
      </c>
      <c r="I185" s="442">
        <f>+'ต.ค.-ธ.ค.'!I186+'ม.ค.-มี.ค.'!I185+'เม.ย.-มิ.ย.'!I185</f>
        <v>0</v>
      </c>
      <c r="J185" s="442">
        <f>+'ต.ค.-ธ.ค.'!J186+'ม.ค.-มี.ค.'!J185+'เม.ย.-มิ.ย.'!J185</f>
        <v>0</v>
      </c>
      <c r="K185" s="442">
        <f>+'ต.ค.-ธ.ค.'!K186+'ม.ค.-มี.ค.'!K185+'เม.ย.-มิ.ย.'!K185</f>
        <v>0</v>
      </c>
      <c r="L185" s="442">
        <f>+'ต.ค.-ธ.ค.'!L186+'ม.ค.-มี.ค.'!L185+'เม.ย.-มิ.ย.'!L185</f>
        <v>0</v>
      </c>
      <c r="M185" s="442">
        <f>+'ต.ค.-ธ.ค.'!M186+'ม.ค.-มี.ค.'!M185+'เม.ย.-มิ.ย.'!M185</f>
        <v>0</v>
      </c>
      <c r="N185" s="442">
        <f>+'ต.ค.-ธ.ค.'!N186+'ม.ค.-มี.ค.'!N185+'เม.ย.-มิ.ย.'!N185</f>
        <v>0</v>
      </c>
      <c r="O185" s="442">
        <f>+'ต.ค.-ธ.ค.'!O186+'ม.ค.-มี.ค.'!O185+'เม.ย.-มิ.ย.'!O185</f>
        <v>0</v>
      </c>
      <c r="P185" s="442">
        <f>+'ต.ค.-ธ.ค.'!P186+'ม.ค.-มี.ค.'!P185+'เม.ย.-มิ.ย.'!P185</f>
        <v>0</v>
      </c>
      <c r="Q185" s="442">
        <f>+'ต.ค.-ธ.ค.'!Q186+'ม.ค.-มี.ค.'!Q185+'เม.ย.-มิ.ย.'!Q185</f>
        <v>0</v>
      </c>
      <c r="R185" s="442">
        <f>+'ต.ค.-ธ.ค.'!R186+'ม.ค.-มี.ค.'!R185+'เม.ย.-มิ.ย.'!R185</f>
        <v>0</v>
      </c>
      <c r="S185" s="442">
        <f>+'ต.ค.-ธ.ค.'!S186+'ม.ค.-มี.ค.'!S185+'เม.ย.-มิ.ย.'!S185</f>
        <v>0</v>
      </c>
      <c r="T185" s="442">
        <f>+'ต.ค.-ธ.ค.'!U186+'ม.ค.-มี.ค.'!U185+'เม.ย.-มิ.ย.'!U185</f>
        <v>0</v>
      </c>
      <c r="U185" s="442">
        <f>+'ต.ค.-ธ.ค.'!V186+'ม.ค.-มี.ค.'!V185+'เม.ย.-มิ.ย.'!V185</f>
        <v>0</v>
      </c>
    </row>
    <row r="186" spans="1:22" ht="25.5" customHeight="1">
      <c r="A186" s="61"/>
      <c r="B186" s="383" t="s">
        <v>208</v>
      </c>
      <c r="C186" s="408">
        <v>5000</v>
      </c>
      <c r="D186" s="442">
        <f>+'ต.ค.-ธ.ค.'!D187+'ม.ค.-มี.ค.'!D186+'เม.ย.-มิ.ย.'!D186</f>
        <v>0</v>
      </c>
      <c r="E186" s="442">
        <f>+'ต.ค.-ธ.ค.'!E187+'ม.ค.-มี.ค.'!E186+'เม.ย.-มิ.ย.'!E186</f>
        <v>540</v>
      </c>
      <c r="F186" s="442">
        <f>+'ต.ค.-ธ.ค.'!F187+'ม.ค.-มี.ค.'!F186+'เม.ย.-มิ.ย.'!F186</f>
        <v>0</v>
      </c>
      <c r="G186" s="442">
        <f>+'ต.ค.-ธ.ค.'!G187+'ม.ค.-มี.ค.'!G186+'เม.ย.-มิ.ย.'!G186</f>
        <v>0</v>
      </c>
      <c r="H186" s="442">
        <f>+'ต.ค.-ธ.ค.'!H187+'ม.ค.-มี.ค.'!H186+'เม.ย.-มิ.ย.'!H186</f>
        <v>0</v>
      </c>
      <c r="I186" s="442">
        <f>+'ต.ค.-ธ.ค.'!I187+'ม.ค.-มี.ค.'!I186+'เม.ย.-มิ.ย.'!I186</f>
        <v>0</v>
      </c>
      <c r="J186" s="442">
        <f>+'ต.ค.-ธ.ค.'!J187+'ม.ค.-มี.ค.'!J186+'เม.ย.-มิ.ย.'!J186</f>
        <v>0</v>
      </c>
      <c r="K186" s="442">
        <f>+'ต.ค.-ธ.ค.'!K187+'ม.ค.-มี.ค.'!K186+'เม.ย.-มิ.ย.'!K186</f>
        <v>0</v>
      </c>
      <c r="L186" s="442">
        <f>+'ต.ค.-ธ.ค.'!L187+'ม.ค.-มี.ค.'!L186+'เม.ย.-มิ.ย.'!L186</f>
        <v>0</v>
      </c>
      <c r="M186" s="442">
        <f>+'ต.ค.-ธ.ค.'!M187+'ม.ค.-มี.ค.'!M186+'เม.ย.-มิ.ย.'!M186</f>
        <v>0</v>
      </c>
      <c r="N186" s="442">
        <f>+'ต.ค.-ธ.ค.'!N187+'ม.ค.-มี.ค.'!N186+'เม.ย.-มิ.ย.'!N186</f>
        <v>0</v>
      </c>
      <c r="O186" s="442">
        <f>+'ต.ค.-ธ.ค.'!O187+'ม.ค.-มี.ค.'!O186+'เม.ย.-มิ.ย.'!O186</f>
        <v>0</v>
      </c>
      <c r="P186" s="442">
        <f>+'ต.ค.-ธ.ค.'!P187+'ม.ค.-มี.ค.'!P186+'เม.ย.-มิ.ย.'!P186</f>
        <v>0</v>
      </c>
      <c r="Q186" s="442">
        <f>+'ต.ค.-ธ.ค.'!Q187+'ม.ค.-มี.ค.'!Q186+'เม.ย.-มิ.ย.'!Q186</f>
        <v>0</v>
      </c>
      <c r="R186" s="442">
        <f>+'ต.ค.-ธ.ค.'!R187+'ม.ค.-มี.ค.'!R186+'เม.ย.-มิ.ย.'!R186</f>
        <v>0</v>
      </c>
      <c r="S186" s="442">
        <f>+'ต.ค.-ธ.ค.'!S187+'ม.ค.-มี.ค.'!S186+'เม.ย.-มิ.ย.'!S186</f>
        <v>0</v>
      </c>
      <c r="T186" s="442">
        <f>+'ต.ค.-ธ.ค.'!U187+'ม.ค.-มี.ค.'!U186+'เม.ย.-มิ.ย.'!U186</f>
        <v>0</v>
      </c>
      <c r="U186" s="442">
        <f>+'ต.ค.-ธ.ค.'!V187+'ม.ค.-มี.ค.'!V186+'เม.ย.-มิ.ย.'!V186</f>
        <v>0</v>
      </c>
    </row>
    <row r="187" spans="1:22" ht="25.5" customHeight="1">
      <c r="A187" s="61"/>
      <c r="B187" s="383" t="s">
        <v>15</v>
      </c>
      <c r="C187" s="408">
        <f>40000+15000+15000+40000+40000+15000</f>
        <v>165000</v>
      </c>
      <c r="D187" s="442">
        <f>+'ต.ค.-ธ.ค.'!D188+'ม.ค.-มี.ค.'!D187+'เม.ย.-มิ.ย.'!D187</f>
        <v>0</v>
      </c>
      <c r="E187" s="442">
        <f>+'ต.ค.-ธ.ค.'!E188+'ม.ค.-มี.ค.'!E187+'เม.ย.-มิ.ย.'!E187</f>
        <v>27203</v>
      </c>
      <c r="F187" s="442">
        <f>+'ต.ค.-ธ.ค.'!F188+'ม.ค.-มี.ค.'!F187+'เม.ย.-มิ.ย.'!F187</f>
        <v>12125</v>
      </c>
      <c r="G187" s="442">
        <f>+'ต.ค.-ธ.ค.'!G188+'ม.ค.-มี.ค.'!G187+'เม.ย.-มิ.ย.'!G187</f>
        <v>0</v>
      </c>
      <c r="H187" s="442">
        <f>+'ต.ค.-ธ.ค.'!H188+'ม.ค.-มี.ค.'!H187+'เม.ย.-มิ.ย.'!H187</f>
        <v>9490</v>
      </c>
      <c r="I187" s="442">
        <f>+'ต.ค.-ธ.ค.'!I188+'ม.ค.-มี.ค.'!I187+'เม.ย.-มิ.ย.'!I187</f>
        <v>0</v>
      </c>
      <c r="J187" s="442">
        <f>+'ต.ค.-ธ.ค.'!J188+'ม.ค.-มี.ค.'!J187+'เม.ย.-มิ.ย.'!J187</f>
        <v>0</v>
      </c>
      <c r="K187" s="442">
        <f>+'ต.ค.-ธ.ค.'!K188+'ม.ค.-มี.ค.'!K187+'เม.ย.-มิ.ย.'!K187</f>
        <v>0</v>
      </c>
      <c r="L187" s="442">
        <f>+'ต.ค.-ธ.ค.'!L188+'ม.ค.-มี.ค.'!L187+'เม.ย.-มิ.ย.'!L187</f>
        <v>0</v>
      </c>
      <c r="M187" s="442">
        <f>+'ต.ค.-ธ.ค.'!M188+'ม.ค.-มี.ค.'!M187+'เม.ย.-มิ.ย.'!M187</f>
        <v>61800</v>
      </c>
      <c r="N187" s="442">
        <f>+'ต.ค.-ธ.ค.'!N188+'ม.ค.-มี.ค.'!N187+'เม.ย.-มิ.ย.'!N187</f>
        <v>0</v>
      </c>
      <c r="O187" s="442">
        <f>+'ต.ค.-ธ.ค.'!O188+'ม.ค.-มี.ค.'!O187+'เม.ย.-มิ.ย.'!O187</f>
        <v>0</v>
      </c>
      <c r="P187" s="442">
        <f>+'ต.ค.-ธ.ค.'!P188+'ม.ค.-มี.ค.'!P187+'เม.ย.-มิ.ย.'!P187</f>
        <v>0</v>
      </c>
      <c r="Q187" s="442">
        <f>+'ต.ค.-ธ.ค.'!Q188+'ม.ค.-มี.ค.'!Q187+'เม.ย.-มิ.ย.'!Q187</f>
        <v>0</v>
      </c>
      <c r="R187" s="442">
        <f>+'ต.ค.-ธ.ค.'!R188+'ม.ค.-มี.ค.'!R187+'เม.ย.-มิ.ย.'!R187</f>
        <v>0</v>
      </c>
      <c r="S187" s="442">
        <f>+'ต.ค.-ธ.ค.'!S188+'ม.ค.-มี.ค.'!S187+'เม.ย.-มิ.ย.'!S187</f>
        <v>0</v>
      </c>
      <c r="T187" s="442">
        <f>+'ต.ค.-ธ.ค.'!U188+'ม.ค.-มี.ค.'!U187+'เม.ย.-มิ.ย.'!U187</f>
        <v>0</v>
      </c>
      <c r="U187" s="442">
        <f>+'ต.ค.-ธ.ค.'!V188+'ม.ค.-มี.ค.'!V187+'เม.ย.-มิ.ย.'!V187</f>
        <v>0</v>
      </c>
    </row>
    <row r="188" spans="1:22" ht="25.5" customHeight="1">
      <c r="A188" s="61"/>
      <c r="B188" s="383" t="s">
        <v>303</v>
      </c>
      <c r="C188" s="408">
        <v>10000</v>
      </c>
      <c r="D188" s="442">
        <f>+'ต.ค.-ธ.ค.'!D189+'ม.ค.-มี.ค.'!D188+'เม.ย.-มิ.ย.'!D188</f>
        <v>0</v>
      </c>
      <c r="E188" s="442">
        <f>+'ต.ค.-ธ.ค.'!E189+'ม.ค.-มี.ค.'!E188+'เม.ย.-มิ.ย.'!E188</f>
        <v>0</v>
      </c>
      <c r="F188" s="442">
        <f>+'ต.ค.-ธ.ค.'!F189+'ม.ค.-มี.ค.'!F188+'เม.ย.-มิ.ย.'!F188</f>
        <v>0</v>
      </c>
      <c r="G188" s="442">
        <f>+'ต.ค.-ธ.ค.'!G189+'ม.ค.-มี.ค.'!G188+'เม.ย.-มิ.ย.'!G188</f>
        <v>0</v>
      </c>
      <c r="H188" s="442">
        <f>+'ต.ค.-ธ.ค.'!H189+'ม.ค.-มี.ค.'!H188+'เม.ย.-มิ.ย.'!H188</f>
        <v>0</v>
      </c>
      <c r="I188" s="442">
        <f>+'ต.ค.-ธ.ค.'!I189+'ม.ค.-มี.ค.'!I188+'เม.ย.-มิ.ย.'!I188</f>
        <v>0</v>
      </c>
      <c r="J188" s="442">
        <f>+'ต.ค.-ธ.ค.'!J189+'ม.ค.-มี.ค.'!J188+'เม.ย.-มิ.ย.'!J188</f>
        <v>0</v>
      </c>
      <c r="K188" s="442">
        <f>+'ต.ค.-ธ.ค.'!K189+'ม.ค.-มี.ค.'!K188+'เม.ย.-มิ.ย.'!K188</f>
        <v>0</v>
      </c>
      <c r="L188" s="442">
        <f>+'ต.ค.-ธ.ค.'!L189+'ม.ค.-มี.ค.'!L188+'เม.ย.-มิ.ย.'!L188</f>
        <v>0</v>
      </c>
      <c r="M188" s="442">
        <f>+'ต.ค.-ธ.ค.'!M189+'ม.ค.-มี.ค.'!M188+'เม.ย.-มิ.ย.'!M188</f>
        <v>0</v>
      </c>
      <c r="N188" s="442">
        <f>+'ต.ค.-ธ.ค.'!N189+'ม.ค.-มี.ค.'!N188+'เม.ย.-มิ.ย.'!N188</f>
        <v>0</v>
      </c>
      <c r="O188" s="442">
        <f>+'ต.ค.-ธ.ค.'!O189+'ม.ค.-มี.ค.'!O188+'เม.ย.-มิ.ย.'!O188</f>
        <v>0</v>
      </c>
      <c r="P188" s="442">
        <f>+'ต.ค.-ธ.ค.'!P189+'ม.ค.-มี.ค.'!P188+'เม.ย.-มิ.ย.'!P188</f>
        <v>0</v>
      </c>
      <c r="Q188" s="442">
        <f>+'ต.ค.-ธ.ค.'!Q189+'ม.ค.-มี.ค.'!Q188+'เม.ย.-มิ.ย.'!Q188</f>
        <v>0</v>
      </c>
      <c r="R188" s="442">
        <f>+'ต.ค.-ธ.ค.'!R189+'ม.ค.-มี.ค.'!R188+'เม.ย.-มิ.ย.'!R188</f>
        <v>0</v>
      </c>
      <c r="S188" s="442">
        <f>+'ต.ค.-ธ.ค.'!S189+'ม.ค.-มี.ค.'!S188+'เม.ย.-มิ.ย.'!S188</f>
        <v>0</v>
      </c>
      <c r="T188" s="442">
        <f>+'ต.ค.-ธ.ค.'!U189+'ม.ค.-มี.ค.'!U188+'เม.ย.-มิ.ย.'!U188</f>
        <v>0</v>
      </c>
      <c r="U188" s="442">
        <f>+'ต.ค.-ธ.ค.'!V189+'ม.ค.-มี.ค.'!V188+'เม.ย.-มิ.ย.'!V188</f>
        <v>0</v>
      </c>
    </row>
    <row r="189" spans="1:22" ht="25.5" customHeight="1">
      <c r="A189" s="61"/>
      <c r="B189" s="383" t="s">
        <v>304</v>
      </c>
      <c r="C189" s="408">
        <f>5000+20000</f>
        <v>25000</v>
      </c>
      <c r="D189" s="442">
        <f>+'ต.ค.-ธ.ค.'!D190+'ม.ค.-มี.ค.'!D189+'เม.ย.-มิ.ย.'!D189</f>
        <v>0</v>
      </c>
      <c r="E189" s="442">
        <f>+'ต.ค.-ธ.ค.'!E190+'ม.ค.-มี.ค.'!E189+'เม.ย.-มิ.ย.'!E189</f>
        <v>0</v>
      </c>
      <c r="F189" s="442">
        <f>+'ต.ค.-ธ.ค.'!F190+'ม.ค.-มี.ค.'!F189+'เม.ย.-มิ.ย.'!F189</f>
        <v>0</v>
      </c>
      <c r="G189" s="442">
        <f>+'ต.ค.-ธ.ค.'!G190+'ม.ค.-มี.ค.'!G189+'เม.ย.-มิ.ย.'!G189</f>
        <v>0</v>
      </c>
      <c r="H189" s="442">
        <f>+'ต.ค.-ธ.ค.'!H190+'ม.ค.-มี.ค.'!H189+'เม.ย.-มิ.ย.'!H189</f>
        <v>2478</v>
      </c>
      <c r="I189" s="442">
        <f>+'ต.ค.-ธ.ค.'!I190+'ม.ค.-มี.ค.'!I189+'เม.ย.-มิ.ย.'!I189</f>
        <v>0</v>
      </c>
      <c r="J189" s="442">
        <f>+'ต.ค.-ธ.ค.'!J190+'ม.ค.-มี.ค.'!J189+'เม.ย.-มิ.ย.'!J189</f>
        <v>0</v>
      </c>
      <c r="K189" s="442">
        <f>+'ต.ค.-ธ.ค.'!K190+'ม.ค.-มี.ค.'!K189+'เม.ย.-มิ.ย.'!K189</f>
        <v>0</v>
      </c>
      <c r="L189" s="442">
        <f>+'ต.ค.-ธ.ค.'!L190+'ม.ค.-มี.ค.'!L189+'เม.ย.-มิ.ย.'!L189</f>
        <v>0</v>
      </c>
      <c r="M189" s="442">
        <f>+'ต.ค.-ธ.ค.'!M190+'ม.ค.-มี.ค.'!M189+'เม.ย.-มิ.ย.'!M189</f>
        <v>0</v>
      </c>
      <c r="N189" s="442">
        <f>+'ต.ค.-ธ.ค.'!N190+'ม.ค.-มี.ค.'!N189+'เม.ย.-มิ.ย.'!N189</f>
        <v>0</v>
      </c>
      <c r="O189" s="442">
        <f>+'ต.ค.-ธ.ค.'!O190+'ม.ค.-มี.ค.'!O189+'เม.ย.-มิ.ย.'!O189</f>
        <v>0</v>
      </c>
      <c r="P189" s="442">
        <f>+'ต.ค.-ธ.ค.'!P190+'ม.ค.-มี.ค.'!P189+'เม.ย.-มิ.ย.'!P189</f>
        <v>0</v>
      </c>
      <c r="Q189" s="442">
        <f>+'ต.ค.-ธ.ค.'!Q190+'ม.ค.-มี.ค.'!Q189+'เม.ย.-มิ.ย.'!Q189</f>
        <v>0</v>
      </c>
      <c r="R189" s="442">
        <f>+'ต.ค.-ธ.ค.'!R190+'ม.ค.-มี.ค.'!R189+'เม.ย.-มิ.ย.'!R189</f>
        <v>0</v>
      </c>
      <c r="S189" s="442">
        <f>+'ต.ค.-ธ.ค.'!S190+'ม.ค.-มี.ค.'!S189+'เม.ย.-มิ.ย.'!S189</f>
        <v>0</v>
      </c>
      <c r="T189" s="442">
        <f>+'ต.ค.-ธ.ค.'!U190+'ม.ค.-มี.ค.'!U189+'เม.ย.-มิ.ย.'!U189</f>
        <v>0</v>
      </c>
      <c r="U189" s="442">
        <f>+'ต.ค.-ธ.ค.'!V190+'ม.ค.-มี.ค.'!V189+'เม.ย.-มิ.ย.'!V189</f>
        <v>3920</v>
      </c>
    </row>
    <row r="190" spans="1:22" ht="25.5" customHeight="1">
      <c r="A190" s="61"/>
      <c r="B190" s="383" t="s">
        <v>332</v>
      </c>
      <c r="C190" s="408">
        <v>10000</v>
      </c>
      <c r="D190" s="442">
        <f>+'ต.ค.-ธ.ค.'!D191+'ม.ค.-มี.ค.'!D190+'เม.ย.-มิ.ย.'!D190</f>
        <v>0</v>
      </c>
      <c r="E190" s="442">
        <f>+'ต.ค.-ธ.ค.'!E191+'ม.ค.-มี.ค.'!E190+'เม.ย.-มิ.ย.'!E190</f>
        <v>0</v>
      </c>
      <c r="F190" s="442">
        <f>+'ต.ค.-ธ.ค.'!F191+'ม.ค.-มี.ค.'!F190+'เม.ย.-มิ.ย.'!F190</f>
        <v>0</v>
      </c>
      <c r="G190" s="442">
        <f>+'ต.ค.-ธ.ค.'!G191+'ม.ค.-มี.ค.'!G190+'เม.ย.-มิ.ย.'!G190</f>
        <v>0</v>
      </c>
      <c r="H190" s="442">
        <f>+'ต.ค.-ธ.ค.'!H191+'ม.ค.-มี.ค.'!H190+'เม.ย.-มิ.ย.'!H190</f>
        <v>0</v>
      </c>
      <c r="I190" s="442">
        <f>+'ต.ค.-ธ.ค.'!I191+'ม.ค.-มี.ค.'!I190+'เม.ย.-มิ.ย.'!I190</f>
        <v>0</v>
      </c>
      <c r="J190" s="442">
        <f>+'ต.ค.-ธ.ค.'!J191+'ม.ค.-มี.ค.'!J190+'เม.ย.-มิ.ย.'!J190</f>
        <v>0</v>
      </c>
      <c r="K190" s="442">
        <f>+'ต.ค.-ธ.ค.'!K191+'ม.ค.-มี.ค.'!K190+'เม.ย.-มิ.ย.'!K190</f>
        <v>0</v>
      </c>
      <c r="L190" s="442">
        <f>+'ต.ค.-ธ.ค.'!L191+'ม.ค.-มี.ค.'!L190+'เม.ย.-มิ.ย.'!L190</f>
        <v>0</v>
      </c>
      <c r="M190" s="442">
        <f>+'ต.ค.-ธ.ค.'!M191+'ม.ค.-มี.ค.'!M190+'เม.ย.-มิ.ย.'!M190</f>
        <v>0</v>
      </c>
      <c r="N190" s="442">
        <f>+'ต.ค.-ธ.ค.'!N191+'ม.ค.-มี.ค.'!N190+'เม.ย.-มิ.ย.'!N190</f>
        <v>0</v>
      </c>
      <c r="O190" s="442">
        <f>+'ต.ค.-ธ.ค.'!O191+'ม.ค.-มี.ค.'!O190+'เม.ย.-มิ.ย.'!O190</f>
        <v>0</v>
      </c>
      <c r="P190" s="442">
        <f>+'ต.ค.-ธ.ค.'!P191+'ม.ค.-มี.ค.'!P190+'เม.ย.-มิ.ย.'!P190</f>
        <v>0</v>
      </c>
      <c r="Q190" s="442">
        <f>+'ต.ค.-ธ.ค.'!Q191+'ม.ค.-มี.ค.'!Q190+'เม.ย.-มิ.ย.'!Q190</f>
        <v>0</v>
      </c>
      <c r="R190" s="442">
        <f>+'ต.ค.-ธ.ค.'!R191+'ม.ค.-มี.ค.'!R190+'เม.ย.-มิ.ย.'!R190</f>
        <v>0</v>
      </c>
      <c r="S190" s="442">
        <f>+'ต.ค.-ธ.ค.'!S191+'ม.ค.-มี.ค.'!S190+'เม.ย.-มิ.ย.'!S190</f>
        <v>0</v>
      </c>
      <c r="T190" s="442">
        <f>+'ต.ค.-ธ.ค.'!U191+'ม.ค.-มี.ค.'!U190+'เม.ย.-มิ.ย.'!U190</f>
        <v>0</v>
      </c>
      <c r="U190" s="442">
        <f>+'ต.ค.-ธ.ค.'!V191+'ม.ค.-มี.ค.'!V190+'เม.ย.-มิ.ย.'!V190</f>
        <v>0</v>
      </c>
    </row>
    <row r="191" spans="1:22" ht="25.5" customHeight="1">
      <c r="A191" s="61"/>
      <c r="B191" s="383" t="s">
        <v>46</v>
      </c>
      <c r="C191" s="408">
        <v>80000</v>
      </c>
      <c r="D191" s="442">
        <f>+'ต.ค.-ธ.ค.'!D192+'ม.ค.-มี.ค.'!D191+'เม.ย.-มิ.ย.'!D191</f>
        <v>0</v>
      </c>
      <c r="E191" s="442">
        <f>+'ต.ค.-ธ.ค.'!E192+'ม.ค.-มี.ค.'!E191+'เม.ย.-มิ.ย.'!E191</f>
        <v>0</v>
      </c>
      <c r="F191" s="442">
        <f>+'ต.ค.-ธ.ค.'!F192+'ม.ค.-มี.ค.'!F191+'เม.ย.-มิ.ย.'!F191</f>
        <v>0</v>
      </c>
      <c r="G191" s="442">
        <f>+'ต.ค.-ธ.ค.'!G192+'ม.ค.-มี.ค.'!G191+'เม.ย.-มิ.ย.'!G191</f>
        <v>0</v>
      </c>
      <c r="H191" s="442">
        <f>+'ต.ค.-ธ.ค.'!H192+'ม.ค.-มี.ค.'!H191+'เม.ย.-มิ.ย.'!H191</f>
        <v>0</v>
      </c>
      <c r="I191" s="442">
        <f>+'ต.ค.-ธ.ค.'!I192+'ม.ค.-มี.ค.'!I191+'เม.ย.-มิ.ย.'!I191</f>
        <v>0</v>
      </c>
      <c r="J191" s="442">
        <f>+'ต.ค.-ธ.ค.'!J192+'ม.ค.-มี.ค.'!J191+'เม.ย.-มิ.ย.'!J191</f>
        <v>0</v>
      </c>
      <c r="K191" s="442">
        <f>+'ต.ค.-ธ.ค.'!K192+'ม.ค.-มี.ค.'!K191+'เม.ย.-มิ.ย.'!K191</f>
        <v>0</v>
      </c>
      <c r="L191" s="442">
        <f>+'ต.ค.-ธ.ค.'!L192+'ม.ค.-มี.ค.'!L191+'เม.ย.-มิ.ย.'!L191</f>
        <v>0</v>
      </c>
      <c r="M191" s="442">
        <f>+'ต.ค.-ธ.ค.'!M192+'ม.ค.-มี.ค.'!M191+'เม.ย.-มิ.ย.'!M191</f>
        <v>0</v>
      </c>
      <c r="N191" s="442">
        <f>+'ต.ค.-ธ.ค.'!N192+'ม.ค.-มี.ค.'!N191+'เม.ย.-มิ.ย.'!N191</f>
        <v>0</v>
      </c>
      <c r="O191" s="442">
        <f>+'ต.ค.-ธ.ค.'!O192+'ม.ค.-มี.ค.'!O191+'เม.ย.-มิ.ย.'!O191</f>
        <v>0</v>
      </c>
      <c r="P191" s="442">
        <f>+'ต.ค.-ธ.ค.'!P192+'ม.ค.-มี.ค.'!P191+'เม.ย.-มิ.ย.'!P191</f>
        <v>0</v>
      </c>
      <c r="Q191" s="442">
        <f>+'ต.ค.-ธ.ค.'!Q192+'ม.ค.-มี.ค.'!Q191+'เม.ย.-มิ.ย.'!Q191</f>
        <v>0</v>
      </c>
      <c r="R191" s="442">
        <f>+'ต.ค.-ธ.ค.'!R192+'ม.ค.-มี.ค.'!R191+'เม.ย.-มิ.ย.'!R191</f>
        <v>65658</v>
      </c>
      <c r="S191" s="442">
        <f>+'ต.ค.-ธ.ค.'!S192+'ม.ค.-มี.ค.'!S191+'เม.ย.-มิ.ย.'!S191</f>
        <v>0</v>
      </c>
      <c r="T191" s="442">
        <f>+'ต.ค.-ธ.ค.'!U192+'ม.ค.-มี.ค.'!U191+'เม.ย.-มิ.ย.'!U191</f>
        <v>0</v>
      </c>
      <c r="U191" s="442">
        <f>+'ต.ค.-ธ.ค.'!V192+'ม.ค.-มี.ค.'!V191+'เม.ย.-มิ.ย.'!V191</f>
        <v>0</v>
      </c>
    </row>
    <row r="192" spans="1:22" ht="25.5" customHeight="1">
      <c r="A192" s="61"/>
      <c r="B192" s="383" t="s">
        <v>316</v>
      </c>
      <c r="C192" s="408">
        <v>1216788</v>
      </c>
      <c r="D192" s="442">
        <f>+'ต.ค.-ธ.ค.'!D193+'ม.ค.-มี.ค.'!D192+'เม.ย.-มิ.ย.'!D192</f>
        <v>0</v>
      </c>
      <c r="E192" s="442">
        <f>+'ต.ค.-ธ.ค.'!E193+'ม.ค.-มี.ค.'!E192+'เม.ย.-มิ.ย.'!E192</f>
        <v>0</v>
      </c>
      <c r="F192" s="442">
        <f>+'ต.ค.-ธ.ค.'!F193+'ม.ค.-มี.ค.'!F192+'เม.ย.-มิ.ย.'!F192</f>
        <v>0</v>
      </c>
      <c r="G192" s="442">
        <f>+'ต.ค.-ธ.ค.'!G193+'ม.ค.-มี.ค.'!G192+'เม.ย.-มิ.ย.'!G192</f>
        <v>0</v>
      </c>
      <c r="H192" s="442">
        <f>+'ต.ค.-ธ.ค.'!H193+'ม.ค.-มี.ค.'!H192+'เม.ย.-มิ.ย.'!H192</f>
        <v>0</v>
      </c>
      <c r="I192" s="442">
        <f>+'ต.ค.-ธ.ค.'!I193+'ม.ค.-มี.ค.'!I192+'เม.ย.-มิ.ย.'!I192</f>
        <v>420073.78</v>
      </c>
      <c r="J192" s="442">
        <f>+'ต.ค.-ธ.ค.'!J193+'ม.ค.-มี.ค.'!J192+'เม.ย.-มิ.ย.'!J192</f>
        <v>0</v>
      </c>
      <c r="K192" s="442">
        <f>+'ต.ค.-ธ.ค.'!K193+'ม.ค.-มี.ค.'!K192+'เม.ย.-มิ.ย.'!K192</f>
        <v>0</v>
      </c>
      <c r="L192" s="442">
        <f>+'ต.ค.-ธ.ค.'!L193+'ม.ค.-มี.ค.'!L192+'เม.ย.-มิ.ย.'!L192</f>
        <v>0</v>
      </c>
      <c r="M192" s="442">
        <f>+'ต.ค.-ธ.ค.'!M193+'ม.ค.-มี.ค.'!M192+'เม.ย.-มิ.ย.'!M192</f>
        <v>0</v>
      </c>
      <c r="N192" s="442">
        <f>+'ต.ค.-ธ.ค.'!N193+'ม.ค.-มี.ค.'!N192+'เม.ย.-มิ.ย.'!N192</f>
        <v>0</v>
      </c>
      <c r="O192" s="442">
        <f>+'ต.ค.-ธ.ค.'!O193+'ม.ค.-มี.ค.'!O192+'เม.ย.-มิ.ย.'!O192</f>
        <v>0</v>
      </c>
      <c r="P192" s="442">
        <f>+'ต.ค.-ธ.ค.'!P193+'ม.ค.-มี.ค.'!P192+'เม.ย.-มิ.ย.'!P192</f>
        <v>0</v>
      </c>
      <c r="Q192" s="442">
        <f>+'ต.ค.-ธ.ค.'!Q193+'ม.ค.-มี.ค.'!Q192+'เม.ย.-มิ.ย.'!Q192</f>
        <v>0</v>
      </c>
      <c r="R192" s="442">
        <f>+'ต.ค.-ธ.ค.'!R193+'ม.ค.-มี.ค.'!R192+'เม.ย.-มิ.ย.'!R192</f>
        <v>0</v>
      </c>
      <c r="S192" s="442">
        <f>+'ต.ค.-ธ.ค.'!S193+'ม.ค.-มี.ค.'!S192+'เม.ย.-มิ.ย.'!S192</f>
        <v>0</v>
      </c>
      <c r="T192" s="442">
        <f>+'ต.ค.-ธ.ค.'!U193+'ม.ค.-มี.ค.'!U192+'เม.ย.-มิ.ย.'!U192</f>
        <v>0</v>
      </c>
      <c r="U192" s="442">
        <f>+'ต.ค.-ธ.ค.'!V193+'ม.ค.-มี.ค.'!V192+'เม.ย.-มิ.ย.'!V192</f>
        <v>0</v>
      </c>
    </row>
    <row r="193" spans="1:22" ht="25.5" customHeight="1">
      <c r="A193" s="61"/>
      <c r="B193" s="383" t="s">
        <v>317</v>
      </c>
      <c r="C193" s="410">
        <v>0</v>
      </c>
      <c r="D193" s="442">
        <f>+'ต.ค.-ธ.ค.'!D194+'ม.ค.-มี.ค.'!D193+'เม.ย.-มิ.ย.'!D193</f>
        <v>0</v>
      </c>
      <c r="E193" s="442">
        <f>+'ต.ค.-ธ.ค.'!E194+'ม.ค.-มี.ค.'!E193+'เม.ย.-มิ.ย.'!E193</f>
        <v>0</v>
      </c>
      <c r="F193" s="442">
        <f>+'ต.ค.-ธ.ค.'!F194+'ม.ค.-มี.ค.'!F193+'เม.ย.-มิ.ย.'!F193</f>
        <v>0</v>
      </c>
      <c r="G193" s="442">
        <f>+'ต.ค.-ธ.ค.'!G194+'ม.ค.-มี.ค.'!G193+'เม.ย.-มิ.ย.'!G193</f>
        <v>0</v>
      </c>
      <c r="H193" s="442">
        <f>+'ต.ค.-ธ.ค.'!H194+'ม.ค.-มี.ค.'!H193+'เม.ย.-มิ.ย.'!H193</f>
        <v>0</v>
      </c>
      <c r="I193" s="442">
        <f>+'ต.ค.-ธ.ค.'!I194+'ม.ค.-มี.ค.'!I193+'เม.ย.-มิ.ย.'!I193</f>
        <v>0</v>
      </c>
      <c r="J193" s="442">
        <f>+'ต.ค.-ธ.ค.'!J194+'ม.ค.-มี.ค.'!J193+'เม.ย.-มิ.ย.'!J193</f>
        <v>0</v>
      </c>
      <c r="K193" s="442">
        <f>+'ต.ค.-ธ.ค.'!K194+'ม.ค.-มี.ค.'!K193+'เม.ย.-มิ.ย.'!K193</f>
        <v>0</v>
      </c>
      <c r="L193" s="442">
        <f>+'ต.ค.-ธ.ค.'!L194+'ม.ค.-มี.ค.'!L193+'เม.ย.-มิ.ย.'!L193</f>
        <v>0</v>
      </c>
      <c r="M193" s="442">
        <f>+'ต.ค.-ธ.ค.'!M194+'ม.ค.-มี.ค.'!M193+'เม.ย.-มิ.ย.'!M193</f>
        <v>0</v>
      </c>
      <c r="N193" s="442">
        <f>+'ต.ค.-ธ.ค.'!N194+'ม.ค.-มี.ค.'!N193+'เม.ย.-มิ.ย.'!N193</f>
        <v>0</v>
      </c>
      <c r="O193" s="442">
        <f>+'ต.ค.-ธ.ค.'!O194+'ม.ค.-มี.ค.'!O193+'เม.ย.-มิ.ย.'!O193</f>
        <v>0</v>
      </c>
      <c r="P193" s="442">
        <f>+'ต.ค.-ธ.ค.'!P194+'ม.ค.-มี.ค.'!P193+'เม.ย.-มิ.ย.'!P193</f>
        <v>0</v>
      </c>
      <c r="Q193" s="442">
        <f>+'ต.ค.-ธ.ค.'!Q194+'ม.ค.-มี.ค.'!Q193+'เม.ย.-มิ.ย.'!Q193</f>
        <v>0</v>
      </c>
      <c r="R193" s="442">
        <f>+'ต.ค.-ธ.ค.'!R194+'ม.ค.-มี.ค.'!R193+'เม.ย.-มิ.ย.'!R193</f>
        <v>0</v>
      </c>
      <c r="S193" s="442">
        <f>+'ต.ค.-ธ.ค.'!S194+'ม.ค.-มี.ค.'!S193+'เม.ย.-มิ.ย.'!S193</f>
        <v>0</v>
      </c>
      <c r="T193" s="442">
        <f>+'ต.ค.-ธ.ค.'!U194+'ม.ค.-มี.ค.'!U193+'เม.ย.-มิ.ย.'!U193</f>
        <v>0</v>
      </c>
      <c r="U193" s="442">
        <f>+'ต.ค.-ธ.ค.'!V194+'ม.ค.-มี.ค.'!V193+'เม.ย.-มิ.ย.'!V193</f>
        <v>0</v>
      </c>
    </row>
    <row r="194" spans="1:22" ht="25.5" customHeight="1">
      <c r="A194" s="61"/>
      <c r="B194" s="383" t="s">
        <v>318</v>
      </c>
      <c r="C194" s="408">
        <v>0</v>
      </c>
      <c r="D194" s="442">
        <f>+'ต.ค.-ธ.ค.'!D195+'ม.ค.-มี.ค.'!D194+'เม.ย.-มิ.ย.'!D194</f>
        <v>0</v>
      </c>
      <c r="E194" s="442">
        <f>+'ต.ค.-ธ.ค.'!E195+'ม.ค.-มี.ค.'!E194+'เม.ย.-มิ.ย.'!E194</f>
        <v>0</v>
      </c>
      <c r="F194" s="442">
        <f>+'ต.ค.-ธ.ค.'!F195+'ม.ค.-มี.ค.'!F194+'เม.ย.-มิ.ย.'!F194</f>
        <v>0</v>
      </c>
      <c r="G194" s="442">
        <f>+'ต.ค.-ธ.ค.'!G195+'ม.ค.-มี.ค.'!G194+'เม.ย.-มิ.ย.'!G194</f>
        <v>0</v>
      </c>
      <c r="H194" s="442">
        <f>+'ต.ค.-ธ.ค.'!H195+'ม.ค.-มี.ค.'!H194+'เม.ย.-มิ.ย.'!H194</f>
        <v>0</v>
      </c>
      <c r="I194" s="442">
        <f>+'ต.ค.-ธ.ค.'!I195+'ม.ค.-มี.ค.'!I194+'เม.ย.-มิ.ย.'!I194</f>
        <v>-8000</v>
      </c>
      <c r="J194" s="442">
        <f>+'ต.ค.-ธ.ค.'!J195+'ม.ค.-มี.ค.'!J194+'เม.ย.-มิ.ย.'!J194</f>
        <v>0</v>
      </c>
      <c r="K194" s="442">
        <f>+'ต.ค.-ธ.ค.'!K195+'ม.ค.-มี.ค.'!K194+'เม.ย.-มิ.ย.'!K194</f>
        <v>0</v>
      </c>
      <c r="L194" s="442">
        <f>+'ต.ค.-ธ.ค.'!L195+'ม.ค.-มี.ค.'!L194+'เม.ย.-มิ.ย.'!L194</f>
        <v>0</v>
      </c>
      <c r="M194" s="442">
        <f>+'ต.ค.-ธ.ค.'!M195+'ม.ค.-มี.ค.'!M194+'เม.ย.-มิ.ย.'!M194</f>
        <v>0</v>
      </c>
      <c r="N194" s="442">
        <f>+'ต.ค.-ธ.ค.'!N195+'ม.ค.-มี.ค.'!N194+'เม.ย.-มิ.ย.'!N194</f>
        <v>0</v>
      </c>
      <c r="O194" s="442">
        <f>+'ต.ค.-ธ.ค.'!O195+'ม.ค.-มี.ค.'!O194+'เม.ย.-มิ.ย.'!O194</f>
        <v>0</v>
      </c>
      <c r="P194" s="442">
        <f>+'ต.ค.-ธ.ค.'!P195+'ม.ค.-มี.ค.'!P194+'เม.ย.-มิ.ย.'!P194</f>
        <v>0</v>
      </c>
      <c r="Q194" s="442">
        <f>+'ต.ค.-ธ.ค.'!Q195+'ม.ค.-มี.ค.'!Q194+'เม.ย.-มิ.ย.'!Q194</f>
        <v>0</v>
      </c>
      <c r="R194" s="442">
        <f>+'ต.ค.-ธ.ค.'!R195+'ม.ค.-มี.ค.'!R194+'เม.ย.-มิ.ย.'!R194</f>
        <v>0</v>
      </c>
      <c r="S194" s="442">
        <f>+'ต.ค.-ธ.ค.'!S195+'ม.ค.-มี.ค.'!S194+'เม.ย.-มิ.ย.'!S194</f>
        <v>0</v>
      </c>
      <c r="T194" s="442">
        <f>+'ต.ค.-ธ.ค.'!U195+'ม.ค.-มี.ค.'!U194+'เม.ย.-มิ.ย.'!U194</f>
        <v>0</v>
      </c>
      <c r="U194" s="442">
        <f>+'ต.ค.-ธ.ค.'!V195+'ม.ค.-มี.ค.'!V194+'เม.ย.-มิ.ย.'!V194</f>
        <v>0</v>
      </c>
    </row>
    <row r="195" spans="1:22" ht="25.5" customHeight="1">
      <c r="A195" s="61"/>
      <c r="B195" s="390" t="s">
        <v>319</v>
      </c>
      <c r="C195" s="408">
        <v>153296</v>
      </c>
      <c r="D195" s="442">
        <f>+'ต.ค.-ธ.ค.'!D196+'ม.ค.-มี.ค.'!D195+'เม.ย.-มิ.ย.'!D195</f>
        <v>0</v>
      </c>
      <c r="E195" s="442">
        <f>+'ต.ค.-ธ.ค.'!E196+'ม.ค.-มี.ค.'!E195+'เม.ย.-มิ.ย.'!E195</f>
        <v>0</v>
      </c>
      <c r="F195" s="442">
        <f>+'ต.ค.-ธ.ค.'!F196+'ม.ค.-มี.ค.'!F195+'เม.ย.-มิ.ย.'!F195</f>
        <v>0</v>
      </c>
      <c r="G195" s="442">
        <f>+'ต.ค.-ธ.ค.'!G196+'ม.ค.-มี.ค.'!G195+'เม.ย.-มิ.ย.'!G195</f>
        <v>0</v>
      </c>
      <c r="H195" s="442">
        <f>+'ต.ค.-ธ.ค.'!H196+'ม.ค.-มี.ค.'!H195+'เม.ย.-มิ.ย.'!H195</f>
        <v>0</v>
      </c>
      <c r="I195" s="442">
        <f>+'ต.ค.-ธ.ค.'!I196+'ม.ค.-มี.ค.'!I195+'เม.ย.-มิ.ย.'!I195</f>
        <v>133034.44</v>
      </c>
      <c r="J195" s="442">
        <f>+'ต.ค.-ธ.ค.'!J196+'ม.ค.-มี.ค.'!J195+'เม.ย.-มิ.ย.'!J195</f>
        <v>0</v>
      </c>
      <c r="K195" s="442">
        <f>+'ต.ค.-ธ.ค.'!K196+'ม.ค.-มี.ค.'!K195+'เม.ย.-มิ.ย.'!K195</f>
        <v>0</v>
      </c>
      <c r="L195" s="442">
        <f>+'ต.ค.-ธ.ค.'!L196+'ม.ค.-มี.ค.'!L195+'เม.ย.-มิ.ย.'!L195</f>
        <v>0</v>
      </c>
      <c r="M195" s="442">
        <f>+'ต.ค.-ธ.ค.'!M196+'ม.ค.-มี.ค.'!M195+'เม.ย.-มิ.ย.'!M195</f>
        <v>0</v>
      </c>
      <c r="N195" s="442">
        <f>+'ต.ค.-ธ.ค.'!N196+'ม.ค.-มี.ค.'!N195+'เม.ย.-มิ.ย.'!N195</f>
        <v>0</v>
      </c>
      <c r="O195" s="442">
        <f>+'ต.ค.-ธ.ค.'!O196+'ม.ค.-มี.ค.'!O195+'เม.ย.-มิ.ย.'!O195</f>
        <v>0</v>
      </c>
      <c r="P195" s="442">
        <f>+'ต.ค.-ธ.ค.'!P196+'ม.ค.-มี.ค.'!P195+'เม.ย.-มิ.ย.'!P195</f>
        <v>0</v>
      </c>
      <c r="Q195" s="442">
        <f>+'ต.ค.-ธ.ค.'!Q196+'ม.ค.-มี.ค.'!Q195+'เม.ย.-มิ.ย.'!Q195</f>
        <v>0</v>
      </c>
      <c r="R195" s="442">
        <f>+'ต.ค.-ธ.ค.'!R196+'ม.ค.-มี.ค.'!R195+'เม.ย.-มิ.ย.'!R195</f>
        <v>0</v>
      </c>
      <c r="S195" s="442">
        <f>+'ต.ค.-ธ.ค.'!S196+'ม.ค.-มี.ค.'!S195+'เม.ย.-มิ.ย.'!S195</f>
        <v>0</v>
      </c>
      <c r="T195" s="442">
        <f>+'ต.ค.-ธ.ค.'!U196+'ม.ค.-มี.ค.'!U195+'เม.ย.-มิ.ย.'!U195</f>
        <v>0</v>
      </c>
      <c r="U195" s="442">
        <f>+'ต.ค.-ธ.ค.'!V196+'ม.ค.-มี.ค.'!V195+'เม.ย.-มิ.ย.'!V195</f>
        <v>0</v>
      </c>
    </row>
    <row r="196" spans="1:22" ht="25.5" customHeight="1">
      <c r="A196" s="61"/>
      <c r="B196" s="390" t="s">
        <v>320</v>
      </c>
      <c r="C196" s="408">
        <v>78565</v>
      </c>
      <c r="D196" s="442">
        <f>+'ต.ค.-ธ.ค.'!D197+'ม.ค.-มี.ค.'!D196+'เม.ย.-มิ.ย.'!D196</f>
        <v>0</v>
      </c>
      <c r="E196" s="442">
        <f>+'ต.ค.-ธ.ค.'!E197+'ม.ค.-มี.ค.'!E196+'เม.ย.-มิ.ย.'!E196</f>
        <v>0</v>
      </c>
      <c r="F196" s="442">
        <f>+'ต.ค.-ธ.ค.'!F197+'ม.ค.-มี.ค.'!F196+'เม.ย.-มิ.ย.'!F196</f>
        <v>0</v>
      </c>
      <c r="G196" s="442">
        <f>+'ต.ค.-ธ.ค.'!G197+'ม.ค.-มี.ค.'!G196+'เม.ย.-มิ.ย.'!G196</f>
        <v>0</v>
      </c>
      <c r="H196" s="442">
        <f>+'ต.ค.-ธ.ค.'!H197+'ม.ค.-มี.ค.'!H196+'เม.ย.-มิ.ย.'!H196</f>
        <v>0</v>
      </c>
      <c r="I196" s="442">
        <f>+'ต.ค.-ธ.ค.'!I197+'ม.ค.-มี.ค.'!I196+'เม.ย.-มิ.ย.'!I196</f>
        <v>0</v>
      </c>
      <c r="J196" s="442">
        <f>+'ต.ค.-ธ.ค.'!J197+'ม.ค.-มี.ค.'!J196+'เม.ย.-มิ.ย.'!J196</f>
        <v>0</v>
      </c>
      <c r="K196" s="442">
        <f>+'ต.ค.-ธ.ค.'!K197+'ม.ค.-มี.ค.'!K196+'เม.ย.-มิ.ย.'!K196</f>
        <v>0</v>
      </c>
      <c r="L196" s="442">
        <f>+'ต.ค.-ธ.ค.'!L197+'ม.ค.-มี.ค.'!L196+'เม.ย.-มิ.ย.'!L196</f>
        <v>0</v>
      </c>
      <c r="M196" s="442">
        <f>+'ต.ค.-ธ.ค.'!M197+'ม.ค.-มี.ค.'!M196+'เม.ย.-มิ.ย.'!M196</f>
        <v>0</v>
      </c>
      <c r="N196" s="442">
        <f>+'ต.ค.-ธ.ค.'!N197+'ม.ค.-มี.ค.'!N196+'เม.ย.-มิ.ย.'!N196</f>
        <v>0</v>
      </c>
      <c r="O196" s="442">
        <f>+'ต.ค.-ธ.ค.'!O197+'ม.ค.-มี.ค.'!O196+'เม.ย.-มิ.ย.'!O196</f>
        <v>0</v>
      </c>
      <c r="P196" s="442">
        <f>+'ต.ค.-ธ.ค.'!P197+'ม.ค.-มี.ค.'!P196+'เม.ย.-มิ.ย.'!P196</f>
        <v>0</v>
      </c>
      <c r="Q196" s="442">
        <f>+'ต.ค.-ธ.ค.'!Q197+'ม.ค.-มี.ค.'!Q196+'เม.ย.-มิ.ย.'!Q196</f>
        <v>0</v>
      </c>
      <c r="R196" s="442">
        <f>+'ต.ค.-ธ.ค.'!R197+'ม.ค.-มี.ค.'!R196+'เม.ย.-มิ.ย.'!R196</f>
        <v>0</v>
      </c>
      <c r="S196" s="442">
        <f>+'ต.ค.-ธ.ค.'!S197+'ม.ค.-มี.ค.'!S196+'เม.ย.-มิ.ย.'!S196</f>
        <v>0</v>
      </c>
      <c r="T196" s="442">
        <f>+'ต.ค.-ธ.ค.'!U197+'ม.ค.-มี.ค.'!U196+'เม.ย.-มิ.ย.'!U196</f>
        <v>0</v>
      </c>
      <c r="U196" s="442">
        <f>+'ต.ค.-ธ.ค.'!V197+'ม.ค.-มี.ค.'!V196+'เม.ย.-มิ.ย.'!V196</f>
        <v>0</v>
      </c>
    </row>
    <row r="197" spans="1:22" ht="25.5" customHeight="1">
      <c r="A197" s="61"/>
      <c r="B197" s="390" t="s">
        <v>321</v>
      </c>
      <c r="C197" s="408">
        <v>90062</v>
      </c>
      <c r="D197" s="442">
        <f>+'ต.ค.-ธ.ค.'!D198+'ม.ค.-มี.ค.'!D197+'เม.ย.-มิ.ย.'!D197</f>
        <v>0</v>
      </c>
      <c r="E197" s="442">
        <f>+'ต.ค.-ธ.ค.'!E198+'ม.ค.-มี.ค.'!E197+'เม.ย.-มิ.ย.'!E197</f>
        <v>0</v>
      </c>
      <c r="F197" s="442">
        <f>+'ต.ค.-ธ.ค.'!F198+'ม.ค.-มี.ค.'!F197+'เม.ย.-มิ.ย.'!F197</f>
        <v>0</v>
      </c>
      <c r="G197" s="442">
        <f>+'ต.ค.-ธ.ค.'!G198+'ม.ค.-มี.ค.'!G197+'เม.ย.-มิ.ย.'!G197</f>
        <v>0</v>
      </c>
      <c r="H197" s="442">
        <f>+'ต.ค.-ธ.ค.'!H198+'ม.ค.-มี.ค.'!H197+'เม.ย.-มิ.ย.'!H197</f>
        <v>0</v>
      </c>
      <c r="I197" s="442">
        <f>+'ต.ค.-ธ.ค.'!I198+'ม.ค.-มี.ค.'!I197+'เม.ย.-มิ.ย.'!I197</f>
        <v>0</v>
      </c>
      <c r="J197" s="442">
        <f>+'ต.ค.-ธ.ค.'!J198+'ม.ค.-มี.ค.'!J197+'เม.ย.-มิ.ย.'!J197</f>
        <v>0</v>
      </c>
      <c r="K197" s="442">
        <f>+'ต.ค.-ธ.ค.'!K198+'ม.ค.-มี.ค.'!K197+'เม.ย.-มิ.ย.'!K197</f>
        <v>0</v>
      </c>
      <c r="L197" s="442">
        <f>+'ต.ค.-ธ.ค.'!L198+'ม.ค.-มี.ค.'!L197+'เม.ย.-มิ.ย.'!L197</f>
        <v>0</v>
      </c>
      <c r="M197" s="442">
        <f>+'ต.ค.-ธ.ค.'!M198+'ม.ค.-มี.ค.'!M197+'เม.ย.-มิ.ย.'!M197</f>
        <v>0</v>
      </c>
      <c r="N197" s="442">
        <f>+'ต.ค.-ธ.ค.'!N198+'ม.ค.-มี.ค.'!N197+'เม.ย.-มิ.ย.'!N197</f>
        <v>0</v>
      </c>
      <c r="O197" s="442">
        <f>+'ต.ค.-ธ.ค.'!O198+'ม.ค.-มี.ค.'!O197+'เม.ย.-มิ.ย.'!O197</f>
        <v>0</v>
      </c>
      <c r="P197" s="442">
        <f>+'ต.ค.-ธ.ค.'!P198+'ม.ค.-มี.ค.'!P197+'เม.ย.-มิ.ย.'!P197</f>
        <v>0</v>
      </c>
      <c r="Q197" s="442">
        <f>+'ต.ค.-ธ.ค.'!Q198+'ม.ค.-มี.ค.'!Q197+'เม.ย.-มิ.ย.'!Q197</f>
        <v>0</v>
      </c>
      <c r="R197" s="442">
        <f>+'ต.ค.-ธ.ค.'!R198+'ม.ค.-มี.ค.'!R197+'เม.ย.-มิ.ย.'!R197</f>
        <v>0</v>
      </c>
      <c r="S197" s="442">
        <f>+'ต.ค.-ธ.ค.'!S198+'ม.ค.-มี.ค.'!S197+'เม.ย.-มิ.ย.'!S197</f>
        <v>0</v>
      </c>
      <c r="T197" s="442">
        <f>+'ต.ค.-ธ.ค.'!U198+'ม.ค.-มี.ค.'!U197+'เม.ย.-มิ.ย.'!U197</f>
        <v>0</v>
      </c>
      <c r="U197" s="442">
        <f>+'ต.ค.-ธ.ค.'!V198+'ม.ค.-มี.ค.'!V197+'เม.ย.-มิ.ย.'!V197</f>
        <v>0</v>
      </c>
    </row>
    <row r="198" spans="1:22" ht="25.5" customHeight="1">
      <c r="A198" s="469"/>
      <c r="B198" s="390" t="s">
        <v>322</v>
      </c>
      <c r="C198" s="408">
        <v>67067</v>
      </c>
      <c r="D198" s="442">
        <f>+'ต.ค.-ธ.ค.'!D199+'ม.ค.-มี.ค.'!D198+'เม.ย.-มิ.ย.'!D198</f>
        <v>0</v>
      </c>
      <c r="E198" s="442">
        <f>+'ต.ค.-ธ.ค.'!E199+'ม.ค.-มี.ค.'!E198+'เม.ย.-มิ.ย.'!E198</f>
        <v>0</v>
      </c>
      <c r="F198" s="442">
        <f>+'ต.ค.-ธ.ค.'!F199+'ม.ค.-มี.ค.'!F198+'เม.ย.-มิ.ย.'!F198</f>
        <v>0</v>
      </c>
      <c r="G198" s="442">
        <f>+'ต.ค.-ธ.ค.'!G199+'ม.ค.-มี.ค.'!G198+'เม.ย.-มิ.ย.'!G198</f>
        <v>0</v>
      </c>
      <c r="H198" s="442">
        <f>+'ต.ค.-ธ.ค.'!H199+'ม.ค.-มี.ค.'!H198+'เม.ย.-มิ.ย.'!H198</f>
        <v>0</v>
      </c>
      <c r="I198" s="442">
        <f>+'ต.ค.-ธ.ค.'!I199+'ม.ค.-มี.ค.'!I198+'เม.ย.-มิ.ย.'!I198</f>
        <v>0</v>
      </c>
      <c r="J198" s="442">
        <f>+'ต.ค.-ธ.ค.'!J199+'ม.ค.-มี.ค.'!J198+'เม.ย.-มิ.ย.'!J198</f>
        <v>0</v>
      </c>
      <c r="K198" s="442">
        <f>+'ต.ค.-ธ.ค.'!K199+'ม.ค.-มี.ค.'!K198+'เม.ย.-มิ.ย.'!K198</f>
        <v>0</v>
      </c>
      <c r="L198" s="442">
        <f>+'ต.ค.-ธ.ค.'!L199+'ม.ค.-มี.ค.'!L198+'เม.ย.-มิ.ย.'!L198</f>
        <v>0</v>
      </c>
      <c r="M198" s="442">
        <f>+'ต.ค.-ธ.ค.'!M199+'ม.ค.-มี.ค.'!M198+'เม.ย.-มิ.ย.'!M198</f>
        <v>0</v>
      </c>
      <c r="N198" s="442">
        <f>+'ต.ค.-ธ.ค.'!N199+'ม.ค.-มี.ค.'!N198+'เม.ย.-มิ.ย.'!N198</f>
        <v>0</v>
      </c>
      <c r="O198" s="442">
        <f>+'ต.ค.-ธ.ค.'!O199+'ม.ค.-มี.ค.'!O198+'เม.ย.-มิ.ย.'!O198</f>
        <v>0</v>
      </c>
      <c r="P198" s="442">
        <f>+'ต.ค.-ธ.ค.'!P199+'ม.ค.-มี.ค.'!P198+'เม.ย.-มิ.ย.'!P198</f>
        <v>0</v>
      </c>
      <c r="Q198" s="442">
        <f>+'ต.ค.-ธ.ค.'!Q199+'ม.ค.-มี.ค.'!Q198+'เม.ย.-มิ.ย.'!Q198</f>
        <v>0</v>
      </c>
      <c r="R198" s="442">
        <f>+'ต.ค.-ธ.ค.'!R199+'ม.ค.-มี.ค.'!R198+'เม.ย.-มิ.ย.'!R198</f>
        <v>0</v>
      </c>
      <c r="S198" s="442">
        <f>+'ต.ค.-ธ.ค.'!S199+'ม.ค.-มี.ค.'!S198+'เม.ย.-มิ.ย.'!S198</f>
        <v>0</v>
      </c>
      <c r="T198" s="442">
        <f>+'ต.ค.-ธ.ค.'!U199+'ม.ค.-มี.ค.'!U198+'เม.ย.-มิ.ย.'!U198</f>
        <v>0</v>
      </c>
      <c r="U198" s="442">
        <f>+'ต.ค.-ธ.ค.'!V199+'ม.ค.-มี.ค.'!V198+'เม.ย.-มิ.ย.'!V198</f>
        <v>0</v>
      </c>
    </row>
    <row r="199" spans="1:22" ht="25.5" customHeight="1">
      <c r="A199" s="61"/>
      <c r="B199" s="390"/>
      <c r="C199" s="408"/>
      <c r="D199" s="458"/>
      <c r="E199" s="443"/>
      <c r="F199" s="443"/>
      <c r="G199" s="443"/>
      <c r="H199" s="443"/>
      <c r="I199" s="443"/>
      <c r="J199" s="443"/>
      <c r="K199" s="443"/>
      <c r="L199" s="443"/>
      <c r="M199" s="443"/>
      <c r="N199" s="443"/>
      <c r="O199" s="443"/>
      <c r="P199" s="443"/>
      <c r="Q199" s="443"/>
      <c r="R199" s="443"/>
      <c r="S199" s="443"/>
      <c r="T199" s="443"/>
      <c r="U199" s="443"/>
    </row>
    <row r="200" spans="1:22" ht="25.5" customHeight="1">
      <c r="A200" s="61"/>
      <c r="B200" s="390"/>
      <c r="C200" s="408"/>
      <c r="D200" s="458"/>
      <c r="E200" s="443"/>
      <c r="F200" s="443"/>
      <c r="G200" s="443"/>
      <c r="H200" s="443"/>
      <c r="I200" s="443"/>
      <c r="J200" s="443"/>
      <c r="K200" s="443"/>
      <c r="L200" s="443"/>
      <c r="M200" s="443"/>
      <c r="N200" s="443"/>
      <c r="O200" s="443"/>
      <c r="P200" s="443"/>
      <c r="Q200" s="443"/>
      <c r="R200" s="443"/>
      <c r="S200" s="443"/>
      <c r="T200" s="443"/>
      <c r="U200" s="443"/>
    </row>
    <row r="201" spans="1:22" ht="25.5" customHeight="1">
      <c r="A201" s="61"/>
      <c r="B201" s="390"/>
      <c r="C201" s="408"/>
      <c r="D201" s="458"/>
      <c r="E201" s="443"/>
      <c r="F201" s="443"/>
      <c r="G201" s="443"/>
      <c r="H201" s="443"/>
      <c r="I201" s="443"/>
      <c r="J201" s="443"/>
      <c r="K201" s="443"/>
      <c r="L201" s="443"/>
      <c r="M201" s="443"/>
      <c r="N201" s="443"/>
      <c r="O201" s="443"/>
      <c r="P201" s="443"/>
      <c r="Q201" s="443"/>
      <c r="R201" s="443"/>
      <c r="S201" s="443"/>
      <c r="T201" s="443"/>
      <c r="U201" s="443"/>
    </row>
    <row r="202" spans="1:22" ht="25.5" customHeight="1">
      <c r="A202" s="61"/>
      <c r="B202" s="383"/>
      <c r="C202" s="408"/>
      <c r="D202" s="442"/>
      <c r="E202" s="443"/>
      <c r="F202" s="443"/>
      <c r="G202" s="443"/>
      <c r="H202" s="443"/>
      <c r="I202" s="443"/>
      <c r="J202" s="443"/>
      <c r="K202" s="443"/>
      <c r="L202" s="443"/>
      <c r="M202" s="443"/>
      <c r="N202" s="443"/>
      <c r="O202" s="443"/>
      <c r="P202" s="443"/>
      <c r="Q202" s="443"/>
      <c r="R202" s="443"/>
      <c r="S202" s="443"/>
      <c r="T202" s="443"/>
      <c r="U202" s="443"/>
    </row>
    <row r="203" spans="1:22" ht="25.5" customHeight="1">
      <c r="A203" s="468"/>
      <c r="B203" s="385"/>
      <c r="C203" s="408"/>
      <c r="D203" s="458"/>
      <c r="E203" s="443"/>
      <c r="F203" s="443"/>
      <c r="G203" s="443"/>
      <c r="H203" s="443"/>
      <c r="I203" s="443"/>
      <c r="J203" s="443"/>
      <c r="K203" s="443"/>
      <c r="L203" s="443"/>
      <c r="M203" s="443"/>
      <c r="N203" s="443"/>
      <c r="O203" s="443"/>
      <c r="P203" s="443"/>
      <c r="Q203" s="443"/>
      <c r="R203" s="443"/>
      <c r="S203" s="443"/>
      <c r="T203" s="443"/>
      <c r="U203" s="443"/>
    </row>
    <row r="204" spans="1:22" ht="25.5" customHeight="1" thickBot="1">
      <c r="A204" s="465"/>
      <c r="B204" s="387" t="s">
        <v>5</v>
      </c>
      <c r="C204" s="411">
        <f>SUM(C178:C203)</f>
        <v>2610778</v>
      </c>
      <c r="D204" s="466">
        <f>SUM(D178:D203)</f>
        <v>0</v>
      </c>
      <c r="E204" s="471">
        <f>SUM(E178:E203)</f>
        <v>236728.36</v>
      </c>
      <c r="F204" s="471">
        <f>SUM(F178:F203)</f>
        <v>49704.2</v>
      </c>
      <c r="G204" s="471">
        <f t="shared" ref="G204:T204" si="5">SUM(G178:G203)</f>
        <v>0</v>
      </c>
      <c r="H204" s="471">
        <f>SUM(H178:H203)</f>
        <v>52449</v>
      </c>
      <c r="I204" s="471">
        <f>SUM(I178:I203)</f>
        <v>545108.22</v>
      </c>
      <c r="J204" s="471">
        <f t="shared" si="5"/>
        <v>0</v>
      </c>
      <c r="K204" s="471">
        <f t="shared" si="5"/>
        <v>0</v>
      </c>
      <c r="L204" s="471">
        <f t="shared" si="5"/>
        <v>0</v>
      </c>
      <c r="M204" s="471">
        <f>SUM(M178:M203)</f>
        <v>80619.649999999994</v>
      </c>
      <c r="N204" s="471">
        <f>SUM(N178:N203)</f>
        <v>78500</v>
      </c>
      <c r="O204" s="471">
        <f t="shared" si="5"/>
        <v>0</v>
      </c>
      <c r="P204" s="471">
        <f t="shared" si="5"/>
        <v>0</v>
      </c>
      <c r="Q204" s="471">
        <f t="shared" si="5"/>
        <v>0</v>
      </c>
      <c r="R204" s="471">
        <f>SUM(R178:R203)</f>
        <v>65658</v>
      </c>
      <c r="S204" s="471">
        <f t="shared" si="5"/>
        <v>0</v>
      </c>
      <c r="T204" s="471">
        <f t="shared" si="5"/>
        <v>0</v>
      </c>
      <c r="U204" s="471">
        <f>SUM(U178:U203)</f>
        <v>3920</v>
      </c>
      <c r="V204" s="314">
        <f>SUM(D204:U204)</f>
        <v>1112687.4300000002</v>
      </c>
    </row>
    <row r="205" spans="1:22" ht="25.5" customHeight="1" thickTop="1">
      <c r="A205" s="447" t="s">
        <v>114</v>
      </c>
      <c r="B205" s="10"/>
      <c r="C205" s="412"/>
      <c r="D205" s="458"/>
      <c r="E205" s="459">
        <f>+เม.ย.!E204+พ.ค.!E204+มิ.ย.!E204</f>
        <v>0</v>
      </c>
      <c r="F205" s="459">
        <f>+เม.ย.!F204+พ.ค.!F204+มิ.ย.!F204</f>
        <v>0</v>
      </c>
      <c r="G205" s="459">
        <f>+เม.ย.!G204+พ.ค.!G204+มิ.ย.!G204</f>
        <v>0</v>
      </c>
      <c r="H205" s="459">
        <f>+เม.ย.!H204+พ.ค.!H204+มิ.ย.!H204</f>
        <v>0</v>
      </c>
      <c r="I205" s="459">
        <f>+เม.ย.!I204+พ.ค.!I204+มิ.ย.!I204</f>
        <v>0</v>
      </c>
      <c r="J205" s="459">
        <f>+เม.ย.!J204+พ.ค.!J204+มิ.ย.!J204</f>
        <v>0</v>
      </c>
      <c r="K205" s="459">
        <f>+เม.ย.!K204+พ.ค.!K204+มิ.ย.!K204</f>
        <v>0</v>
      </c>
      <c r="L205" s="459">
        <f>+เม.ย.!L204+พ.ค.!L204+มิ.ย.!L204</f>
        <v>0</v>
      </c>
      <c r="M205" s="459">
        <f>+เม.ย.!M204+พ.ค.!M204+มิ.ย.!M204</f>
        <v>0</v>
      </c>
      <c r="N205" s="459">
        <f>+เม.ย.!N204+พ.ค.!N204+มิ.ย.!N204</f>
        <v>0</v>
      </c>
      <c r="O205" s="459">
        <f>+เม.ย.!O204+พ.ค.!O204+มิ.ย.!O204</f>
        <v>0</v>
      </c>
      <c r="P205" s="459">
        <f>+เม.ย.!P204+พ.ค.!P204+มิ.ย.!P204</f>
        <v>0</v>
      </c>
      <c r="Q205" s="459">
        <f>+เม.ย.!Q204+พ.ค.!Q204+มิ.ย.!Q204</f>
        <v>0</v>
      </c>
      <c r="R205" s="459">
        <f>+เม.ย.!R204+พ.ค.!R204+มิ.ย.!R204</f>
        <v>0</v>
      </c>
      <c r="S205" s="459">
        <f>+เม.ย.!S204+พ.ค.!S204+มิ.ย.!S204</f>
        <v>0</v>
      </c>
      <c r="T205" s="459">
        <f>+เม.ย.!U204+พ.ค.!U204+มิ.ย.!U204</f>
        <v>0</v>
      </c>
      <c r="U205" s="459">
        <f>+เม.ย.!V204+พ.ค.!V204+มิ.ย.!V204</f>
        <v>0</v>
      </c>
    </row>
    <row r="206" spans="1:22" ht="25.5" customHeight="1">
      <c r="A206" s="61"/>
      <c r="B206" s="383" t="s">
        <v>20</v>
      </c>
      <c r="C206" s="408">
        <f>240000+35000</f>
        <v>275000</v>
      </c>
      <c r="D206" s="472"/>
      <c r="E206" s="443">
        <f>+'ต.ค.-ธ.ค.'!E207+'ม.ค.-มี.ค.'!E206+'เม.ย.-มิ.ย.'!E206</f>
        <v>166860.74</v>
      </c>
      <c r="F206" s="443">
        <f>+'ต.ค.-ธ.ค.'!F207+'ม.ค.-มี.ค.'!F206+'เม.ย.-มิ.ย.'!F206</f>
        <v>0</v>
      </c>
      <c r="G206" s="443">
        <f>+'ต.ค.-ธ.ค.'!G207+'ม.ค.-มี.ค.'!G206+'เม.ย.-มิ.ย.'!G206</f>
        <v>0</v>
      </c>
      <c r="H206" s="443">
        <f>+'ต.ค.-ธ.ค.'!H207+'ม.ค.-มี.ค.'!H206+'เม.ย.-มิ.ย.'!H206</f>
        <v>27432.799999999999</v>
      </c>
      <c r="I206" s="443">
        <f>+'ต.ค.-ธ.ค.'!I207+'ม.ค.-มี.ค.'!I206+'เม.ย.-มิ.ย.'!I206</f>
        <v>0</v>
      </c>
      <c r="J206" s="443">
        <f>+เม.ย.!J205+พ.ค.!J205+มิ.ย.!J205</f>
        <v>0</v>
      </c>
      <c r="K206" s="443">
        <f>+เม.ย.!K205+พ.ค.!K205+มิ.ย.!K205</f>
        <v>0</v>
      </c>
      <c r="L206" s="443">
        <f>+เม.ย.!L205+พ.ค.!L205+มิ.ย.!L205</f>
        <v>0</v>
      </c>
      <c r="M206" s="443">
        <f>+เม.ย.!M205+พ.ค.!M205+มิ.ย.!M205</f>
        <v>0</v>
      </c>
      <c r="N206" s="443">
        <f>+เม.ย.!N205+พ.ค.!N205+มิ.ย.!N205</f>
        <v>0</v>
      </c>
      <c r="O206" s="443">
        <f>+เม.ย.!O205+พ.ค.!O205+มิ.ย.!O205</f>
        <v>0</v>
      </c>
      <c r="P206" s="443">
        <f>+เม.ย.!P205+พ.ค.!P205+มิ.ย.!P205</f>
        <v>0</v>
      </c>
      <c r="Q206" s="443">
        <f>+เม.ย.!Q205+พ.ค.!Q205+มิ.ย.!Q205</f>
        <v>0</v>
      </c>
      <c r="R206" s="443">
        <f>+เม.ย.!R205+พ.ค.!R205+มิ.ย.!R205</f>
        <v>0</v>
      </c>
      <c r="S206" s="443">
        <f>+เม.ย.!S205+พ.ค.!S205+มิ.ย.!S205</f>
        <v>0</v>
      </c>
      <c r="T206" s="443">
        <f>+เม.ย.!U205+พ.ค.!U205+มิ.ย.!U205</f>
        <v>0</v>
      </c>
      <c r="U206" s="443">
        <f>+เม.ย.!V205+พ.ค.!V205+มิ.ย.!V205</f>
        <v>0</v>
      </c>
      <c r="V206" s="321"/>
    </row>
    <row r="207" spans="1:22" ht="25.5" customHeight="1">
      <c r="A207" s="61"/>
      <c r="B207" s="383" t="s">
        <v>283</v>
      </c>
      <c r="C207" s="408">
        <f>100000+12000</f>
        <v>112000</v>
      </c>
      <c r="D207" s="472"/>
      <c r="E207" s="443">
        <f>+'ต.ค.-ธ.ค.'!E208+'ม.ค.-มี.ค.'!E207+'เม.ย.-มิ.ย.'!E207</f>
        <v>52899.979999999996</v>
      </c>
      <c r="F207" s="443">
        <f>+'ต.ค.-ธ.ค.'!F208+'ม.ค.-มี.ค.'!F207+'เม.ย.-มิ.ย.'!F207</f>
        <v>0</v>
      </c>
      <c r="G207" s="443">
        <f>+'ต.ค.-ธ.ค.'!G208+'ม.ค.-มี.ค.'!G207+'เม.ย.-มิ.ย.'!G207</f>
        <v>0</v>
      </c>
      <c r="H207" s="443">
        <f>+'ต.ค.-ธ.ค.'!H208+'ม.ค.-มี.ค.'!H207+'เม.ย.-มิ.ย.'!H207</f>
        <v>9000</v>
      </c>
      <c r="I207" s="443">
        <f>+'ต.ค.-ธ.ค.'!I208+'ม.ค.-มี.ค.'!I207+'เม.ย.-มิ.ย.'!I207</f>
        <v>0</v>
      </c>
      <c r="J207" s="443">
        <f>+เม.ย.!J206+พ.ค.!J206+มิ.ย.!J206</f>
        <v>0</v>
      </c>
      <c r="K207" s="443">
        <f>+เม.ย.!K206+พ.ค.!K206+มิ.ย.!K206</f>
        <v>0</v>
      </c>
      <c r="L207" s="443">
        <f>+เม.ย.!L206+พ.ค.!L206+มิ.ย.!L206</f>
        <v>0</v>
      </c>
      <c r="M207" s="443">
        <f>+เม.ย.!M206+พ.ค.!M206+มิ.ย.!M206</f>
        <v>0</v>
      </c>
      <c r="N207" s="443">
        <f>+เม.ย.!N206+พ.ค.!N206+มิ.ย.!N206</f>
        <v>0</v>
      </c>
      <c r="O207" s="443">
        <f>+เม.ย.!O206+พ.ค.!O206+มิ.ย.!O206</f>
        <v>0</v>
      </c>
      <c r="P207" s="443">
        <f>+เม.ย.!P206+พ.ค.!P206+มิ.ย.!P206</f>
        <v>0</v>
      </c>
      <c r="Q207" s="443">
        <f>+เม.ย.!Q206+พ.ค.!Q206+มิ.ย.!Q206</f>
        <v>0</v>
      </c>
      <c r="R207" s="443">
        <f>+เม.ย.!R206+พ.ค.!R206+มิ.ย.!R206</f>
        <v>0</v>
      </c>
      <c r="S207" s="443">
        <f>+เม.ย.!S206+พ.ค.!S206+มิ.ย.!S206</f>
        <v>0</v>
      </c>
      <c r="T207" s="443">
        <f>+เม.ย.!U206+พ.ค.!U206+มิ.ย.!U206</f>
        <v>0</v>
      </c>
      <c r="U207" s="443">
        <f>+เม.ย.!V206+พ.ค.!V206+มิ.ย.!V206</f>
        <v>0</v>
      </c>
    </row>
    <row r="208" spans="1:22" ht="25.5" customHeight="1">
      <c r="A208" s="61"/>
      <c r="B208" s="383" t="s">
        <v>284</v>
      </c>
      <c r="C208" s="408">
        <f>15000+3000</f>
        <v>18000</v>
      </c>
      <c r="D208" s="442"/>
      <c r="E208" s="443">
        <f>+'ต.ค.-ธ.ค.'!E209+'ม.ค.-มี.ค.'!E208+'เม.ย.-มิ.ย.'!E208</f>
        <v>14962</v>
      </c>
      <c r="F208" s="443">
        <f>+'ต.ค.-ธ.ค.'!F209+'ม.ค.-มี.ค.'!F208+'เม.ย.-มิ.ย.'!F208</f>
        <v>0</v>
      </c>
      <c r="G208" s="443">
        <f>+'ต.ค.-ธ.ค.'!G209+'ม.ค.-มี.ค.'!G208+'เม.ย.-มิ.ย.'!G208</f>
        <v>0</v>
      </c>
      <c r="H208" s="443">
        <f>+'ต.ค.-ธ.ค.'!H209+'ม.ค.-มี.ค.'!H208+'เม.ย.-มิ.ย.'!H208</f>
        <v>0</v>
      </c>
      <c r="I208" s="443">
        <f>+'ต.ค.-ธ.ค.'!I209+'ม.ค.-มี.ค.'!I208+'เม.ย.-มิ.ย.'!I208</f>
        <v>0</v>
      </c>
      <c r="J208" s="443">
        <f>+เม.ย.!J207+พ.ค.!J207+มิ.ย.!J207</f>
        <v>0</v>
      </c>
      <c r="K208" s="443">
        <f>+เม.ย.!K207+พ.ค.!K207+มิ.ย.!K207</f>
        <v>0</v>
      </c>
      <c r="L208" s="443">
        <f>+เม.ย.!L207+พ.ค.!L207+มิ.ย.!L207</f>
        <v>0</v>
      </c>
      <c r="M208" s="443">
        <f>+เม.ย.!M207+พ.ค.!M207+มิ.ย.!M207</f>
        <v>0</v>
      </c>
      <c r="N208" s="443">
        <f>+เม.ย.!N207+พ.ค.!N207+มิ.ย.!N207</f>
        <v>0</v>
      </c>
      <c r="O208" s="443">
        <f>+เม.ย.!O207+พ.ค.!O207+มิ.ย.!O207</f>
        <v>0</v>
      </c>
      <c r="P208" s="443">
        <f>+เม.ย.!P207+พ.ค.!P207+มิ.ย.!P207</f>
        <v>0</v>
      </c>
      <c r="Q208" s="443">
        <f>+เม.ย.!Q207+พ.ค.!Q207+มิ.ย.!Q207</f>
        <v>0</v>
      </c>
      <c r="R208" s="443">
        <f>+เม.ย.!R207+พ.ค.!R207+มิ.ย.!R207</f>
        <v>0</v>
      </c>
      <c r="S208" s="443">
        <f>+เม.ย.!S207+พ.ค.!S207+มิ.ย.!S207</f>
        <v>0</v>
      </c>
      <c r="T208" s="443">
        <f>+เม.ย.!U207+พ.ค.!U207+มิ.ย.!U207</f>
        <v>0</v>
      </c>
      <c r="U208" s="443">
        <f>+เม.ย.!V207+พ.ค.!V207+มิ.ย.!V207</f>
        <v>0</v>
      </c>
    </row>
    <row r="209" spans="1:22" ht="25.5" customHeight="1">
      <c r="A209" s="61"/>
      <c r="B209" s="383" t="s">
        <v>285</v>
      </c>
      <c r="C209" s="408">
        <f>72000+32000+16100</f>
        <v>120100</v>
      </c>
      <c r="D209" s="442"/>
      <c r="E209" s="443">
        <f>+'ต.ค.-ธ.ค.'!E210+'ม.ค.-มี.ค.'!E209+'เม.ย.-มิ.ย.'!E209</f>
        <v>69255.75</v>
      </c>
      <c r="F209" s="443">
        <f>+'ต.ค.-ธ.ค.'!F210+'ม.ค.-มี.ค.'!F209+'เม.ย.-มิ.ย.'!F209</f>
        <v>0</v>
      </c>
      <c r="G209" s="443">
        <f>+'ต.ค.-ธ.ค.'!G210+'ม.ค.-มี.ค.'!G209+'เม.ย.-มิ.ย.'!G209</f>
        <v>0</v>
      </c>
      <c r="H209" s="443">
        <f>+'ต.ค.-ธ.ค.'!H210+'ม.ค.-มี.ค.'!H209+'เม.ย.-มิ.ย.'!H209</f>
        <v>23689.8</v>
      </c>
      <c r="I209" s="443">
        <f>+'ต.ค.-ธ.ค.'!I210+'ม.ค.-มี.ค.'!I209+'เม.ย.-มิ.ย.'!I209</f>
        <v>0</v>
      </c>
      <c r="J209" s="443">
        <f>+เม.ย.!J208+พ.ค.!J208+มิ.ย.!J208</f>
        <v>0</v>
      </c>
      <c r="K209" s="443">
        <f>+เม.ย.!K208+พ.ค.!K208+มิ.ย.!K208</f>
        <v>0</v>
      </c>
      <c r="L209" s="443">
        <f>+เม.ย.!L208+พ.ค.!L208+มิ.ย.!L208</f>
        <v>0</v>
      </c>
      <c r="M209" s="443">
        <f>+เม.ย.!M208+พ.ค.!M208+มิ.ย.!M208</f>
        <v>0</v>
      </c>
      <c r="N209" s="443">
        <f>+เม.ย.!N208+พ.ค.!N208+มิ.ย.!N208</f>
        <v>0</v>
      </c>
      <c r="O209" s="443">
        <f>+เม.ย.!O208+พ.ค.!O208+มิ.ย.!O208</f>
        <v>0</v>
      </c>
      <c r="P209" s="443">
        <f>+เม.ย.!P208+พ.ค.!P208+มิ.ย.!P208</f>
        <v>0</v>
      </c>
      <c r="Q209" s="443">
        <f>+เม.ย.!Q208+พ.ค.!Q208+มิ.ย.!Q208</f>
        <v>0</v>
      </c>
      <c r="R209" s="443">
        <f>+เม.ย.!R208+พ.ค.!R208+มิ.ย.!R208</f>
        <v>0</v>
      </c>
      <c r="S209" s="443">
        <f>+เม.ย.!S208+พ.ค.!S208+มิ.ย.!S208</f>
        <v>0</v>
      </c>
      <c r="T209" s="443">
        <f>+เม.ย.!U208+พ.ค.!U208+มิ.ย.!U208</f>
        <v>0</v>
      </c>
      <c r="U209" s="443">
        <f>+เม.ย.!V208+พ.ค.!V208+มิ.ย.!V208</f>
        <v>0</v>
      </c>
    </row>
    <row r="210" spans="1:22" ht="25.5" customHeight="1" thickBot="1">
      <c r="A210" s="462"/>
      <c r="B210" s="386" t="s">
        <v>5</v>
      </c>
      <c r="C210" s="411">
        <f>SUM(C206:C209)</f>
        <v>525100</v>
      </c>
      <c r="D210" s="457"/>
      <c r="E210" s="471">
        <f>SUM(E205:E209)</f>
        <v>303978.46999999997</v>
      </c>
      <c r="F210" s="471">
        <f t="shared" ref="F210:M210" si="6">SUM(F205:F209)</f>
        <v>0</v>
      </c>
      <c r="G210" s="471">
        <f t="shared" si="6"/>
        <v>0</v>
      </c>
      <c r="H210" s="471">
        <f>SUM(H205:H209)</f>
        <v>60122.600000000006</v>
      </c>
      <c r="I210" s="471">
        <f t="shared" si="6"/>
        <v>0</v>
      </c>
      <c r="J210" s="471">
        <f t="shared" si="6"/>
        <v>0</v>
      </c>
      <c r="K210" s="471">
        <f t="shared" si="6"/>
        <v>0</v>
      </c>
      <c r="L210" s="471">
        <f t="shared" si="6"/>
        <v>0</v>
      </c>
      <c r="M210" s="471">
        <f t="shared" si="6"/>
        <v>0</v>
      </c>
      <c r="N210" s="471">
        <f>+เม.ย.!N209+พ.ค.!N209+มิ.ย.!N209</f>
        <v>0</v>
      </c>
      <c r="O210" s="471">
        <f>+เม.ย.!O209+พ.ค.!O209+มิ.ย.!O209</f>
        <v>0</v>
      </c>
      <c r="P210" s="471">
        <f>+เม.ย.!P209+พ.ค.!P209+มิ.ย.!P209</f>
        <v>0</v>
      </c>
      <c r="Q210" s="471">
        <f>+เม.ย.!Q209+พ.ค.!Q209+มิ.ย.!Q209</f>
        <v>0</v>
      </c>
      <c r="R210" s="471">
        <f>+เม.ย.!R209+พ.ค.!R209+มิ.ย.!R209</f>
        <v>0</v>
      </c>
      <c r="S210" s="471">
        <f>+เม.ย.!S209+พ.ค.!S209+มิ.ย.!S209</f>
        <v>0</v>
      </c>
      <c r="T210" s="471">
        <f>+เม.ย.!U209+พ.ค.!U209+มิ.ย.!U209</f>
        <v>0</v>
      </c>
      <c r="U210" s="471">
        <f>+เม.ย.!V209+พ.ค.!V209+มิ.ย.!V209</f>
        <v>0</v>
      </c>
      <c r="V210" s="318">
        <f>SUM(D210:U210)</f>
        <v>364101.06999999995</v>
      </c>
    </row>
    <row r="211" spans="1:22" ht="25.5" customHeight="1" thickTop="1">
      <c r="A211" s="441" t="s">
        <v>122</v>
      </c>
      <c r="B211" s="382"/>
      <c r="C211" s="407"/>
      <c r="D211" s="458"/>
      <c r="E211" s="459"/>
      <c r="F211" s="459"/>
      <c r="G211" s="459"/>
      <c r="H211" s="459"/>
      <c r="I211" s="459"/>
      <c r="J211" s="459"/>
      <c r="K211" s="459"/>
      <c r="L211" s="459"/>
      <c r="M211" s="459"/>
      <c r="N211" s="459"/>
      <c r="O211" s="459"/>
      <c r="P211" s="459"/>
      <c r="Q211" s="459"/>
      <c r="R211" s="459"/>
      <c r="S211" s="459"/>
      <c r="T211" s="459"/>
      <c r="U211" s="459"/>
    </row>
    <row r="212" spans="1:22" ht="25.5" customHeight="1">
      <c r="A212" s="473"/>
      <c r="B212" s="390" t="s">
        <v>323</v>
      </c>
      <c r="C212" s="412">
        <v>864000</v>
      </c>
      <c r="D212" s="442"/>
      <c r="E212" s="443">
        <f>+'ต.ค.-ธ.ค.'!E213+'ม.ค.-มี.ค.'!E212+'เม.ย.-มิ.ย.'!E212</f>
        <v>0</v>
      </c>
      <c r="F212" s="443">
        <f>+'ต.ค.-ธ.ค.'!F213+'ม.ค.-มี.ค.'!F212+'เม.ย.-มิ.ย.'!F212</f>
        <v>0</v>
      </c>
      <c r="G212" s="443">
        <f>+'ต.ค.-ธ.ค.'!G213+'ม.ค.-มี.ค.'!G212+'เม.ย.-มิ.ย.'!G212</f>
        <v>0</v>
      </c>
      <c r="H212" s="443">
        <f>+'ต.ค.-ธ.ค.'!H213+'ม.ค.-มี.ค.'!H212+'เม.ย.-มิ.ย.'!H212</f>
        <v>0</v>
      </c>
      <c r="I212" s="443">
        <f>+'ต.ค.-ธ.ค.'!I213+'ม.ค.-มี.ค.'!I212+'เม.ย.-มิ.ย.'!I212</f>
        <v>676000</v>
      </c>
      <c r="J212" s="443">
        <f>+'ต.ค.-ธ.ค.'!J213+'ม.ค.-มี.ค.'!J212+'เม.ย.-มิ.ย.'!J212</f>
        <v>0</v>
      </c>
      <c r="K212" s="443">
        <f>+'ต.ค.-ธ.ค.'!K213+'ม.ค.-มี.ค.'!K212+'เม.ย.-มิ.ย.'!K212</f>
        <v>0</v>
      </c>
      <c r="L212" s="443">
        <f>+'ต.ค.-ธ.ค.'!L213+'ม.ค.-มี.ค.'!L212+'เม.ย.-มิ.ย.'!L212</f>
        <v>0</v>
      </c>
      <c r="M212" s="443">
        <f>+'ต.ค.-ธ.ค.'!M213+'ม.ค.-มี.ค.'!M212+'เม.ย.-มิ.ย.'!M212</f>
        <v>0</v>
      </c>
      <c r="N212" s="443">
        <f>+'ต.ค.-ธ.ค.'!N213+'ม.ค.-มี.ค.'!N212+'เม.ย.-มิ.ย.'!N212</f>
        <v>0</v>
      </c>
      <c r="O212" s="443">
        <f>+'ต.ค.-ธ.ค.'!O213+'ม.ค.-มี.ค.'!O212+'เม.ย.-มิ.ย.'!O212</f>
        <v>0</v>
      </c>
      <c r="P212" s="443">
        <f>+'ต.ค.-ธ.ค.'!P213+'ม.ค.-มี.ค.'!P212+'เม.ย.-มิ.ย.'!P212</f>
        <v>0</v>
      </c>
      <c r="Q212" s="443">
        <f>+'ต.ค.-ธ.ค.'!Q213+'ม.ค.-มี.ค.'!Q212+'เม.ย.-มิ.ย.'!Q212</f>
        <v>0</v>
      </c>
      <c r="R212" s="443">
        <f>+'ต.ค.-ธ.ค.'!R213+'ม.ค.-มี.ค.'!R212+'เม.ย.-มิ.ย.'!R212</f>
        <v>0</v>
      </c>
      <c r="S212" s="443">
        <f>+'ต.ค.-ธ.ค.'!S213+'ม.ค.-มี.ค.'!S212+'เม.ย.-มิ.ย.'!S212</f>
        <v>0</v>
      </c>
      <c r="T212" s="443">
        <f>+'ต.ค.-ธ.ค.'!U213+'ม.ค.-มี.ค.'!U212+'เม.ย.-มิ.ย.'!U212</f>
        <v>0</v>
      </c>
      <c r="U212" s="443">
        <f>+'ต.ค.-ธ.ค.'!V213+'ม.ค.-มี.ค.'!V212+'เม.ย.-มิ.ย.'!V212</f>
        <v>0</v>
      </c>
    </row>
    <row r="213" spans="1:22" ht="25.5" customHeight="1">
      <c r="A213" s="473"/>
      <c r="B213" s="390" t="s">
        <v>324</v>
      </c>
      <c r="C213" s="412">
        <v>1096000</v>
      </c>
      <c r="D213" s="442"/>
      <c r="E213" s="443">
        <f>+'ต.ค.-ธ.ค.'!E214+'ม.ค.-มี.ค.'!E213+'เม.ย.-มิ.ย.'!E213</f>
        <v>0</v>
      </c>
      <c r="F213" s="443">
        <f>+'ต.ค.-ธ.ค.'!F214+'ม.ค.-มี.ค.'!F213+'เม.ย.-มิ.ย.'!F213</f>
        <v>0</v>
      </c>
      <c r="G213" s="443">
        <f>+'ต.ค.-ธ.ค.'!G214+'ม.ค.-มี.ค.'!G213+'เม.ย.-มิ.ย.'!G213</f>
        <v>0</v>
      </c>
      <c r="H213" s="443">
        <f>+'ต.ค.-ธ.ค.'!H214+'ม.ค.-มี.ค.'!H213+'เม.ย.-มิ.ย.'!H213</f>
        <v>0</v>
      </c>
      <c r="I213" s="443">
        <f>+'ต.ค.-ธ.ค.'!I214+'ม.ค.-มี.ค.'!I213+'เม.ย.-มิ.ย.'!I213</f>
        <v>832000</v>
      </c>
      <c r="J213" s="443">
        <f>+'ต.ค.-ธ.ค.'!J214+'ม.ค.-มี.ค.'!J213+'เม.ย.-มิ.ย.'!J213</f>
        <v>0</v>
      </c>
      <c r="K213" s="443">
        <f>+'ต.ค.-ธ.ค.'!K214+'ม.ค.-มี.ค.'!K213+'เม.ย.-มิ.ย.'!K213</f>
        <v>0</v>
      </c>
      <c r="L213" s="443">
        <f>+'ต.ค.-ธ.ค.'!L214+'ม.ค.-มี.ค.'!L213+'เม.ย.-มิ.ย.'!L213</f>
        <v>0</v>
      </c>
      <c r="M213" s="443">
        <f>+'ต.ค.-ธ.ค.'!M214+'ม.ค.-มี.ค.'!M213+'เม.ย.-มิ.ย.'!M213</f>
        <v>0</v>
      </c>
      <c r="N213" s="443">
        <f>+'ต.ค.-ธ.ค.'!N214+'ม.ค.-มี.ค.'!N213+'เม.ย.-มิ.ย.'!N213</f>
        <v>0</v>
      </c>
      <c r="O213" s="443">
        <f>+'ต.ค.-ธ.ค.'!O214+'ม.ค.-มี.ค.'!O213+'เม.ย.-มิ.ย.'!O213</f>
        <v>0</v>
      </c>
      <c r="P213" s="443">
        <f>+'ต.ค.-ธ.ค.'!P214+'ม.ค.-มี.ค.'!P213+'เม.ย.-มิ.ย.'!P213</f>
        <v>0</v>
      </c>
      <c r="Q213" s="443">
        <f>+'ต.ค.-ธ.ค.'!Q214+'ม.ค.-มี.ค.'!Q213+'เม.ย.-มิ.ย.'!Q213</f>
        <v>0</v>
      </c>
      <c r="R213" s="443">
        <f>+'ต.ค.-ธ.ค.'!R214+'ม.ค.-มี.ค.'!R213+'เม.ย.-มิ.ย.'!R213</f>
        <v>0</v>
      </c>
      <c r="S213" s="443">
        <f>+'ต.ค.-ธ.ค.'!S214+'ม.ค.-มี.ค.'!S213+'เม.ย.-มิ.ย.'!S213</f>
        <v>0</v>
      </c>
      <c r="T213" s="443">
        <f>+'ต.ค.-ธ.ค.'!U214+'ม.ค.-มี.ค.'!U213+'เม.ย.-มิ.ย.'!U213</f>
        <v>0</v>
      </c>
      <c r="U213" s="443">
        <f>+'ต.ค.-ธ.ค.'!V214+'ม.ค.-มี.ค.'!V213+'เม.ย.-มิ.ย.'!V213</f>
        <v>0</v>
      </c>
    </row>
    <row r="214" spans="1:22" ht="25.5" customHeight="1">
      <c r="A214" s="473"/>
      <c r="B214" s="390" t="s">
        <v>325</v>
      </c>
      <c r="C214" s="412">
        <v>580000</v>
      </c>
      <c r="D214" s="458"/>
      <c r="E214" s="443">
        <f>+'ต.ค.-ธ.ค.'!E215+'ม.ค.-มี.ค.'!E214+'เม.ย.-มิ.ย.'!E214</f>
        <v>0</v>
      </c>
      <c r="F214" s="443">
        <f>+'ต.ค.-ธ.ค.'!F215+'ม.ค.-มี.ค.'!F214+'เม.ย.-มิ.ย.'!F214</f>
        <v>0</v>
      </c>
      <c r="G214" s="443">
        <f>+'ต.ค.-ธ.ค.'!G215+'ม.ค.-มี.ค.'!G214+'เม.ย.-มิ.ย.'!G214</f>
        <v>0</v>
      </c>
      <c r="H214" s="443">
        <f>+'ต.ค.-ธ.ค.'!H215+'ม.ค.-มี.ค.'!H214+'เม.ย.-มิ.ย.'!H214</f>
        <v>0</v>
      </c>
      <c r="I214" s="443">
        <f>+'ต.ค.-ธ.ค.'!I215+'ม.ค.-มี.ค.'!I214+'เม.ย.-มิ.ย.'!I214</f>
        <v>425000</v>
      </c>
      <c r="J214" s="443">
        <f>+'ต.ค.-ธ.ค.'!J215+'ม.ค.-มี.ค.'!J214+'เม.ย.-มิ.ย.'!J214</f>
        <v>0</v>
      </c>
      <c r="K214" s="443">
        <f>+'ต.ค.-ธ.ค.'!K215+'ม.ค.-มี.ค.'!K214+'เม.ย.-มิ.ย.'!K214</f>
        <v>0</v>
      </c>
      <c r="L214" s="443">
        <f>+'ต.ค.-ธ.ค.'!L215+'ม.ค.-มี.ค.'!L214+'เม.ย.-มิ.ย.'!L214</f>
        <v>0</v>
      </c>
      <c r="M214" s="443">
        <f>+'ต.ค.-ธ.ค.'!M215+'ม.ค.-มี.ค.'!M214+'เม.ย.-มิ.ย.'!M214</f>
        <v>0</v>
      </c>
      <c r="N214" s="443">
        <f>+'ต.ค.-ธ.ค.'!N215+'ม.ค.-มี.ค.'!N214+'เม.ย.-มิ.ย.'!N214</f>
        <v>0</v>
      </c>
      <c r="O214" s="443">
        <f>+'ต.ค.-ธ.ค.'!O215+'ม.ค.-มี.ค.'!O214+'เม.ย.-มิ.ย.'!O214</f>
        <v>0</v>
      </c>
      <c r="P214" s="443">
        <f>+'ต.ค.-ธ.ค.'!P215+'ม.ค.-มี.ค.'!P214+'เม.ย.-มิ.ย.'!P214</f>
        <v>0</v>
      </c>
      <c r="Q214" s="443">
        <f>+'ต.ค.-ธ.ค.'!Q215+'ม.ค.-มี.ค.'!Q214+'เม.ย.-มิ.ย.'!Q214</f>
        <v>0</v>
      </c>
      <c r="R214" s="443">
        <f>+'ต.ค.-ธ.ค.'!R215+'ม.ค.-มี.ค.'!R214+'เม.ย.-มิ.ย.'!R214</f>
        <v>0</v>
      </c>
      <c r="S214" s="443">
        <f>+'ต.ค.-ธ.ค.'!S215+'ม.ค.-มี.ค.'!S214+'เม.ย.-มิ.ย.'!S214</f>
        <v>0</v>
      </c>
      <c r="T214" s="443">
        <f>+'ต.ค.-ธ.ค.'!U215+'ม.ค.-มี.ค.'!U214+'เม.ย.-มิ.ย.'!U214</f>
        <v>0</v>
      </c>
      <c r="U214" s="443">
        <f>+'ต.ค.-ธ.ค.'!V215+'ม.ค.-มี.ค.'!V214+'เม.ย.-มิ.ย.'!V214</f>
        <v>0</v>
      </c>
    </row>
    <row r="215" spans="1:22" ht="25.5" customHeight="1">
      <c r="A215" s="473"/>
      <c r="B215" s="390" t="s">
        <v>351</v>
      </c>
      <c r="C215" s="412">
        <v>223000</v>
      </c>
      <c r="D215" s="458"/>
      <c r="E215" s="443">
        <f>+'ต.ค.-ธ.ค.'!E216+'ม.ค.-มี.ค.'!E215+'เม.ย.-มิ.ย.'!E215</f>
        <v>0</v>
      </c>
      <c r="F215" s="443">
        <f>+'ต.ค.-ธ.ค.'!F216+'ม.ค.-มี.ค.'!F215+'เม.ย.-มิ.ย.'!F215</f>
        <v>0</v>
      </c>
      <c r="G215" s="443">
        <f>+'ต.ค.-ธ.ค.'!G216+'ม.ค.-มี.ค.'!G215+'เม.ย.-มิ.ย.'!G215</f>
        <v>0</v>
      </c>
      <c r="H215" s="443">
        <f>+'ต.ค.-ธ.ค.'!H216+'ม.ค.-มี.ค.'!H215+'เม.ย.-มิ.ย.'!H215</f>
        <v>0</v>
      </c>
      <c r="I215" s="443">
        <f>+'ต.ค.-ธ.ค.'!I216+'ม.ค.-มี.ค.'!I215+'เม.ย.-มิ.ย.'!I215</f>
        <v>0</v>
      </c>
      <c r="J215" s="443">
        <f>+'ต.ค.-ธ.ค.'!J216+'ม.ค.-มี.ค.'!J215+'เม.ย.-มิ.ย.'!J215</f>
        <v>0</v>
      </c>
      <c r="K215" s="443">
        <f>+'ต.ค.-ธ.ค.'!K216+'ม.ค.-มี.ค.'!K215+'เม.ย.-มิ.ย.'!K215</f>
        <v>0</v>
      </c>
      <c r="L215" s="443">
        <f>+'ต.ค.-ธ.ค.'!L216+'ม.ค.-มี.ค.'!L215+'เม.ย.-มิ.ย.'!L215</f>
        <v>0</v>
      </c>
      <c r="M215" s="443">
        <f>+'ต.ค.-ธ.ค.'!M216+'ม.ค.-มี.ค.'!M215+'เม.ย.-มิ.ย.'!M215</f>
        <v>0</v>
      </c>
      <c r="N215" s="443">
        <f>+'ต.ค.-ธ.ค.'!N216+'ม.ค.-มี.ค.'!N215+'เม.ย.-มิ.ย.'!N215</f>
        <v>0</v>
      </c>
      <c r="O215" s="443">
        <f>+'ต.ค.-ธ.ค.'!O216+'ม.ค.-มี.ค.'!O215+'เม.ย.-มิ.ย.'!O215</f>
        <v>0</v>
      </c>
      <c r="P215" s="443">
        <f>+'ต.ค.-ธ.ค.'!P216+'ม.ค.-มี.ค.'!P215+'เม.ย.-มิ.ย.'!P215</f>
        <v>0</v>
      </c>
      <c r="Q215" s="443">
        <f>+'ต.ค.-ธ.ค.'!Q216+'ม.ค.-มี.ค.'!Q215+'เม.ย.-มิ.ย.'!Q215</f>
        <v>0</v>
      </c>
      <c r="R215" s="443">
        <f>+'ต.ค.-ธ.ค.'!R216+'ม.ค.-มี.ค.'!R215+'เม.ย.-มิ.ย.'!R215</f>
        <v>0</v>
      </c>
      <c r="S215" s="443">
        <f>+'ต.ค.-ธ.ค.'!S216+'ม.ค.-มี.ค.'!S215+'เม.ย.-มิ.ย.'!S215</f>
        <v>0</v>
      </c>
      <c r="T215" s="443">
        <f>+'ต.ค.-ธ.ค.'!U216+'ม.ค.-มี.ค.'!U215+'เม.ย.-มิ.ย.'!U215</f>
        <v>0</v>
      </c>
      <c r="U215" s="443">
        <f>+'ต.ค.-ธ.ค.'!V216+'ม.ค.-มี.ค.'!V215+'เม.ย.-มิ.ย.'!V215</f>
        <v>0</v>
      </c>
    </row>
    <row r="216" spans="1:22" ht="25.5" customHeight="1">
      <c r="A216" s="473"/>
      <c r="B216" s="390"/>
      <c r="C216" s="412"/>
      <c r="D216" s="458"/>
      <c r="E216" s="459"/>
      <c r="F216" s="460"/>
      <c r="G216" s="460"/>
      <c r="H216" s="460"/>
      <c r="I216" s="458"/>
      <c r="J216" s="458"/>
      <c r="K216" s="458"/>
      <c r="L216" s="458"/>
      <c r="M216" s="460"/>
      <c r="N216" s="458"/>
      <c r="O216" s="458"/>
      <c r="P216" s="458"/>
      <c r="Q216" s="458"/>
      <c r="R216" s="461"/>
      <c r="S216" s="470"/>
      <c r="T216" s="461"/>
      <c r="U216" s="461"/>
    </row>
    <row r="217" spans="1:22" ht="25.5" customHeight="1">
      <c r="A217" s="473"/>
      <c r="B217" s="390"/>
      <c r="C217" s="412"/>
      <c r="D217" s="458"/>
      <c r="E217" s="459"/>
      <c r="F217" s="460"/>
      <c r="G217" s="460"/>
      <c r="H217" s="460"/>
      <c r="I217" s="458"/>
      <c r="J217" s="458"/>
      <c r="K217" s="458"/>
      <c r="L217" s="458"/>
      <c r="M217" s="460"/>
      <c r="N217" s="458"/>
      <c r="O217" s="458"/>
      <c r="P217" s="458"/>
      <c r="Q217" s="458"/>
      <c r="R217" s="461"/>
      <c r="S217" s="470"/>
      <c r="T217" s="461"/>
      <c r="U217" s="461"/>
    </row>
    <row r="218" spans="1:22" ht="25.5" customHeight="1">
      <c r="A218" s="473"/>
      <c r="B218" s="390"/>
      <c r="C218" s="412"/>
      <c r="D218" s="458"/>
      <c r="E218" s="459"/>
      <c r="F218" s="460"/>
      <c r="G218" s="460"/>
      <c r="H218" s="460"/>
      <c r="I218" s="458"/>
      <c r="J218" s="458"/>
      <c r="K218" s="458"/>
      <c r="L218" s="458"/>
      <c r="M218" s="460"/>
      <c r="N218" s="458"/>
      <c r="O218" s="458"/>
      <c r="P218" s="458"/>
      <c r="Q218" s="458"/>
      <c r="R218" s="461"/>
      <c r="S218" s="470"/>
      <c r="T218" s="461"/>
      <c r="U218" s="461"/>
    </row>
    <row r="219" spans="1:22" ht="25.5" customHeight="1">
      <c r="A219" s="447"/>
      <c r="B219" s="390"/>
      <c r="C219" s="408"/>
      <c r="D219" s="458"/>
      <c r="E219" s="459"/>
      <c r="F219" s="460"/>
      <c r="G219" s="460"/>
      <c r="H219" s="460"/>
      <c r="I219" s="458"/>
      <c r="J219" s="458"/>
      <c r="K219" s="458"/>
      <c r="L219" s="458"/>
      <c r="M219" s="460"/>
      <c r="N219" s="458"/>
      <c r="O219" s="458"/>
      <c r="P219" s="458"/>
      <c r="Q219" s="458"/>
      <c r="R219" s="461"/>
      <c r="S219" s="470"/>
      <c r="T219" s="461"/>
      <c r="U219" s="461"/>
    </row>
    <row r="220" spans="1:22" ht="25.5" customHeight="1">
      <c r="A220" s="447"/>
      <c r="B220" s="383"/>
      <c r="C220" s="409"/>
      <c r="D220" s="442"/>
      <c r="E220" s="443"/>
      <c r="F220" s="444"/>
      <c r="G220" s="444"/>
      <c r="H220" s="444"/>
      <c r="I220" s="442"/>
      <c r="J220" s="442"/>
      <c r="K220" s="442"/>
      <c r="L220" s="442"/>
      <c r="M220" s="444"/>
      <c r="N220" s="442"/>
      <c r="O220" s="442"/>
      <c r="P220" s="442"/>
      <c r="Q220" s="442"/>
      <c r="R220" s="445"/>
      <c r="S220" s="446"/>
      <c r="T220" s="445"/>
      <c r="U220" s="445"/>
    </row>
    <row r="221" spans="1:22" ht="25.5" customHeight="1" thickBot="1">
      <c r="A221" s="462"/>
      <c r="B221" s="386" t="s">
        <v>5</v>
      </c>
      <c r="C221" s="411">
        <f>SUM(C212:C220)</f>
        <v>2763000</v>
      </c>
      <c r="D221" s="466">
        <f>SUM(D212:D220)</f>
        <v>0</v>
      </c>
      <c r="E221" s="467">
        <f t="shared" ref="E221:U221" si="7">SUM(E212:E220)</f>
        <v>0</v>
      </c>
      <c r="F221" s="467">
        <f t="shared" si="7"/>
        <v>0</v>
      </c>
      <c r="G221" s="467">
        <f t="shared" si="7"/>
        <v>0</v>
      </c>
      <c r="H221" s="467">
        <f t="shared" si="7"/>
        <v>0</v>
      </c>
      <c r="I221" s="466">
        <f>SUM(I212:I220)</f>
        <v>1933000</v>
      </c>
      <c r="J221" s="466">
        <f t="shared" si="7"/>
        <v>0</v>
      </c>
      <c r="K221" s="466">
        <f t="shared" si="7"/>
        <v>0</v>
      </c>
      <c r="L221" s="466">
        <f t="shared" si="7"/>
        <v>0</v>
      </c>
      <c r="M221" s="467">
        <f t="shared" si="7"/>
        <v>0</v>
      </c>
      <c r="N221" s="466">
        <f t="shared" si="7"/>
        <v>0</v>
      </c>
      <c r="O221" s="466">
        <f t="shared" si="7"/>
        <v>0</v>
      </c>
      <c r="P221" s="466">
        <f t="shared" si="7"/>
        <v>0</v>
      </c>
      <c r="Q221" s="466">
        <f t="shared" si="7"/>
        <v>0</v>
      </c>
      <c r="R221" s="466">
        <f t="shared" si="7"/>
        <v>0</v>
      </c>
      <c r="S221" s="466">
        <f t="shared" si="7"/>
        <v>0</v>
      </c>
      <c r="T221" s="466">
        <f t="shared" si="7"/>
        <v>0</v>
      </c>
      <c r="U221" s="466">
        <f t="shared" si="7"/>
        <v>0</v>
      </c>
      <c r="V221" s="318">
        <f>SUM(D221:U221)</f>
        <v>1933000</v>
      </c>
    </row>
    <row r="222" spans="1:22" ht="25.5" customHeight="1" thickTop="1">
      <c r="A222" s="447" t="s">
        <v>71</v>
      </c>
      <c r="B222" s="391"/>
      <c r="C222" s="420"/>
      <c r="D222" s="458"/>
      <c r="E222" s="459"/>
      <c r="F222" s="460"/>
      <c r="G222" s="460"/>
      <c r="H222" s="460"/>
      <c r="I222" s="458"/>
      <c r="J222" s="458"/>
      <c r="K222" s="458"/>
      <c r="L222" s="458"/>
      <c r="M222" s="460"/>
      <c r="N222" s="458"/>
      <c r="O222" s="458"/>
      <c r="P222" s="458"/>
      <c r="Q222" s="458"/>
      <c r="R222" s="461"/>
      <c r="S222" s="470"/>
      <c r="T222" s="461"/>
      <c r="U222" s="461"/>
    </row>
    <row r="223" spans="1:22" ht="25.5" customHeight="1">
      <c r="A223" s="447"/>
      <c r="B223" s="383"/>
      <c r="C223" s="408"/>
      <c r="D223" s="442"/>
      <c r="E223" s="443"/>
      <c r="F223" s="444"/>
      <c r="G223" s="444"/>
      <c r="H223" s="444"/>
      <c r="I223" s="442"/>
      <c r="J223" s="442"/>
      <c r="K223" s="442"/>
      <c r="L223" s="442"/>
      <c r="M223" s="444"/>
      <c r="N223" s="442"/>
      <c r="O223" s="442"/>
      <c r="P223" s="442"/>
      <c r="Q223" s="442"/>
      <c r="R223" s="445"/>
      <c r="S223" s="446"/>
      <c r="T223" s="445"/>
      <c r="U223" s="445"/>
    </row>
    <row r="224" spans="1:22" ht="25.5" customHeight="1" thickBot="1">
      <c r="A224" s="465"/>
      <c r="B224" s="387" t="s">
        <v>5</v>
      </c>
      <c r="C224" s="414">
        <f>SUM(C222:C223)</f>
        <v>0</v>
      </c>
      <c r="D224" s="466"/>
      <c r="E224" s="471"/>
      <c r="F224" s="467"/>
      <c r="G224" s="467"/>
      <c r="H224" s="467"/>
      <c r="I224" s="466"/>
      <c r="J224" s="466"/>
      <c r="K224" s="466"/>
      <c r="L224" s="466"/>
      <c r="M224" s="467"/>
      <c r="N224" s="466"/>
      <c r="O224" s="466"/>
      <c r="P224" s="466"/>
      <c r="Q224" s="466"/>
      <c r="R224" s="474"/>
      <c r="S224" s="475"/>
      <c r="T224" s="474"/>
      <c r="U224" s="474"/>
    </row>
    <row r="225" spans="1:23" ht="25.5" customHeight="1" thickTop="1">
      <c r="A225" s="447" t="s">
        <v>115</v>
      </c>
      <c r="B225" s="392"/>
      <c r="C225" s="421"/>
      <c r="D225" s="458"/>
      <c r="E225" s="459"/>
      <c r="F225" s="460"/>
      <c r="G225" s="460"/>
      <c r="H225" s="460"/>
      <c r="I225" s="458"/>
      <c r="J225" s="458"/>
      <c r="K225" s="458"/>
      <c r="L225" s="458"/>
      <c r="M225" s="460"/>
      <c r="N225" s="458"/>
      <c r="O225" s="458"/>
      <c r="P225" s="458"/>
      <c r="Q225" s="458"/>
      <c r="R225" s="461"/>
      <c r="S225" s="470"/>
      <c r="T225" s="461"/>
      <c r="U225" s="461"/>
    </row>
    <row r="226" spans="1:23" ht="25.5" customHeight="1">
      <c r="A226" s="447"/>
      <c r="B226" s="393" t="s">
        <v>291</v>
      </c>
      <c r="C226" s="421"/>
      <c r="D226" s="442"/>
      <c r="E226" s="443"/>
      <c r="F226" s="444"/>
      <c r="G226" s="444"/>
      <c r="H226" s="444"/>
      <c r="I226" s="442"/>
      <c r="J226" s="442"/>
      <c r="K226" s="442"/>
      <c r="L226" s="442"/>
      <c r="M226" s="444"/>
      <c r="N226" s="442"/>
      <c r="O226" s="442"/>
      <c r="P226" s="442"/>
      <c r="Q226" s="442"/>
      <c r="R226" s="445"/>
      <c r="S226" s="446"/>
      <c r="T226" s="445"/>
      <c r="U226" s="445"/>
    </row>
    <row r="227" spans="1:23" s="310" customFormat="1" ht="25.5" customHeight="1">
      <c r="A227" s="447"/>
      <c r="B227" s="394" t="s">
        <v>286</v>
      </c>
      <c r="C227" s="422">
        <v>10000</v>
      </c>
      <c r="D227" s="442"/>
      <c r="E227" s="443">
        <f>+'ต.ค.-ธ.ค.'!E228+'ม.ค.-มี.ค.'!E227+'เม.ย.-มิ.ย.'!E227</f>
        <v>0</v>
      </c>
      <c r="F227" s="443">
        <f>+'ต.ค.-ธ.ค.'!F228+'ม.ค.-มี.ค.'!F227+'เม.ย.-มิ.ย.'!F227</f>
        <v>0</v>
      </c>
      <c r="G227" s="443">
        <f>+'ต.ค.-ธ.ค.'!G228+'ม.ค.-มี.ค.'!G227+'เม.ย.-มิ.ย.'!G227</f>
        <v>0</v>
      </c>
      <c r="H227" s="443">
        <f>+'ต.ค.-ธ.ค.'!H228+'ม.ค.-มี.ค.'!H227+'เม.ย.-มิ.ย.'!H227</f>
        <v>0</v>
      </c>
      <c r="I227" s="443">
        <f>+'ต.ค.-ธ.ค.'!I228+'ม.ค.-มี.ค.'!I227+'เม.ย.-มิ.ย.'!I227</f>
        <v>0</v>
      </c>
      <c r="J227" s="443">
        <f>+'ต.ค.-ธ.ค.'!J228+'ม.ค.-มี.ค.'!J227+'เม.ย.-มิ.ย.'!J227</f>
        <v>0</v>
      </c>
      <c r="K227" s="443">
        <f>+'ต.ค.-ธ.ค.'!K228+'ม.ค.-มี.ค.'!K227+'เม.ย.-มิ.ย.'!K227</f>
        <v>0</v>
      </c>
      <c r="L227" s="443">
        <f>+'ต.ค.-ธ.ค.'!L228+'ม.ค.-มี.ค.'!L227+'เม.ย.-มิ.ย.'!L227</f>
        <v>0</v>
      </c>
      <c r="M227" s="443">
        <f>+'ต.ค.-ธ.ค.'!M228+'ม.ค.-มี.ค.'!M227+'เม.ย.-มิ.ย.'!M227</f>
        <v>0</v>
      </c>
      <c r="N227" s="443">
        <f>+'ต.ค.-ธ.ค.'!N228+'ม.ค.-มี.ค.'!N227+'เม.ย.-มิ.ย.'!N227</f>
        <v>0</v>
      </c>
      <c r="O227" s="443">
        <f>+'ต.ค.-ธ.ค.'!O228+'ม.ค.-มี.ค.'!O227+'เม.ย.-มิ.ย.'!O227</f>
        <v>0</v>
      </c>
      <c r="P227" s="443">
        <f>+'ต.ค.-ธ.ค.'!P228+'ม.ค.-มี.ค.'!P227+'เม.ย.-มิ.ย.'!P227</f>
        <v>0</v>
      </c>
      <c r="Q227" s="443">
        <f>+'ต.ค.-ธ.ค.'!Q228+'ม.ค.-มี.ค.'!Q227+'เม.ย.-มิ.ย.'!Q227</f>
        <v>0</v>
      </c>
      <c r="R227" s="443">
        <f>+'ต.ค.-ธ.ค.'!R228+'ม.ค.-มี.ค.'!R227+'เม.ย.-มิ.ย.'!R227</f>
        <v>0</v>
      </c>
      <c r="S227" s="443">
        <f>+'ต.ค.-ธ.ค.'!S228+'ม.ค.-มี.ค.'!S227+'เม.ย.-มิ.ย.'!S227</f>
        <v>0</v>
      </c>
      <c r="T227" s="443">
        <f>+'ต.ค.-ธ.ค.'!U228+'ม.ค.-มี.ค.'!U227+'เม.ย.-มิ.ย.'!U227</f>
        <v>0</v>
      </c>
      <c r="U227" s="443">
        <f>+'ต.ค.-ธ.ค.'!V228+'ม.ค.-มี.ค.'!V227+'เม.ย.-มิ.ย.'!V227</f>
        <v>0</v>
      </c>
      <c r="W227"/>
    </row>
    <row r="228" spans="1:23" s="310" customFormat="1" ht="25.5" customHeight="1">
      <c r="A228" s="447"/>
      <c r="B228" s="394" t="s">
        <v>287</v>
      </c>
      <c r="C228" s="422">
        <v>4500</v>
      </c>
      <c r="D228" s="442"/>
      <c r="E228" s="443">
        <f>+'ต.ค.-ธ.ค.'!E229+'ม.ค.-มี.ค.'!E228+'เม.ย.-มิ.ย.'!E228</f>
        <v>0</v>
      </c>
      <c r="F228" s="443">
        <f>+'ต.ค.-ธ.ค.'!F229+'ม.ค.-มี.ค.'!F228+'เม.ย.-มิ.ย.'!F228</f>
        <v>0</v>
      </c>
      <c r="G228" s="443">
        <f>+'ต.ค.-ธ.ค.'!G229+'ม.ค.-มี.ค.'!G228+'เม.ย.-มิ.ย.'!G228</f>
        <v>0</v>
      </c>
      <c r="H228" s="443">
        <f>+'ต.ค.-ธ.ค.'!H229+'ม.ค.-มี.ค.'!H228+'เม.ย.-มิ.ย.'!H228</f>
        <v>0</v>
      </c>
      <c r="I228" s="443">
        <f>+'ต.ค.-ธ.ค.'!I229+'ม.ค.-มี.ค.'!I228+'เม.ย.-มิ.ย.'!I228</f>
        <v>0</v>
      </c>
      <c r="J228" s="443">
        <f>+'ต.ค.-ธ.ค.'!J229+'ม.ค.-มี.ค.'!J228+'เม.ย.-มิ.ย.'!J228</f>
        <v>0</v>
      </c>
      <c r="K228" s="443">
        <f>+'ต.ค.-ธ.ค.'!K229+'ม.ค.-มี.ค.'!K228+'เม.ย.-มิ.ย.'!K228</f>
        <v>0</v>
      </c>
      <c r="L228" s="443">
        <f>+'ต.ค.-ธ.ค.'!L229+'ม.ค.-มี.ค.'!L228+'เม.ย.-มิ.ย.'!L228</f>
        <v>0</v>
      </c>
      <c r="M228" s="443">
        <f>+'ต.ค.-ธ.ค.'!M229+'ม.ค.-มี.ค.'!M228+'เม.ย.-มิ.ย.'!M228</f>
        <v>0</v>
      </c>
      <c r="N228" s="443">
        <f>+'ต.ค.-ธ.ค.'!N229+'ม.ค.-มี.ค.'!N228+'เม.ย.-มิ.ย.'!N228</f>
        <v>0</v>
      </c>
      <c r="O228" s="443">
        <f>+'ต.ค.-ธ.ค.'!O229+'ม.ค.-มี.ค.'!O228+'เม.ย.-มิ.ย.'!O228</f>
        <v>0</v>
      </c>
      <c r="P228" s="443">
        <f>+'ต.ค.-ธ.ค.'!P229+'ม.ค.-มี.ค.'!P228+'เม.ย.-มิ.ย.'!P228</f>
        <v>0</v>
      </c>
      <c r="Q228" s="443">
        <f>+'ต.ค.-ธ.ค.'!Q229+'ม.ค.-มี.ค.'!Q228+'เม.ย.-มิ.ย.'!Q228</f>
        <v>0</v>
      </c>
      <c r="R228" s="443">
        <f>+'ต.ค.-ธ.ค.'!R229+'ม.ค.-มี.ค.'!R228+'เม.ย.-มิ.ย.'!R228</f>
        <v>0</v>
      </c>
      <c r="S228" s="443">
        <f>+'ต.ค.-ธ.ค.'!S229+'ม.ค.-มี.ค.'!S228+'เม.ย.-มิ.ย.'!S228</f>
        <v>0</v>
      </c>
      <c r="T228" s="443">
        <f>+'ต.ค.-ธ.ค.'!U229+'ม.ค.-มี.ค.'!U228+'เม.ย.-มิ.ย.'!U228</f>
        <v>0</v>
      </c>
      <c r="U228" s="443">
        <f>+'ต.ค.-ธ.ค.'!V229+'ม.ค.-มี.ค.'!V228+'เม.ย.-มิ.ย.'!V228</f>
        <v>0</v>
      </c>
      <c r="W228"/>
    </row>
    <row r="229" spans="1:23" s="310" customFormat="1" ht="25.5" customHeight="1">
      <c r="A229" s="447"/>
      <c r="B229" s="394" t="s">
        <v>288</v>
      </c>
      <c r="C229" s="422">
        <v>3000</v>
      </c>
      <c r="D229" s="442"/>
      <c r="E229" s="443">
        <f>+'ต.ค.-ธ.ค.'!E230+'ม.ค.-มี.ค.'!E229+'เม.ย.-มิ.ย.'!E229</f>
        <v>1600</v>
      </c>
      <c r="F229" s="443">
        <f>+'ต.ค.-ธ.ค.'!F230+'ม.ค.-มี.ค.'!F229+'เม.ย.-มิ.ย.'!F229</f>
        <v>0</v>
      </c>
      <c r="G229" s="443">
        <f>+'ต.ค.-ธ.ค.'!G230+'ม.ค.-มี.ค.'!G229+'เม.ย.-มิ.ย.'!G229</f>
        <v>0</v>
      </c>
      <c r="H229" s="443">
        <f>+'ต.ค.-ธ.ค.'!H230+'ม.ค.-มี.ค.'!H229+'เม.ย.-มิ.ย.'!H229</f>
        <v>0</v>
      </c>
      <c r="I229" s="443">
        <f>+'ต.ค.-ธ.ค.'!I230+'ม.ค.-มี.ค.'!I229+'เม.ย.-มิ.ย.'!I229</f>
        <v>0</v>
      </c>
      <c r="J229" s="443">
        <f>+'ต.ค.-ธ.ค.'!J230+'ม.ค.-มี.ค.'!J229+'เม.ย.-มิ.ย.'!J229</f>
        <v>0</v>
      </c>
      <c r="K229" s="443">
        <f>+'ต.ค.-ธ.ค.'!K230+'ม.ค.-มี.ค.'!K229+'เม.ย.-มิ.ย.'!K229</f>
        <v>0</v>
      </c>
      <c r="L229" s="443">
        <f>+'ต.ค.-ธ.ค.'!L230+'ม.ค.-มี.ค.'!L229+'เม.ย.-มิ.ย.'!L229</f>
        <v>0</v>
      </c>
      <c r="M229" s="443">
        <f>+'ต.ค.-ธ.ค.'!M230+'ม.ค.-มี.ค.'!M229+'เม.ย.-มิ.ย.'!M229</f>
        <v>0</v>
      </c>
      <c r="N229" s="443">
        <f>+'ต.ค.-ธ.ค.'!N230+'ม.ค.-มี.ค.'!N229+'เม.ย.-มิ.ย.'!N229</f>
        <v>0</v>
      </c>
      <c r="O229" s="443">
        <f>+'ต.ค.-ธ.ค.'!O230+'ม.ค.-มี.ค.'!O229+'เม.ย.-มิ.ย.'!O229</f>
        <v>0</v>
      </c>
      <c r="P229" s="443">
        <f>+'ต.ค.-ธ.ค.'!P230+'ม.ค.-มี.ค.'!P229+'เม.ย.-มิ.ย.'!P229</f>
        <v>0</v>
      </c>
      <c r="Q229" s="443">
        <f>+'ต.ค.-ธ.ค.'!Q230+'ม.ค.-มี.ค.'!Q229+'เม.ย.-มิ.ย.'!Q229</f>
        <v>0</v>
      </c>
      <c r="R229" s="443">
        <f>+'ต.ค.-ธ.ค.'!R230+'ม.ค.-มี.ค.'!R229+'เม.ย.-มิ.ย.'!R229</f>
        <v>0</v>
      </c>
      <c r="S229" s="443">
        <f>+'ต.ค.-ธ.ค.'!S230+'ม.ค.-มี.ค.'!S229+'เม.ย.-มิ.ย.'!S229</f>
        <v>0</v>
      </c>
      <c r="T229" s="443">
        <f>+'ต.ค.-ธ.ค.'!U230+'ม.ค.-มี.ค.'!U229+'เม.ย.-มิ.ย.'!U229</f>
        <v>0</v>
      </c>
      <c r="U229" s="443">
        <f>+'ต.ค.-ธ.ค.'!V230+'ม.ค.-มี.ค.'!V229+'เม.ย.-มิ.ย.'!V229</f>
        <v>0</v>
      </c>
      <c r="W229"/>
    </row>
    <row r="230" spans="1:23" s="310" customFormat="1" ht="25.5" customHeight="1">
      <c r="A230" s="447"/>
      <c r="B230" s="394" t="s">
        <v>289</v>
      </c>
      <c r="C230" s="422">
        <v>20000</v>
      </c>
      <c r="D230" s="442"/>
      <c r="E230" s="443">
        <f>+'ต.ค.-ธ.ค.'!E231+'ม.ค.-มี.ค.'!E230+'เม.ย.-มิ.ย.'!E230</f>
        <v>0</v>
      </c>
      <c r="F230" s="443">
        <f>+'ต.ค.-ธ.ค.'!F231+'ม.ค.-มี.ค.'!F230+'เม.ย.-มิ.ย.'!F230</f>
        <v>0</v>
      </c>
      <c r="G230" s="443">
        <f>+'ต.ค.-ธ.ค.'!G231+'ม.ค.-มี.ค.'!G230+'เม.ย.-มิ.ย.'!G230</f>
        <v>0</v>
      </c>
      <c r="H230" s="443">
        <f>+'ต.ค.-ธ.ค.'!H231+'ม.ค.-มี.ค.'!H230+'เม.ย.-มิ.ย.'!H230</f>
        <v>0</v>
      </c>
      <c r="I230" s="443">
        <f>+'ต.ค.-ธ.ค.'!I231+'ม.ค.-มี.ค.'!I230+'เม.ย.-มิ.ย.'!I230</f>
        <v>0</v>
      </c>
      <c r="J230" s="443">
        <f>+'ต.ค.-ธ.ค.'!J231+'ม.ค.-มี.ค.'!J230+'เม.ย.-มิ.ย.'!J230</f>
        <v>0</v>
      </c>
      <c r="K230" s="443">
        <f>+'ต.ค.-ธ.ค.'!K231+'ม.ค.-มี.ค.'!K230+'เม.ย.-มิ.ย.'!K230</f>
        <v>0</v>
      </c>
      <c r="L230" s="443">
        <f>+'ต.ค.-ธ.ค.'!L231+'ม.ค.-มี.ค.'!L230+'เม.ย.-มิ.ย.'!L230</f>
        <v>0</v>
      </c>
      <c r="M230" s="443">
        <f>+'ต.ค.-ธ.ค.'!M231+'ม.ค.-มี.ค.'!M230+'เม.ย.-มิ.ย.'!M230</f>
        <v>0</v>
      </c>
      <c r="N230" s="443">
        <f>+'ต.ค.-ธ.ค.'!N231+'ม.ค.-มี.ค.'!N230+'เม.ย.-มิ.ย.'!N230</f>
        <v>0</v>
      </c>
      <c r="O230" s="443">
        <f>+'ต.ค.-ธ.ค.'!O231+'ม.ค.-มี.ค.'!O230+'เม.ย.-มิ.ย.'!O230</f>
        <v>0</v>
      </c>
      <c r="P230" s="443">
        <f>+'ต.ค.-ธ.ค.'!P231+'ม.ค.-มี.ค.'!P230+'เม.ย.-มิ.ย.'!P230</f>
        <v>0</v>
      </c>
      <c r="Q230" s="443">
        <f>+'ต.ค.-ธ.ค.'!Q231+'ม.ค.-มี.ค.'!Q230+'เม.ย.-มิ.ย.'!Q230</f>
        <v>0</v>
      </c>
      <c r="R230" s="443">
        <f>+'ต.ค.-ธ.ค.'!R231+'ม.ค.-มี.ค.'!R230+'เม.ย.-มิ.ย.'!R230</f>
        <v>0</v>
      </c>
      <c r="S230" s="443">
        <f>+'ต.ค.-ธ.ค.'!S231+'ม.ค.-มี.ค.'!S230+'เม.ย.-มิ.ย.'!S230</f>
        <v>0</v>
      </c>
      <c r="T230" s="443">
        <f>+'ต.ค.-ธ.ค.'!U231+'ม.ค.-มี.ค.'!U230+'เม.ย.-มิ.ย.'!U230</f>
        <v>0</v>
      </c>
      <c r="U230" s="443">
        <f>+'ต.ค.-ธ.ค.'!V231+'ม.ค.-มี.ค.'!V230+'เม.ย.-มิ.ย.'!V230</f>
        <v>0</v>
      </c>
      <c r="W230"/>
    </row>
    <row r="231" spans="1:23" s="310" customFormat="1" ht="25.5" customHeight="1">
      <c r="A231" s="447"/>
      <c r="B231" s="394" t="s">
        <v>290</v>
      </c>
      <c r="C231" s="423">
        <f>5500+5500</f>
        <v>11000</v>
      </c>
      <c r="D231" s="442"/>
      <c r="E231" s="443">
        <f>+'ต.ค.-ธ.ค.'!E232+'ม.ค.-มี.ค.'!E231+'เม.ย.-มิ.ย.'!E231</f>
        <v>0</v>
      </c>
      <c r="F231" s="443">
        <f>+'ต.ค.-ธ.ค.'!F232+'ม.ค.-มี.ค.'!F231+'เม.ย.-มิ.ย.'!F231</f>
        <v>0</v>
      </c>
      <c r="G231" s="443">
        <f>+'ต.ค.-ธ.ค.'!G232+'ม.ค.-มี.ค.'!G231+'เม.ย.-มิ.ย.'!G231</f>
        <v>0</v>
      </c>
      <c r="H231" s="443">
        <f>+'ต.ค.-ธ.ค.'!H232+'ม.ค.-มี.ค.'!H231+'เม.ย.-มิ.ย.'!H231</f>
        <v>0</v>
      </c>
      <c r="I231" s="443">
        <f>+'ต.ค.-ธ.ค.'!I232+'ม.ค.-มี.ค.'!I231+'เม.ย.-มิ.ย.'!I231</f>
        <v>0</v>
      </c>
      <c r="J231" s="443">
        <f>+'ต.ค.-ธ.ค.'!J232+'ม.ค.-มี.ค.'!J231+'เม.ย.-มิ.ย.'!J231</f>
        <v>0</v>
      </c>
      <c r="K231" s="443">
        <f>+'ต.ค.-ธ.ค.'!K232+'ม.ค.-มี.ค.'!K231+'เม.ย.-มิ.ย.'!K231</f>
        <v>0</v>
      </c>
      <c r="L231" s="443">
        <f>+'ต.ค.-ธ.ค.'!L232+'ม.ค.-มี.ค.'!L231+'เม.ย.-มิ.ย.'!L231</f>
        <v>0</v>
      </c>
      <c r="M231" s="443">
        <f>+'ต.ค.-ธ.ค.'!M232+'ม.ค.-มี.ค.'!M231+'เม.ย.-มิ.ย.'!M231</f>
        <v>0</v>
      </c>
      <c r="N231" s="443">
        <f>+'ต.ค.-ธ.ค.'!N232+'ม.ค.-มี.ค.'!N231+'เม.ย.-มิ.ย.'!N231</f>
        <v>0</v>
      </c>
      <c r="O231" s="443">
        <f>+'ต.ค.-ธ.ค.'!O232+'ม.ค.-มี.ค.'!O231+'เม.ย.-มิ.ย.'!O231</f>
        <v>0</v>
      </c>
      <c r="P231" s="443">
        <f>+'ต.ค.-ธ.ค.'!P232+'ม.ค.-มี.ค.'!P231+'เม.ย.-มิ.ย.'!P231</f>
        <v>0</v>
      </c>
      <c r="Q231" s="443">
        <f>+'ต.ค.-ธ.ค.'!Q232+'ม.ค.-มี.ค.'!Q231+'เม.ย.-มิ.ย.'!Q231</f>
        <v>0</v>
      </c>
      <c r="R231" s="443">
        <f>+'ต.ค.-ธ.ค.'!R232+'ม.ค.-มี.ค.'!R231+'เม.ย.-มิ.ย.'!R231</f>
        <v>0</v>
      </c>
      <c r="S231" s="443">
        <f>+'ต.ค.-ธ.ค.'!S232+'ม.ค.-มี.ค.'!S231+'เม.ย.-มิ.ย.'!S231</f>
        <v>0</v>
      </c>
      <c r="T231" s="443">
        <f>+'ต.ค.-ธ.ค.'!U232+'ม.ค.-มี.ค.'!U231+'เม.ย.-มิ.ย.'!U231</f>
        <v>0</v>
      </c>
      <c r="U231" s="443">
        <f>+'ต.ค.-ธ.ค.'!V232+'ม.ค.-มี.ค.'!V231+'เม.ย.-มิ.ย.'!V231</f>
        <v>0</v>
      </c>
      <c r="W231"/>
    </row>
    <row r="232" spans="1:23" s="310" customFormat="1" ht="25.5" customHeight="1">
      <c r="A232" s="447"/>
      <c r="B232" s="394" t="s">
        <v>305</v>
      </c>
      <c r="C232" s="423">
        <v>16000</v>
      </c>
      <c r="D232" s="442"/>
      <c r="E232" s="443">
        <f>+'ต.ค.-ธ.ค.'!E233+'ม.ค.-มี.ค.'!E232+'เม.ย.-มิ.ย.'!E232</f>
        <v>0</v>
      </c>
      <c r="F232" s="443">
        <f>+'ต.ค.-ธ.ค.'!F233+'ม.ค.-มี.ค.'!F232+'เม.ย.-มิ.ย.'!F232</f>
        <v>0</v>
      </c>
      <c r="G232" s="443">
        <f>+'ต.ค.-ธ.ค.'!G233+'ม.ค.-มี.ค.'!G232+'เม.ย.-มิ.ย.'!G232</f>
        <v>0</v>
      </c>
      <c r="H232" s="443">
        <f>+'ต.ค.-ธ.ค.'!H233+'ม.ค.-มี.ค.'!H232+'เม.ย.-มิ.ย.'!H232</f>
        <v>0</v>
      </c>
      <c r="I232" s="443">
        <f>+'ต.ค.-ธ.ค.'!I233+'ม.ค.-มี.ค.'!I232+'เม.ย.-มิ.ย.'!I232</f>
        <v>0</v>
      </c>
      <c r="J232" s="443">
        <f>+'ต.ค.-ธ.ค.'!J233+'ม.ค.-มี.ค.'!J232+'เม.ย.-มิ.ย.'!J232</f>
        <v>0</v>
      </c>
      <c r="K232" s="443">
        <f>+'ต.ค.-ธ.ค.'!K233+'ม.ค.-มี.ค.'!K232+'เม.ย.-มิ.ย.'!K232</f>
        <v>0</v>
      </c>
      <c r="L232" s="443">
        <f>+'ต.ค.-ธ.ค.'!L233+'ม.ค.-มี.ค.'!L232+'เม.ย.-มิ.ย.'!L232</f>
        <v>0</v>
      </c>
      <c r="M232" s="443">
        <f>+'ต.ค.-ธ.ค.'!M233+'ม.ค.-มี.ค.'!M232+'เม.ย.-มิ.ย.'!M232</f>
        <v>0</v>
      </c>
      <c r="N232" s="443">
        <f>+'ต.ค.-ธ.ค.'!N233+'ม.ค.-มี.ค.'!N232+'เม.ย.-มิ.ย.'!N232</f>
        <v>0</v>
      </c>
      <c r="O232" s="443">
        <f>+'ต.ค.-ธ.ค.'!O233+'ม.ค.-มี.ค.'!O232+'เม.ย.-มิ.ย.'!O232</f>
        <v>0</v>
      </c>
      <c r="P232" s="443">
        <f>+'ต.ค.-ธ.ค.'!P233+'ม.ค.-มี.ค.'!P232+'เม.ย.-มิ.ย.'!P232</f>
        <v>0</v>
      </c>
      <c r="Q232" s="443">
        <f>+'ต.ค.-ธ.ค.'!Q233+'ม.ค.-มี.ค.'!Q232+'เม.ย.-มิ.ย.'!Q232</f>
        <v>0</v>
      </c>
      <c r="R232" s="443">
        <f>+'ต.ค.-ธ.ค.'!R233+'ม.ค.-มี.ค.'!R232+'เม.ย.-มิ.ย.'!R232</f>
        <v>0</v>
      </c>
      <c r="S232" s="443">
        <f>+'ต.ค.-ธ.ค.'!S233+'ม.ค.-มี.ค.'!S232+'เม.ย.-มิ.ย.'!S232</f>
        <v>0</v>
      </c>
      <c r="T232" s="443">
        <f>+'ต.ค.-ธ.ค.'!U233+'ม.ค.-มี.ค.'!U232+'เม.ย.-มิ.ย.'!U232</f>
        <v>0</v>
      </c>
      <c r="U232" s="443">
        <f>+'ต.ค.-ธ.ค.'!V233+'ม.ค.-มี.ค.'!V232+'เม.ย.-มิ.ย.'!V232</f>
        <v>0</v>
      </c>
      <c r="W232"/>
    </row>
    <row r="233" spans="1:23" s="310" customFormat="1" ht="25.5" customHeight="1">
      <c r="A233" s="447"/>
      <c r="B233" s="394" t="s">
        <v>334</v>
      </c>
      <c r="C233" s="423">
        <v>4500</v>
      </c>
      <c r="D233" s="442"/>
      <c r="E233" s="443">
        <f>+'ต.ค.-ธ.ค.'!E234+'ม.ค.-มี.ค.'!E233+'เม.ย.-มิ.ย.'!E233</f>
        <v>0</v>
      </c>
      <c r="F233" s="443">
        <f>+'ต.ค.-ธ.ค.'!F234+'ม.ค.-มี.ค.'!F233+'เม.ย.-มิ.ย.'!F233</f>
        <v>0</v>
      </c>
      <c r="G233" s="443">
        <f>+'ต.ค.-ธ.ค.'!G234+'ม.ค.-มี.ค.'!G233+'เม.ย.-มิ.ย.'!G233</f>
        <v>0</v>
      </c>
      <c r="H233" s="443">
        <f>+'ต.ค.-ธ.ค.'!H234+'ม.ค.-มี.ค.'!H233+'เม.ย.-มิ.ย.'!H233</f>
        <v>0</v>
      </c>
      <c r="I233" s="443">
        <f>+'ต.ค.-ธ.ค.'!I234+'ม.ค.-มี.ค.'!I233+'เม.ย.-มิ.ย.'!I233</f>
        <v>0</v>
      </c>
      <c r="J233" s="443">
        <f>+'ต.ค.-ธ.ค.'!J234+'ม.ค.-มี.ค.'!J233+'เม.ย.-มิ.ย.'!J233</f>
        <v>0</v>
      </c>
      <c r="K233" s="443">
        <f>+'ต.ค.-ธ.ค.'!K234+'ม.ค.-มี.ค.'!K233+'เม.ย.-มิ.ย.'!K233</f>
        <v>0</v>
      </c>
      <c r="L233" s="443">
        <f>+'ต.ค.-ธ.ค.'!L234+'ม.ค.-มี.ค.'!L233+'เม.ย.-มิ.ย.'!L233</f>
        <v>0</v>
      </c>
      <c r="M233" s="443">
        <f>+'ต.ค.-ธ.ค.'!M234+'ม.ค.-มี.ค.'!M233+'เม.ย.-มิ.ย.'!M233</f>
        <v>0</v>
      </c>
      <c r="N233" s="443">
        <f>+'ต.ค.-ธ.ค.'!N234+'ม.ค.-มี.ค.'!N233+'เม.ย.-มิ.ย.'!N233</f>
        <v>0</v>
      </c>
      <c r="O233" s="443">
        <f>+'ต.ค.-ธ.ค.'!O234+'ม.ค.-มี.ค.'!O233+'เม.ย.-มิ.ย.'!O233</f>
        <v>0</v>
      </c>
      <c r="P233" s="443">
        <f>+'ต.ค.-ธ.ค.'!P234+'ม.ค.-มี.ค.'!P233+'เม.ย.-มิ.ย.'!P233</f>
        <v>0</v>
      </c>
      <c r="Q233" s="443">
        <f>+'ต.ค.-ธ.ค.'!Q234+'ม.ค.-มี.ค.'!Q233+'เม.ย.-มิ.ย.'!Q233</f>
        <v>0</v>
      </c>
      <c r="R233" s="443">
        <f>+'ต.ค.-ธ.ค.'!R234+'ม.ค.-มี.ค.'!R233+'เม.ย.-มิ.ย.'!R233</f>
        <v>0</v>
      </c>
      <c r="S233" s="443">
        <f>+'ต.ค.-ธ.ค.'!S234+'ม.ค.-มี.ค.'!S233+'เม.ย.-มิ.ย.'!S233</f>
        <v>0</v>
      </c>
      <c r="T233" s="443">
        <f>+'ต.ค.-ธ.ค.'!U234+'ม.ค.-มี.ค.'!U233+'เม.ย.-มิ.ย.'!U233</f>
        <v>0</v>
      </c>
      <c r="U233" s="443">
        <f>+'ต.ค.-ธ.ค.'!V234+'ม.ค.-มี.ค.'!V233+'เม.ย.-มิ.ย.'!V233</f>
        <v>0</v>
      </c>
      <c r="W233"/>
    </row>
    <row r="234" spans="1:23" s="310" customFormat="1" ht="25.5" customHeight="1">
      <c r="A234" s="447"/>
      <c r="B234" s="394" t="s">
        <v>335</v>
      </c>
      <c r="C234" s="423">
        <v>4500</v>
      </c>
      <c r="D234" s="442"/>
      <c r="E234" s="443">
        <f>+'ต.ค.-ธ.ค.'!E235+'ม.ค.-มี.ค.'!E234+'เม.ย.-มิ.ย.'!E234</f>
        <v>0</v>
      </c>
      <c r="F234" s="443">
        <f>+'ต.ค.-ธ.ค.'!F235+'ม.ค.-มี.ค.'!F234+'เม.ย.-มิ.ย.'!F234</f>
        <v>0</v>
      </c>
      <c r="G234" s="443">
        <f>+'ต.ค.-ธ.ค.'!G235+'ม.ค.-มี.ค.'!G234+'เม.ย.-มิ.ย.'!G234</f>
        <v>0</v>
      </c>
      <c r="H234" s="443">
        <f>+'ต.ค.-ธ.ค.'!H235+'ม.ค.-มี.ค.'!H234+'เม.ย.-มิ.ย.'!H234</f>
        <v>0</v>
      </c>
      <c r="I234" s="443">
        <f>+'ต.ค.-ธ.ค.'!I235+'ม.ค.-มี.ค.'!I234+'เม.ย.-มิ.ย.'!I234</f>
        <v>0</v>
      </c>
      <c r="J234" s="443">
        <f>+'ต.ค.-ธ.ค.'!J235+'ม.ค.-มี.ค.'!J234+'เม.ย.-มิ.ย.'!J234</f>
        <v>0</v>
      </c>
      <c r="K234" s="443">
        <f>+'ต.ค.-ธ.ค.'!K235+'ม.ค.-มี.ค.'!K234+'เม.ย.-มิ.ย.'!K234</f>
        <v>0</v>
      </c>
      <c r="L234" s="443">
        <f>+'ต.ค.-ธ.ค.'!L235+'ม.ค.-มี.ค.'!L234+'เม.ย.-มิ.ย.'!L234</f>
        <v>0</v>
      </c>
      <c r="M234" s="443">
        <f>+'ต.ค.-ธ.ค.'!M235+'ม.ค.-มี.ค.'!M234+'เม.ย.-มิ.ย.'!M234</f>
        <v>0</v>
      </c>
      <c r="N234" s="443">
        <f>+'ต.ค.-ธ.ค.'!N235+'ม.ค.-มี.ค.'!N234+'เม.ย.-มิ.ย.'!N234</f>
        <v>0</v>
      </c>
      <c r="O234" s="443">
        <f>+'ต.ค.-ธ.ค.'!O235+'ม.ค.-มี.ค.'!O234+'เม.ย.-มิ.ย.'!O234</f>
        <v>0</v>
      </c>
      <c r="P234" s="443">
        <f>+'ต.ค.-ธ.ค.'!P235+'ม.ค.-มี.ค.'!P234+'เม.ย.-มิ.ย.'!P234</f>
        <v>0</v>
      </c>
      <c r="Q234" s="443">
        <f>+'ต.ค.-ธ.ค.'!Q235+'ม.ค.-มี.ค.'!Q234+'เม.ย.-มิ.ย.'!Q234</f>
        <v>0</v>
      </c>
      <c r="R234" s="443">
        <f>+'ต.ค.-ธ.ค.'!R235+'ม.ค.-มี.ค.'!R234+'เม.ย.-มิ.ย.'!R234</f>
        <v>0</v>
      </c>
      <c r="S234" s="443">
        <f>+'ต.ค.-ธ.ค.'!S235+'ม.ค.-มี.ค.'!S234+'เม.ย.-มิ.ย.'!S234</f>
        <v>0</v>
      </c>
      <c r="T234" s="443">
        <f>+'ต.ค.-ธ.ค.'!U235+'ม.ค.-มี.ค.'!U234+'เม.ย.-มิ.ย.'!U234</f>
        <v>0</v>
      </c>
      <c r="U234" s="443">
        <f>+'ต.ค.-ธ.ค.'!V235+'ม.ค.-มี.ค.'!V234+'เม.ย.-มิ.ย.'!V234</f>
        <v>0</v>
      </c>
      <c r="W234"/>
    </row>
    <row r="235" spans="1:23" s="312" customFormat="1" ht="25.5" customHeight="1" thickBot="1">
      <c r="A235" s="447"/>
      <c r="B235" s="403"/>
      <c r="C235" s="424"/>
      <c r="D235" s="457">
        <f>SUM(D227:D234)</f>
        <v>0</v>
      </c>
      <c r="E235" s="457">
        <f>SUM(E227:E234)</f>
        <v>1600</v>
      </c>
      <c r="F235" s="457">
        <f t="shared" ref="F235:U235" si="8">SUM(F227:F234)</f>
        <v>0</v>
      </c>
      <c r="G235" s="457">
        <f t="shared" si="8"/>
        <v>0</v>
      </c>
      <c r="H235" s="457">
        <f t="shared" si="8"/>
        <v>0</v>
      </c>
      <c r="I235" s="457">
        <f t="shared" si="8"/>
        <v>0</v>
      </c>
      <c r="J235" s="457">
        <f t="shared" si="8"/>
        <v>0</v>
      </c>
      <c r="K235" s="457">
        <f t="shared" si="8"/>
        <v>0</v>
      </c>
      <c r="L235" s="457">
        <f t="shared" si="8"/>
        <v>0</v>
      </c>
      <c r="M235" s="457">
        <f t="shared" si="8"/>
        <v>0</v>
      </c>
      <c r="N235" s="457">
        <f t="shared" si="8"/>
        <v>0</v>
      </c>
      <c r="O235" s="457">
        <f t="shared" si="8"/>
        <v>0</v>
      </c>
      <c r="P235" s="457">
        <f t="shared" si="8"/>
        <v>0</v>
      </c>
      <c r="Q235" s="457">
        <f t="shared" si="8"/>
        <v>0</v>
      </c>
      <c r="R235" s="457">
        <f t="shared" si="8"/>
        <v>0</v>
      </c>
      <c r="S235" s="457">
        <f t="shared" si="8"/>
        <v>0</v>
      </c>
      <c r="T235" s="457">
        <f t="shared" si="8"/>
        <v>0</v>
      </c>
      <c r="U235" s="457">
        <f t="shared" si="8"/>
        <v>0</v>
      </c>
      <c r="W235" s="172"/>
    </row>
    <row r="236" spans="1:23" s="310" customFormat="1" ht="25.5" customHeight="1" thickTop="1">
      <c r="A236" s="447"/>
      <c r="B236" s="393" t="s">
        <v>292</v>
      </c>
      <c r="C236" s="423"/>
      <c r="D236" s="458"/>
      <c r="E236" s="459"/>
      <c r="F236" s="459"/>
      <c r="G236" s="459"/>
      <c r="H236" s="459"/>
      <c r="I236" s="459"/>
      <c r="J236" s="459"/>
      <c r="K236" s="459"/>
      <c r="L236" s="459"/>
      <c r="M236" s="459"/>
      <c r="N236" s="459"/>
      <c r="O236" s="459"/>
      <c r="P236" s="459"/>
      <c r="Q236" s="459"/>
      <c r="R236" s="459"/>
      <c r="S236" s="459"/>
      <c r="T236" s="459"/>
      <c r="U236" s="459"/>
      <c r="W236"/>
    </row>
    <row r="237" spans="1:23" s="310" customFormat="1" ht="25.5" customHeight="1">
      <c r="A237" s="447"/>
      <c r="B237" s="394" t="s">
        <v>293</v>
      </c>
      <c r="C237" s="423">
        <v>32000</v>
      </c>
      <c r="D237" s="442"/>
      <c r="E237" s="443">
        <f>+'ต.ค.-ธ.ค.'!E238+'ม.ค.-มี.ค.'!E237+'เม.ย.-มิ.ย.'!E237</f>
        <v>0</v>
      </c>
      <c r="F237" s="443">
        <f>+'ต.ค.-ธ.ค.'!F238+'ม.ค.-มี.ค.'!F237+'เม.ย.-มิ.ย.'!F237</f>
        <v>0</v>
      </c>
      <c r="G237" s="443">
        <f>+'ต.ค.-ธ.ค.'!G238+'ม.ค.-มี.ค.'!G237+'เม.ย.-มิ.ย.'!G237</f>
        <v>0</v>
      </c>
      <c r="H237" s="443">
        <f>+'ต.ค.-ธ.ค.'!H238+'ม.ค.-มี.ค.'!H237+'เม.ย.-มิ.ย.'!H237</f>
        <v>0</v>
      </c>
      <c r="I237" s="443">
        <f>+'ต.ค.-ธ.ค.'!I238+'ม.ค.-มี.ค.'!I237+'เม.ย.-มิ.ย.'!I237</f>
        <v>0</v>
      </c>
      <c r="J237" s="443">
        <f>+'ต.ค.-ธ.ค.'!J238+'ม.ค.-มี.ค.'!J237+'เม.ย.-มิ.ย.'!J237</f>
        <v>0</v>
      </c>
      <c r="K237" s="443">
        <f>+'ต.ค.-ธ.ค.'!K238+'ม.ค.-มี.ค.'!K237+'เม.ย.-มิ.ย.'!K237</f>
        <v>0</v>
      </c>
      <c r="L237" s="443">
        <f>+'ต.ค.-ธ.ค.'!L238+'ม.ค.-มี.ค.'!L237+'เม.ย.-มิ.ย.'!L237</f>
        <v>0</v>
      </c>
      <c r="M237" s="443">
        <f>+'ต.ค.-ธ.ค.'!M238+'ม.ค.-มี.ค.'!M237+'เม.ย.-มิ.ย.'!M237</f>
        <v>0</v>
      </c>
      <c r="N237" s="443">
        <f>+'ต.ค.-ธ.ค.'!N238+'ม.ค.-มี.ค.'!N237+'เม.ย.-มิ.ย.'!N237</f>
        <v>0</v>
      </c>
      <c r="O237" s="443">
        <f>+'ต.ค.-ธ.ค.'!O238+'ม.ค.-มี.ค.'!O237+'เม.ย.-มิ.ย.'!O237</f>
        <v>0</v>
      </c>
      <c r="P237" s="443">
        <f>+'ต.ค.-ธ.ค.'!P238+'ม.ค.-มี.ค.'!P237+'เม.ย.-มิ.ย.'!P237</f>
        <v>0</v>
      </c>
      <c r="Q237" s="443">
        <f>+'ต.ค.-ธ.ค.'!Q238+'ม.ค.-มี.ค.'!Q237+'เม.ย.-มิ.ย.'!Q237</f>
        <v>0</v>
      </c>
      <c r="R237" s="443">
        <f>+'ต.ค.-ธ.ค.'!R238+'ม.ค.-มี.ค.'!R237+'เม.ย.-มิ.ย.'!R237</f>
        <v>0</v>
      </c>
      <c r="S237" s="443">
        <f>+'ต.ค.-ธ.ค.'!S238+'ม.ค.-มี.ค.'!S237+'เม.ย.-มิ.ย.'!S237</f>
        <v>0</v>
      </c>
      <c r="T237" s="443">
        <f>+'ต.ค.-ธ.ค.'!U238+'ม.ค.-มี.ค.'!U237+'เม.ย.-มิ.ย.'!U237</f>
        <v>0</v>
      </c>
      <c r="U237" s="443">
        <f>+'ต.ค.-ธ.ค.'!V238+'ม.ค.-มี.ค.'!V237+'เม.ย.-มิ.ย.'!V237</f>
        <v>0</v>
      </c>
      <c r="W237"/>
    </row>
    <row r="238" spans="1:23" s="310" customFormat="1" ht="25.5" customHeight="1">
      <c r="A238" s="447"/>
      <c r="B238" s="394" t="s">
        <v>125</v>
      </c>
      <c r="C238" s="423">
        <f>2800+2800+2300</f>
        <v>7900</v>
      </c>
      <c r="D238" s="442"/>
      <c r="E238" s="443">
        <f>+'ต.ค.-ธ.ค.'!E239+'ม.ค.-มี.ค.'!E238+'เม.ย.-มิ.ย.'!E238</f>
        <v>0</v>
      </c>
      <c r="F238" s="443">
        <f>+'ต.ค.-ธ.ค.'!F239+'ม.ค.-มี.ค.'!F238+'เม.ย.-มิ.ย.'!F238</f>
        <v>2800</v>
      </c>
      <c r="G238" s="443">
        <f>+'ต.ค.-ธ.ค.'!G239+'ม.ค.-มี.ค.'!G238+'เม.ย.-มิ.ย.'!G238</f>
        <v>0</v>
      </c>
      <c r="H238" s="443">
        <f>+'ต.ค.-ธ.ค.'!H239+'ม.ค.-มี.ค.'!H238+'เม.ย.-มิ.ย.'!H238</f>
        <v>2300</v>
      </c>
      <c r="I238" s="443">
        <f>+'ต.ค.-ธ.ค.'!I239+'ม.ค.-มี.ค.'!I238+'เม.ย.-มิ.ย.'!I238</f>
        <v>0</v>
      </c>
      <c r="J238" s="443">
        <f>+'ต.ค.-ธ.ค.'!J239+'ม.ค.-มี.ค.'!J238+'เม.ย.-มิ.ย.'!J238</f>
        <v>0</v>
      </c>
      <c r="K238" s="443">
        <f>+'ต.ค.-ธ.ค.'!K239+'ม.ค.-มี.ค.'!K238+'เม.ย.-มิ.ย.'!K238</f>
        <v>0</v>
      </c>
      <c r="L238" s="443">
        <f>+'ต.ค.-ธ.ค.'!L239+'ม.ค.-มี.ค.'!L238+'เม.ย.-มิ.ย.'!L238</f>
        <v>0</v>
      </c>
      <c r="M238" s="443">
        <f>+'ต.ค.-ธ.ค.'!M239+'ม.ค.-มี.ค.'!M238+'เม.ย.-มิ.ย.'!M238</f>
        <v>0</v>
      </c>
      <c r="N238" s="443">
        <f>+'ต.ค.-ธ.ค.'!N239+'ม.ค.-มี.ค.'!N238+'เม.ย.-มิ.ย.'!N238</f>
        <v>0</v>
      </c>
      <c r="O238" s="443">
        <f>+'ต.ค.-ธ.ค.'!O239+'ม.ค.-มี.ค.'!O238+'เม.ย.-มิ.ย.'!O238</f>
        <v>0</v>
      </c>
      <c r="P238" s="443">
        <f>+'ต.ค.-ธ.ค.'!P239+'ม.ค.-มี.ค.'!P238+'เม.ย.-มิ.ย.'!P238</f>
        <v>0</v>
      </c>
      <c r="Q238" s="443">
        <f>+'ต.ค.-ธ.ค.'!Q239+'ม.ค.-มี.ค.'!Q238+'เม.ย.-มิ.ย.'!Q238</f>
        <v>0</v>
      </c>
      <c r="R238" s="443">
        <f>+'ต.ค.-ธ.ค.'!R239+'ม.ค.-มี.ค.'!R238+'เม.ย.-มิ.ย.'!R238</f>
        <v>0</v>
      </c>
      <c r="S238" s="443">
        <f>+'ต.ค.-ธ.ค.'!S239+'ม.ค.-มี.ค.'!S238+'เม.ย.-มิ.ย.'!S238</f>
        <v>0</v>
      </c>
      <c r="T238" s="443">
        <f>+'ต.ค.-ธ.ค.'!U239+'ม.ค.-มี.ค.'!U238+'เม.ย.-มิ.ย.'!U238</f>
        <v>0</v>
      </c>
      <c r="U238" s="443">
        <f>+'ต.ค.-ธ.ค.'!V239+'ม.ค.-มี.ค.'!V238+'เม.ย.-มิ.ย.'!V238</f>
        <v>0</v>
      </c>
      <c r="W238"/>
    </row>
    <row r="239" spans="1:23" s="310" customFormat="1" ht="25.5" customHeight="1">
      <c r="A239" s="447"/>
      <c r="B239" s="394" t="s">
        <v>294</v>
      </c>
      <c r="C239" s="423">
        <v>21000</v>
      </c>
      <c r="D239" s="442"/>
      <c r="E239" s="443">
        <f>+'ต.ค.-ธ.ค.'!E240+'ม.ค.-มี.ค.'!E239+'เม.ย.-มิ.ย.'!E239</f>
        <v>0</v>
      </c>
      <c r="F239" s="443">
        <f>+'ต.ค.-ธ.ค.'!F240+'ม.ค.-มี.ค.'!F239+'เม.ย.-มิ.ย.'!F239</f>
        <v>21000</v>
      </c>
      <c r="G239" s="443">
        <f>+'ต.ค.-ธ.ค.'!G240+'ม.ค.-มี.ค.'!G239+'เม.ย.-มิ.ย.'!G239</f>
        <v>0</v>
      </c>
      <c r="H239" s="443">
        <f>+'ต.ค.-ธ.ค.'!H240+'ม.ค.-มี.ค.'!H239+'เม.ย.-มิ.ย.'!H239</f>
        <v>0</v>
      </c>
      <c r="I239" s="443">
        <f>+'ต.ค.-ธ.ค.'!I240+'ม.ค.-มี.ค.'!I239+'เม.ย.-มิ.ย.'!I239</f>
        <v>0</v>
      </c>
      <c r="J239" s="443">
        <f>+'ต.ค.-ธ.ค.'!J240+'ม.ค.-มี.ค.'!J239+'เม.ย.-มิ.ย.'!J239</f>
        <v>0</v>
      </c>
      <c r="K239" s="443">
        <f>+'ต.ค.-ธ.ค.'!K240+'ม.ค.-มี.ค.'!K239+'เม.ย.-มิ.ย.'!K239</f>
        <v>0</v>
      </c>
      <c r="L239" s="443">
        <f>+'ต.ค.-ธ.ค.'!L240+'ม.ค.-มี.ค.'!L239+'เม.ย.-มิ.ย.'!L239</f>
        <v>0</v>
      </c>
      <c r="M239" s="443">
        <f>+'ต.ค.-ธ.ค.'!M240+'ม.ค.-มี.ค.'!M239+'เม.ย.-มิ.ย.'!M239</f>
        <v>0</v>
      </c>
      <c r="N239" s="443">
        <f>+'ต.ค.-ธ.ค.'!N240+'ม.ค.-มี.ค.'!N239+'เม.ย.-มิ.ย.'!N239</f>
        <v>0</v>
      </c>
      <c r="O239" s="443">
        <f>+'ต.ค.-ธ.ค.'!O240+'ม.ค.-มี.ค.'!O239+'เม.ย.-มิ.ย.'!O239</f>
        <v>0</v>
      </c>
      <c r="P239" s="443">
        <f>+'ต.ค.-ธ.ค.'!P240+'ม.ค.-มี.ค.'!P239+'เม.ย.-มิ.ย.'!P239</f>
        <v>0</v>
      </c>
      <c r="Q239" s="443">
        <f>+'ต.ค.-ธ.ค.'!Q240+'ม.ค.-มี.ค.'!Q239+'เม.ย.-มิ.ย.'!Q239</f>
        <v>0</v>
      </c>
      <c r="R239" s="443">
        <f>+'ต.ค.-ธ.ค.'!R240+'ม.ค.-มี.ค.'!R239+'เม.ย.-มิ.ย.'!R239</f>
        <v>0</v>
      </c>
      <c r="S239" s="443">
        <f>+'ต.ค.-ธ.ค.'!S240+'ม.ค.-มี.ค.'!S239+'เม.ย.-มิ.ย.'!S239</f>
        <v>0</v>
      </c>
      <c r="T239" s="443">
        <f>+'ต.ค.-ธ.ค.'!U240+'ม.ค.-มี.ค.'!U239+'เม.ย.-มิ.ย.'!U239</f>
        <v>0</v>
      </c>
      <c r="U239" s="443">
        <f>+'ต.ค.-ธ.ค.'!V240+'ม.ค.-มี.ค.'!V239+'เม.ย.-มิ.ย.'!V239</f>
        <v>0</v>
      </c>
      <c r="W239"/>
    </row>
    <row r="240" spans="1:23" s="310" customFormat="1" ht="25.5" customHeight="1">
      <c r="A240" s="447"/>
      <c r="B240" s="394" t="s">
        <v>293</v>
      </c>
      <c r="C240" s="423">
        <v>16000</v>
      </c>
      <c r="D240" s="442"/>
      <c r="E240" s="443">
        <f>+'ต.ค.-ธ.ค.'!E241+'ม.ค.-มี.ค.'!E240+'เม.ย.-มิ.ย.'!E240</f>
        <v>0</v>
      </c>
      <c r="F240" s="443">
        <f>+'ต.ค.-ธ.ค.'!F241+'ม.ค.-มี.ค.'!F240+'เม.ย.-มิ.ย.'!F240</f>
        <v>0</v>
      </c>
      <c r="G240" s="443">
        <f>+'ต.ค.-ธ.ค.'!G241+'ม.ค.-มี.ค.'!G240+'เม.ย.-มิ.ย.'!G240</f>
        <v>0</v>
      </c>
      <c r="H240" s="443">
        <f>+'ต.ค.-ธ.ค.'!H241+'ม.ค.-มี.ค.'!H240+'เม.ย.-มิ.ย.'!H240</f>
        <v>16000</v>
      </c>
      <c r="I240" s="443">
        <f>+'ต.ค.-ธ.ค.'!I241+'ม.ค.-มี.ค.'!I240+'เม.ย.-มิ.ย.'!I240</f>
        <v>0</v>
      </c>
      <c r="J240" s="443">
        <f>+'ต.ค.-ธ.ค.'!J241+'ม.ค.-มี.ค.'!J240+'เม.ย.-มิ.ย.'!J240</f>
        <v>0</v>
      </c>
      <c r="K240" s="443">
        <f>+'ต.ค.-ธ.ค.'!K241+'ม.ค.-มี.ค.'!K240+'เม.ย.-มิ.ย.'!K240</f>
        <v>0</v>
      </c>
      <c r="L240" s="443">
        <f>+'ต.ค.-ธ.ค.'!L241+'ม.ค.-มี.ค.'!L240+'เม.ย.-มิ.ย.'!L240</f>
        <v>0</v>
      </c>
      <c r="M240" s="443">
        <f>+'ต.ค.-ธ.ค.'!M241+'ม.ค.-มี.ค.'!M240+'เม.ย.-มิ.ย.'!M240</f>
        <v>0</v>
      </c>
      <c r="N240" s="443">
        <f>+'ต.ค.-ธ.ค.'!N241+'ม.ค.-มี.ค.'!N240+'เม.ย.-มิ.ย.'!N240</f>
        <v>0</v>
      </c>
      <c r="O240" s="443">
        <f>+'ต.ค.-ธ.ค.'!O241+'ม.ค.-มี.ค.'!O240+'เม.ย.-มิ.ย.'!O240</f>
        <v>0</v>
      </c>
      <c r="P240" s="443">
        <f>+'ต.ค.-ธ.ค.'!P241+'ม.ค.-มี.ค.'!P240+'เม.ย.-มิ.ย.'!P240</f>
        <v>0</v>
      </c>
      <c r="Q240" s="443">
        <f>+'ต.ค.-ธ.ค.'!Q241+'ม.ค.-มี.ค.'!Q240+'เม.ย.-มิ.ย.'!Q240</f>
        <v>0</v>
      </c>
      <c r="R240" s="443">
        <f>+'ต.ค.-ธ.ค.'!R241+'ม.ค.-มี.ค.'!R240+'เม.ย.-มิ.ย.'!R240</f>
        <v>0</v>
      </c>
      <c r="S240" s="443">
        <f>+'ต.ค.-ธ.ค.'!S241+'ม.ค.-มี.ค.'!S240+'เม.ย.-มิ.ย.'!S240</f>
        <v>0</v>
      </c>
      <c r="T240" s="443">
        <f>+'ต.ค.-ธ.ค.'!U241+'ม.ค.-มี.ค.'!U240+'เม.ย.-มิ.ย.'!U240</f>
        <v>0</v>
      </c>
      <c r="U240" s="443">
        <f>+'ต.ค.-ธ.ค.'!V241+'ม.ค.-มี.ค.'!V240+'เม.ย.-มิ.ย.'!V240</f>
        <v>0</v>
      </c>
      <c r="W240"/>
    </row>
    <row r="241" spans="1:23" s="310" customFormat="1" ht="25.5" customHeight="1">
      <c r="A241" s="447"/>
      <c r="B241" s="394" t="s">
        <v>306</v>
      </c>
      <c r="C241" s="423">
        <v>7700</v>
      </c>
      <c r="D241" s="442"/>
      <c r="E241" s="443">
        <f>+'ต.ค.-ธ.ค.'!E242+'ม.ค.-มี.ค.'!E241+'เม.ย.-มิ.ย.'!E241</f>
        <v>0</v>
      </c>
      <c r="F241" s="443">
        <f>+'ต.ค.-ธ.ค.'!F242+'ม.ค.-มี.ค.'!F241+'เม.ย.-มิ.ย.'!F241</f>
        <v>0</v>
      </c>
      <c r="G241" s="443">
        <f>+'ต.ค.-ธ.ค.'!G242+'ม.ค.-มี.ค.'!G241+'เม.ย.-มิ.ย.'!G241</f>
        <v>0</v>
      </c>
      <c r="H241" s="443">
        <f>+'ต.ค.-ธ.ค.'!H242+'ม.ค.-มี.ค.'!H241+'เม.ย.-มิ.ย.'!H241</f>
        <v>7700</v>
      </c>
      <c r="I241" s="443">
        <f>+'ต.ค.-ธ.ค.'!I242+'ม.ค.-มี.ค.'!I241+'เม.ย.-มิ.ย.'!I241</f>
        <v>0</v>
      </c>
      <c r="J241" s="443">
        <f>+'ต.ค.-ธ.ค.'!J242+'ม.ค.-มี.ค.'!J241+'เม.ย.-มิ.ย.'!J241</f>
        <v>0</v>
      </c>
      <c r="K241" s="443">
        <f>+'ต.ค.-ธ.ค.'!K242+'ม.ค.-มี.ค.'!K241+'เม.ย.-มิ.ย.'!K241</f>
        <v>0</v>
      </c>
      <c r="L241" s="443">
        <f>+'ต.ค.-ธ.ค.'!L242+'ม.ค.-มี.ค.'!L241+'เม.ย.-มิ.ย.'!L241</f>
        <v>0</v>
      </c>
      <c r="M241" s="443">
        <f>+'ต.ค.-ธ.ค.'!M242+'ม.ค.-มี.ค.'!M241+'เม.ย.-มิ.ย.'!M241</f>
        <v>0</v>
      </c>
      <c r="N241" s="443">
        <f>+'ต.ค.-ธ.ค.'!N242+'ม.ค.-มี.ค.'!N241+'เม.ย.-มิ.ย.'!N241</f>
        <v>0</v>
      </c>
      <c r="O241" s="443">
        <f>+'ต.ค.-ธ.ค.'!O242+'ม.ค.-มี.ค.'!O241+'เม.ย.-มิ.ย.'!O241</f>
        <v>0</v>
      </c>
      <c r="P241" s="443">
        <f>+'ต.ค.-ธ.ค.'!P242+'ม.ค.-มี.ค.'!P241+'เม.ย.-มิ.ย.'!P241</f>
        <v>0</v>
      </c>
      <c r="Q241" s="443">
        <f>+'ต.ค.-ธ.ค.'!Q242+'ม.ค.-มี.ค.'!Q241+'เม.ย.-มิ.ย.'!Q241</f>
        <v>0</v>
      </c>
      <c r="R241" s="443">
        <f>+'ต.ค.-ธ.ค.'!R242+'ม.ค.-มี.ค.'!R241+'เม.ย.-มิ.ย.'!R241</f>
        <v>0</v>
      </c>
      <c r="S241" s="443">
        <f>+'ต.ค.-ธ.ค.'!S242+'ม.ค.-มี.ค.'!S241+'เม.ย.-มิ.ย.'!S241</f>
        <v>0</v>
      </c>
      <c r="T241" s="443">
        <f>+'ต.ค.-ธ.ค.'!U242+'ม.ค.-มี.ค.'!U241+'เม.ย.-มิ.ย.'!U241</f>
        <v>0</v>
      </c>
      <c r="U241" s="443">
        <f>+'ต.ค.-ธ.ค.'!V242+'ม.ค.-มี.ค.'!V241+'เม.ย.-มิ.ย.'!V241</f>
        <v>0</v>
      </c>
      <c r="W241"/>
    </row>
    <row r="242" spans="1:23" s="312" customFormat="1" ht="25.5" customHeight="1" thickBot="1">
      <c r="A242" s="447"/>
      <c r="B242" s="403"/>
      <c r="C242" s="424"/>
      <c r="D242" s="457">
        <f>SUM(D237:D241)</f>
        <v>0</v>
      </c>
      <c r="E242" s="457">
        <f t="shared" ref="E242:U242" si="9">SUM(E237:E241)</f>
        <v>0</v>
      </c>
      <c r="F242" s="457">
        <f>SUM(F237:F241)</f>
        <v>23800</v>
      </c>
      <c r="G242" s="457">
        <f t="shared" si="9"/>
        <v>0</v>
      </c>
      <c r="H242" s="457">
        <f>SUM(H237:H241)</f>
        <v>26000</v>
      </c>
      <c r="I242" s="457">
        <f t="shared" si="9"/>
        <v>0</v>
      </c>
      <c r="J242" s="457">
        <f t="shared" si="9"/>
        <v>0</v>
      </c>
      <c r="K242" s="457">
        <f t="shared" si="9"/>
        <v>0</v>
      </c>
      <c r="L242" s="457">
        <f t="shared" si="9"/>
        <v>0</v>
      </c>
      <c r="M242" s="457">
        <f t="shared" si="9"/>
        <v>0</v>
      </c>
      <c r="N242" s="457">
        <f t="shared" si="9"/>
        <v>0</v>
      </c>
      <c r="O242" s="457">
        <f t="shared" si="9"/>
        <v>0</v>
      </c>
      <c r="P242" s="457">
        <f t="shared" si="9"/>
        <v>0</v>
      </c>
      <c r="Q242" s="457">
        <f t="shared" si="9"/>
        <v>0</v>
      </c>
      <c r="R242" s="457">
        <f t="shared" si="9"/>
        <v>0</v>
      </c>
      <c r="S242" s="457">
        <f t="shared" si="9"/>
        <v>0</v>
      </c>
      <c r="T242" s="457">
        <f t="shared" si="9"/>
        <v>0</v>
      </c>
      <c r="U242" s="457">
        <f t="shared" si="9"/>
        <v>0</v>
      </c>
      <c r="W242" s="172"/>
    </row>
    <row r="243" spans="1:23" s="310" customFormat="1" ht="25.5" customHeight="1" thickTop="1">
      <c r="A243" s="447"/>
      <c r="B243" s="393" t="s">
        <v>336</v>
      </c>
      <c r="C243" s="423"/>
      <c r="D243" s="458"/>
      <c r="E243" s="459"/>
      <c r="F243" s="459"/>
      <c r="G243" s="459"/>
      <c r="H243" s="459"/>
      <c r="I243" s="459"/>
      <c r="J243" s="459"/>
      <c r="K243" s="459"/>
      <c r="L243" s="459"/>
      <c r="M243" s="459"/>
      <c r="N243" s="459"/>
      <c r="O243" s="459"/>
      <c r="P243" s="459"/>
      <c r="Q243" s="459"/>
      <c r="R243" s="459"/>
      <c r="S243" s="459"/>
      <c r="T243" s="459"/>
      <c r="U243" s="459"/>
      <c r="W243"/>
    </row>
    <row r="244" spans="1:23" s="310" customFormat="1" ht="25.5" customHeight="1">
      <c r="A244" s="447"/>
      <c r="B244" s="394" t="s">
        <v>337</v>
      </c>
      <c r="C244" s="423">
        <v>9000</v>
      </c>
      <c r="D244" s="442"/>
      <c r="E244" s="443">
        <f>+'ต.ค.-ธ.ค.'!E245</f>
        <v>0</v>
      </c>
      <c r="F244" s="443">
        <f>+'ต.ค.-ธ.ค.'!F245</f>
        <v>0</v>
      </c>
      <c r="G244" s="443">
        <f>+'ต.ค.-ธ.ค.'!G245</f>
        <v>0</v>
      </c>
      <c r="H244" s="443">
        <f>+'ต.ค.-ธ.ค.'!H245</f>
        <v>0</v>
      </c>
      <c r="I244" s="443">
        <f>+'ต.ค.-ธ.ค.'!I245</f>
        <v>0</v>
      </c>
      <c r="J244" s="443">
        <f>+'ต.ค.-ธ.ค.'!J245</f>
        <v>0</v>
      </c>
      <c r="K244" s="443">
        <f>+'ต.ค.-ธ.ค.'!K245</f>
        <v>0</v>
      </c>
      <c r="L244" s="443">
        <f>+'ต.ค.-ธ.ค.'!L245</f>
        <v>0</v>
      </c>
      <c r="M244" s="443">
        <f>+'ต.ค.-ธ.ค.'!M245</f>
        <v>0</v>
      </c>
      <c r="N244" s="443">
        <f>+'ต.ค.-ธ.ค.'!N245</f>
        <v>0</v>
      </c>
      <c r="O244" s="443">
        <f>+'ต.ค.-ธ.ค.'!O245</f>
        <v>0</v>
      </c>
      <c r="P244" s="443">
        <f>+'ต.ค.-ธ.ค.'!P245</f>
        <v>0</v>
      </c>
      <c r="Q244" s="443">
        <f>+'ต.ค.-ธ.ค.'!Q245</f>
        <v>0</v>
      </c>
      <c r="R244" s="443">
        <f>+'ต.ค.-ธ.ค.'!R245</f>
        <v>0</v>
      </c>
      <c r="S244" s="443">
        <f>+'ต.ค.-ธ.ค.'!S245</f>
        <v>0</v>
      </c>
      <c r="T244" s="443">
        <f>+'ต.ค.-ธ.ค.'!U245</f>
        <v>0</v>
      </c>
      <c r="U244" s="443">
        <f>+'ต.ค.-ธ.ค.'!V245</f>
        <v>0</v>
      </c>
      <c r="W244"/>
    </row>
    <row r="245" spans="1:23" s="310" customFormat="1" ht="25.5" customHeight="1" thickBot="1">
      <c r="A245" s="447"/>
      <c r="B245" s="394"/>
      <c r="C245" s="423"/>
      <c r="D245" s="466">
        <f>SUM(D244)</f>
        <v>0</v>
      </c>
      <c r="E245" s="466">
        <f t="shared" ref="E245:U245" si="10">SUM(E244)</f>
        <v>0</v>
      </c>
      <c r="F245" s="466">
        <f t="shared" si="10"/>
        <v>0</v>
      </c>
      <c r="G245" s="466">
        <f t="shared" si="10"/>
        <v>0</v>
      </c>
      <c r="H245" s="466">
        <f t="shared" si="10"/>
        <v>0</v>
      </c>
      <c r="I245" s="466">
        <f t="shared" si="10"/>
        <v>0</v>
      </c>
      <c r="J245" s="466">
        <f t="shared" si="10"/>
        <v>0</v>
      </c>
      <c r="K245" s="466">
        <f t="shared" si="10"/>
        <v>0</v>
      </c>
      <c r="L245" s="466">
        <f t="shared" si="10"/>
        <v>0</v>
      </c>
      <c r="M245" s="466">
        <f t="shared" si="10"/>
        <v>0</v>
      </c>
      <c r="N245" s="466">
        <f t="shared" si="10"/>
        <v>0</v>
      </c>
      <c r="O245" s="466">
        <f t="shared" si="10"/>
        <v>0</v>
      </c>
      <c r="P245" s="466">
        <f t="shared" si="10"/>
        <v>0</v>
      </c>
      <c r="Q245" s="466">
        <f t="shared" si="10"/>
        <v>0</v>
      </c>
      <c r="R245" s="466">
        <f t="shared" si="10"/>
        <v>0</v>
      </c>
      <c r="S245" s="466">
        <f t="shared" si="10"/>
        <v>0</v>
      </c>
      <c r="T245" s="466">
        <f t="shared" si="10"/>
        <v>0</v>
      </c>
      <c r="U245" s="466">
        <f t="shared" si="10"/>
        <v>0</v>
      </c>
      <c r="W245"/>
    </row>
    <row r="246" spans="1:23" ht="25.5" customHeight="1" thickTop="1">
      <c r="A246" s="447"/>
      <c r="B246" s="393" t="s">
        <v>338</v>
      </c>
      <c r="C246" s="423"/>
      <c r="D246" s="458"/>
      <c r="E246" s="459"/>
      <c r="F246" s="459"/>
      <c r="G246" s="459"/>
      <c r="H246" s="459"/>
      <c r="I246" s="459"/>
      <c r="J246" s="459"/>
      <c r="K246" s="459"/>
      <c r="L246" s="459"/>
      <c r="M246" s="459"/>
      <c r="N246" s="459"/>
      <c r="O246" s="459"/>
      <c r="P246" s="459"/>
      <c r="Q246" s="459"/>
      <c r="R246" s="459"/>
      <c r="S246" s="459"/>
      <c r="T246" s="459"/>
      <c r="U246" s="459"/>
    </row>
    <row r="247" spans="1:23" ht="25.5" customHeight="1">
      <c r="A247" s="447"/>
      <c r="B247" s="394" t="s">
        <v>339</v>
      </c>
      <c r="C247" s="423">
        <v>8000</v>
      </c>
      <c r="D247" s="442"/>
      <c r="E247" s="443">
        <f>+'ต.ค.-ธ.ค.'!E248+'ม.ค.-มี.ค.'!E247+'เม.ย.-มิ.ย.'!E247</f>
        <v>0</v>
      </c>
      <c r="F247" s="443">
        <f>+'ต.ค.-ธ.ค.'!F248+'ม.ค.-มี.ค.'!F247+'เม.ย.-มิ.ย.'!F247</f>
        <v>0</v>
      </c>
      <c r="G247" s="443">
        <f>+'ต.ค.-ธ.ค.'!G248+'ม.ค.-มี.ค.'!G247+'เม.ย.-มิ.ย.'!G247</f>
        <v>0</v>
      </c>
      <c r="H247" s="443">
        <f>+'ต.ค.-ธ.ค.'!H248+'ม.ค.-มี.ค.'!H247+'เม.ย.-มิ.ย.'!H247</f>
        <v>0</v>
      </c>
      <c r="I247" s="443">
        <f>+'ต.ค.-ธ.ค.'!I248+'ม.ค.-มี.ค.'!I247+'เม.ย.-มิ.ย.'!I247</f>
        <v>0</v>
      </c>
      <c r="J247" s="443">
        <f>+'ต.ค.-ธ.ค.'!J248+'ม.ค.-มี.ค.'!J247+'เม.ย.-มิ.ย.'!J247</f>
        <v>0</v>
      </c>
      <c r="K247" s="443">
        <f>+'ต.ค.-ธ.ค.'!K248+'ม.ค.-มี.ค.'!K247+'เม.ย.-มิ.ย.'!K247</f>
        <v>0</v>
      </c>
      <c r="L247" s="443">
        <f>+'ต.ค.-ธ.ค.'!L248+'ม.ค.-มี.ค.'!L247+'เม.ย.-มิ.ย.'!L247</f>
        <v>0</v>
      </c>
      <c r="M247" s="443">
        <f>+'ต.ค.-ธ.ค.'!M248+'ม.ค.-มี.ค.'!M247+'เม.ย.-มิ.ย.'!M247</f>
        <v>0</v>
      </c>
      <c r="N247" s="443">
        <f>+'ต.ค.-ธ.ค.'!N248+'ม.ค.-มี.ค.'!N247+'เม.ย.-มิ.ย.'!N247</f>
        <v>0</v>
      </c>
      <c r="O247" s="443">
        <f>+'ต.ค.-ธ.ค.'!O248+'ม.ค.-มี.ค.'!O247+'เม.ย.-มิ.ย.'!O247</f>
        <v>0</v>
      </c>
      <c r="P247" s="443">
        <f>+'ต.ค.-ธ.ค.'!P248+'ม.ค.-มี.ค.'!P247+'เม.ย.-มิ.ย.'!P247</f>
        <v>0</v>
      </c>
      <c r="Q247" s="443">
        <f>+'ต.ค.-ธ.ค.'!Q248+'ม.ค.-มี.ค.'!Q247+'เม.ย.-มิ.ย.'!Q247</f>
        <v>0</v>
      </c>
      <c r="R247" s="443">
        <f>+'ต.ค.-ธ.ค.'!R248+'ม.ค.-มี.ค.'!R247+'เม.ย.-มิ.ย.'!R247</f>
        <v>0</v>
      </c>
      <c r="S247" s="443">
        <f>+'ต.ค.-ธ.ค.'!S248+'ม.ค.-มี.ค.'!S247+'เม.ย.-มิ.ย.'!S247</f>
        <v>0</v>
      </c>
      <c r="T247" s="443">
        <f>+'ต.ค.-ธ.ค.'!U248+'ม.ค.-มี.ค.'!U247+'เม.ย.-มิ.ย.'!U247</f>
        <v>0</v>
      </c>
      <c r="U247" s="443">
        <f>+'ต.ค.-ธ.ค.'!V248+'ม.ค.-มี.ค.'!V247+'เม.ย.-มิ.ย.'!V247</f>
        <v>0</v>
      </c>
    </row>
    <row r="248" spans="1:23" ht="25.5" customHeight="1">
      <c r="A248" s="447"/>
      <c r="B248" s="394" t="s">
        <v>340</v>
      </c>
      <c r="C248" s="423">
        <v>6000</v>
      </c>
      <c r="D248" s="442"/>
      <c r="E248" s="443">
        <f>+'ต.ค.-ธ.ค.'!E249+'ม.ค.-มี.ค.'!E248+'เม.ย.-มิ.ย.'!E248</f>
        <v>0</v>
      </c>
      <c r="F248" s="443">
        <f>+'ต.ค.-ธ.ค.'!F249+'ม.ค.-มี.ค.'!F248+'เม.ย.-มิ.ย.'!F248</f>
        <v>0</v>
      </c>
      <c r="G248" s="443">
        <f>+'ต.ค.-ธ.ค.'!G249+'ม.ค.-มี.ค.'!G248+'เม.ย.-มิ.ย.'!G248</f>
        <v>0</v>
      </c>
      <c r="H248" s="443">
        <f>+'ต.ค.-ธ.ค.'!H249+'ม.ค.-มี.ค.'!H248+'เม.ย.-มิ.ย.'!H248</f>
        <v>0</v>
      </c>
      <c r="I248" s="443">
        <f>+'ต.ค.-ธ.ค.'!I249+'ม.ค.-มี.ค.'!I248+'เม.ย.-มิ.ย.'!I248</f>
        <v>0</v>
      </c>
      <c r="J248" s="443">
        <f>+'ต.ค.-ธ.ค.'!J249+'ม.ค.-มี.ค.'!J248+'เม.ย.-มิ.ย.'!J248</f>
        <v>0</v>
      </c>
      <c r="K248" s="443">
        <f>+'ต.ค.-ธ.ค.'!K249+'ม.ค.-มี.ค.'!K248+'เม.ย.-มิ.ย.'!K248</f>
        <v>0</v>
      </c>
      <c r="L248" s="443">
        <f>+'ต.ค.-ธ.ค.'!L249+'ม.ค.-มี.ค.'!L248+'เม.ย.-มิ.ย.'!L248</f>
        <v>0</v>
      </c>
      <c r="M248" s="443">
        <f>+'ต.ค.-ธ.ค.'!M249+'ม.ค.-มี.ค.'!M248+'เม.ย.-มิ.ย.'!M248</f>
        <v>0</v>
      </c>
      <c r="N248" s="443">
        <f>+'ต.ค.-ธ.ค.'!N249+'ม.ค.-มี.ค.'!N248+'เม.ย.-มิ.ย.'!N248</f>
        <v>0</v>
      </c>
      <c r="O248" s="443">
        <f>+'ต.ค.-ธ.ค.'!O249+'ม.ค.-มี.ค.'!O248+'เม.ย.-มิ.ย.'!O248</f>
        <v>0</v>
      </c>
      <c r="P248" s="443">
        <f>+'ต.ค.-ธ.ค.'!P249+'ม.ค.-มี.ค.'!P248+'เม.ย.-มิ.ย.'!P248</f>
        <v>0</v>
      </c>
      <c r="Q248" s="443">
        <f>+'ต.ค.-ธ.ค.'!Q249+'ม.ค.-มี.ค.'!Q248+'เม.ย.-มิ.ย.'!Q248</f>
        <v>0</v>
      </c>
      <c r="R248" s="443">
        <f>+'ต.ค.-ธ.ค.'!R249+'ม.ค.-มี.ค.'!R248+'เม.ย.-มิ.ย.'!R248</f>
        <v>0</v>
      </c>
      <c r="S248" s="443">
        <f>+'ต.ค.-ธ.ค.'!S249+'ม.ค.-มี.ค.'!S248+'เม.ย.-มิ.ย.'!S248</f>
        <v>0</v>
      </c>
      <c r="T248" s="443">
        <f>+'ต.ค.-ธ.ค.'!U249+'ม.ค.-มี.ค.'!U248+'เม.ย.-มิ.ย.'!U248</f>
        <v>0</v>
      </c>
      <c r="U248" s="443">
        <f>+'ต.ค.-ธ.ค.'!V249+'ม.ค.-มี.ค.'!V248+'เม.ย.-มิ.ย.'!V248</f>
        <v>0</v>
      </c>
    </row>
    <row r="249" spans="1:23" ht="25.5" customHeight="1" thickBot="1">
      <c r="A249" s="447"/>
      <c r="B249" s="394"/>
      <c r="C249" s="423"/>
      <c r="D249" s="466">
        <f>SUM(D247:D248)</f>
        <v>0</v>
      </c>
      <c r="E249" s="466">
        <f t="shared" ref="E249:U249" si="11">SUM(E247:E248)</f>
        <v>0</v>
      </c>
      <c r="F249" s="466">
        <f t="shared" si="11"/>
        <v>0</v>
      </c>
      <c r="G249" s="466">
        <f t="shared" si="11"/>
        <v>0</v>
      </c>
      <c r="H249" s="466">
        <f t="shared" si="11"/>
        <v>0</v>
      </c>
      <c r="I249" s="466">
        <f t="shared" si="11"/>
        <v>0</v>
      </c>
      <c r="J249" s="466">
        <f t="shared" si="11"/>
        <v>0</v>
      </c>
      <c r="K249" s="466">
        <f t="shared" si="11"/>
        <v>0</v>
      </c>
      <c r="L249" s="466">
        <f t="shared" si="11"/>
        <v>0</v>
      </c>
      <c r="M249" s="466">
        <f t="shared" si="11"/>
        <v>0</v>
      </c>
      <c r="N249" s="466">
        <f t="shared" si="11"/>
        <v>0</v>
      </c>
      <c r="O249" s="466">
        <f t="shared" si="11"/>
        <v>0</v>
      </c>
      <c r="P249" s="466">
        <f t="shared" si="11"/>
        <v>0</v>
      </c>
      <c r="Q249" s="466">
        <f t="shared" si="11"/>
        <v>0</v>
      </c>
      <c r="R249" s="466">
        <f t="shared" si="11"/>
        <v>0</v>
      </c>
      <c r="S249" s="466">
        <f t="shared" si="11"/>
        <v>0</v>
      </c>
      <c r="T249" s="466">
        <f t="shared" si="11"/>
        <v>0</v>
      </c>
      <c r="U249" s="466">
        <f t="shared" si="11"/>
        <v>0</v>
      </c>
    </row>
    <row r="250" spans="1:23" ht="25.5" customHeight="1" thickTop="1">
      <c r="A250" s="447"/>
      <c r="B250" s="393" t="s">
        <v>341</v>
      </c>
      <c r="C250" s="423"/>
      <c r="D250" s="458"/>
      <c r="E250" s="459"/>
      <c r="F250" s="459"/>
      <c r="G250" s="459"/>
      <c r="H250" s="459"/>
      <c r="I250" s="459"/>
      <c r="J250" s="459"/>
      <c r="K250" s="459"/>
      <c r="L250" s="459"/>
      <c r="M250" s="459"/>
      <c r="N250" s="459"/>
      <c r="O250" s="459"/>
      <c r="P250" s="459"/>
      <c r="Q250" s="459"/>
      <c r="R250" s="459"/>
      <c r="S250" s="459"/>
      <c r="T250" s="459"/>
      <c r="U250" s="459"/>
    </row>
    <row r="251" spans="1:23" ht="25.5" customHeight="1">
      <c r="A251" s="447"/>
      <c r="B251" s="394" t="s">
        <v>342</v>
      </c>
      <c r="C251" s="423">
        <v>45300</v>
      </c>
      <c r="D251" s="442"/>
      <c r="E251" s="443">
        <f>+'ต.ค.-ธ.ค.'!E252+'ม.ค.-มี.ค.'!E251+'เม.ย.-มิ.ย.'!E251</f>
        <v>0</v>
      </c>
      <c r="F251" s="443">
        <f>+'ต.ค.-ธ.ค.'!F252+'ม.ค.-มี.ค.'!F251+'เม.ย.-มิ.ย.'!F251</f>
        <v>0</v>
      </c>
      <c r="G251" s="443">
        <f>+'ต.ค.-ธ.ค.'!G252+'ม.ค.-มี.ค.'!G251+'เม.ย.-มิ.ย.'!G251</f>
        <v>0</v>
      </c>
      <c r="H251" s="443">
        <f>+'ต.ค.-ธ.ค.'!H252+'ม.ค.-มี.ค.'!H251+'เม.ย.-มิ.ย.'!H251</f>
        <v>0</v>
      </c>
      <c r="I251" s="443">
        <f>+'ต.ค.-ธ.ค.'!I252+'ม.ค.-มี.ค.'!I251+'เม.ย.-มิ.ย.'!I251</f>
        <v>0</v>
      </c>
      <c r="J251" s="443">
        <f>+'ต.ค.-ธ.ค.'!J252+'ม.ค.-มี.ค.'!J251+'เม.ย.-มิ.ย.'!J251</f>
        <v>0</v>
      </c>
      <c r="K251" s="443">
        <f>+'ต.ค.-ธ.ค.'!K252+'ม.ค.-มี.ค.'!K251+'เม.ย.-มิ.ย.'!K251</f>
        <v>0</v>
      </c>
      <c r="L251" s="443">
        <f>+'ต.ค.-ธ.ค.'!L252+'ม.ค.-มี.ค.'!L251+'เม.ย.-มิ.ย.'!L251</f>
        <v>0</v>
      </c>
      <c r="M251" s="443">
        <f>+'ต.ค.-ธ.ค.'!M252+'ม.ค.-มี.ค.'!M251+'เม.ย.-มิ.ย.'!M251</f>
        <v>0</v>
      </c>
      <c r="N251" s="443">
        <f>+'ต.ค.-ธ.ค.'!N252+'ม.ค.-มี.ค.'!N251+'เม.ย.-มิ.ย.'!N251</f>
        <v>0</v>
      </c>
      <c r="O251" s="443">
        <f>+'ต.ค.-ธ.ค.'!O252+'ม.ค.-มี.ค.'!O251+'เม.ย.-มิ.ย.'!O251</f>
        <v>0</v>
      </c>
      <c r="P251" s="443">
        <f>+'ต.ค.-ธ.ค.'!P252+'ม.ค.-มี.ค.'!P251+'เม.ย.-มิ.ย.'!P251</f>
        <v>0</v>
      </c>
      <c r="Q251" s="443">
        <f>+'ต.ค.-ธ.ค.'!Q252+'ม.ค.-มี.ค.'!Q251+'เม.ย.-มิ.ย.'!Q251</f>
        <v>0</v>
      </c>
      <c r="R251" s="443">
        <f>+'ต.ค.-ธ.ค.'!R252+'ม.ค.-มี.ค.'!R251+'เม.ย.-มิ.ย.'!R251</f>
        <v>0</v>
      </c>
      <c r="S251" s="443">
        <f>+'ต.ค.-ธ.ค.'!S252+'ม.ค.-มี.ค.'!S251+'เม.ย.-มิ.ย.'!S251</f>
        <v>0</v>
      </c>
      <c r="T251" s="443">
        <f>+'ต.ค.-ธ.ค.'!U252+'ม.ค.-มี.ค.'!U251+'เม.ย.-มิ.ย.'!U251</f>
        <v>0</v>
      </c>
      <c r="U251" s="443">
        <f>+'ต.ค.-ธ.ค.'!V252+'ม.ค.-มี.ค.'!V251+'เม.ย.-มิ.ย.'!V251</f>
        <v>0</v>
      </c>
    </row>
    <row r="252" spans="1:23" ht="25.5" customHeight="1">
      <c r="A252" s="447"/>
      <c r="B252" s="394" t="s">
        <v>343</v>
      </c>
      <c r="C252" s="423">
        <v>128000</v>
      </c>
      <c r="D252" s="442"/>
      <c r="E252" s="443">
        <f>+'ต.ค.-ธ.ค.'!E253+'ม.ค.-มี.ค.'!E252+'เม.ย.-มิ.ย.'!E252</f>
        <v>0</v>
      </c>
      <c r="F252" s="443">
        <f>+'ต.ค.-ธ.ค.'!F253+'ม.ค.-มี.ค.'!F252+'เม.ย.-มิ.ย.'!F252</f>
        <v>0</v>
      </c>
      <c r="G252" s="443">
        <f>+'ต.ค.-ธ.ค.'!G253+'ม.ค.-มี.ค.'!G252+'เม.ย.-มิ.ย.'!G252</f>
        <v>0</v>
      </c>
      <c r="H252" s="443">
        <f>+'ต.ค.-ธ.ค.'!H253+'ม.ค.-มี.ค.'!H252+'เม.ย.-มิ.ย.'!H252</f>
        <v>0</v>
      </c>
      <c r="I252" s="443">
        <f>+'ต.ค.-ธ.ค.'!I253+'ม.ค.-มี.ค.'!I252+'เม.ย.-มิ.ย.'!I252</f>
        <v>0</v>
      </c>
      <c r="J252" s="443">
        <f>+'ต.ค.-ธ.ค.'!J253+'ม.ค.-มี.ค.'!J252+'เม.ย.-มิ.ย.'!J252</f>
        <v>0</v>
      </c>
      <c r="K252" s="443">
        <f>+'ต.ค.-ธ.ค.'!K253+'ม.ค.-มี.ค.'!K252+'เม.ย.-มิ.ย.'!K252</f>
        <v>0</v>
      </c>
      <c r="L252" s="443">
        <f>+'ต.ค.-ธ.ค.'!L253+'ม.ค.-มี.ค.'!L252+'เม.ย.-มิ.ย.'!L252</f>
        <v>0</v>
      </c>
      <c r="M252" s="443">
        <f>+'ต.ค.-ธ.ค.'!M253+'ม.ค.-มี.ค.'!M252+'เม.ย.-มิ.ย.'!M252</f>
        <v>0</v>
      </c>
      <c r="N252" s="443">
        <f>+'ต.ค.-ธ.ค.'!N253+'ม.ค.-มี.ค.'!N252+'เม.ย.-มิ.ย.'!N252</f>
        <v>0</v>
      </c>
      <c r="O252" s="443">
        <f>+'ต.ค.-ธ.ค.'!O253+'ม.ค.-มี.ค.'!O252+'เม.ย.-มิ.ย.'!O252</f>
        <v>0</v>
      </c>
      <c r="P252" s="443">
        <f>+'ต.ค.-ธ.ค.'!P253+'ม.ค.-มี.ค.'!P252+'เม.ย.-มิ.ย.'!P252</f>
        <v>0</v>
      </c>
      <c r="Q252" s="443">
        <f>+'ต.ค.-ธ.ค.'!Q253+'ม.ค.-มี.ค.'!Q252+'เม.ย.-มิ.ย.'!Q252</f>
        <v>0</v>
      </c>
      <c r="R252" s="443">
        <f>+'ต.ค.-ธ.ค.'!R253+'ม.ค.-มี.ค.'!R252+'เม.ย.-มิ.ย.'!R252</f>
        <v>0</v>
      </c>
      <c r="S252" s="443">
        <f>+'ต.ค.-ธ.ค.'!S253+'ม.ค.-มี.ค.'!S252+'เม.ย.-มิ.ย.'!S252</f>
        <v>0</v>
      </c>
      <c r="T252" s="443">
        <f>+'ต.ค.-ธ.ค.'!U253+'ม.ค.-มี.ค.'!U252+'เม.ย.-มิ.ย.'!U252</f>
        <v>0</v>
      </c>
      <c r="U252" s="443">
        <f>+'ต.ค.-ธ.ค.'!V253+'ม.ค.-มี.ค.'!V252+'เม.ย.-มิ.ย.'!V252</f>
        <v>0</v>
      </c>
    </row>
    <row r="253" spans="1:23" ht="25.5" customHeight="1">
      <c r="A253" s="447"/>
      <c r="B253" s="394" t="s">
        <v>264</v>
      </c>
      <c r="C253" s="423">
        <v>204000</v>
      </c>
      <c r="D253" s="442"/>
      <c r="E253" s="443">
        <f>+'ต.ค.-ธ.ค.'!E254+'ม.ค.-มี.ค.'!E253+'เม.ย.-มิ.ย.'!E253</f>
        <v>0</v>
      </c>
      <c r="F253" s="443">
        <f>+'ต.ค.-ธ.ค.'!F254+'ม.ค.-มี.ค.'!F253+'เม.ย.-มิ.ย.'!F253</f>
        <v>0</v>
      </c>
      <c r="G253" s="443">
        <f>+'ต.ค.-ธ.ค.'!G254+'ม.ค.-มี.ค.'!G253+'เม.ย.-มิ.ย.'!G253</f>
        <v>0</v>
      </c>
      <c r="H253" s="443">
        <f>+'ต.ค.-ธ.ค.'!H254+'ม.ค.-มี.ค.'!H253+'เม.ย.-มิ.ย.'!H253</f>
        <v>0</v>
      </c>
      <c r="I253" s="443">
        <f>+'ต.ค.-ธ.ค.'!I254+'ม.ค.-มี.ค.'!I253+'เม.ย.-มิ.ย.'!I253</f>
        <v>0</v>
      </c>
      <c r="J253" s="443">
        <f>+'ต.ค.-ธ.ค.'!J254+'ม.ค.-มี.ค.'!J253+'เม.ย.-มิ.ย.'!J253</f>
        <v>0</v>
      </c>
      <c r="K253" s="443">
        <f>+'ต.ค.-ธ.ค.'!K254+'ม.ค.-มี.ค.'!K253+'เม.ย.-มิ.ย.'!K253</f>
        <v>0</v>
      </c>
      <c r="L253" s="443">
        <f>+'ต.ค.-ธ.ค.'!L254+'ม.ค.-มี.ค.'!L253+'เม.ย.-มิ.ย.'!L253</f>
        <v>0</v>
      </c>
      <c r="M253" s="443">
        <f>+'ต.ค.-ธ.ค.'!M254+'ม.ค.-มี.ค.'!M253+'เม.ย.-มิ.ย.'!M253</f>
        <v>0</v>
      </c>
      <c r="N253" s="443">
        <f>+'ต.ค.-ธ.ค.'!N254+'ม.ค.-มี.ค.'!N253+'เม.ย.-มิ.ย.'!N253</f>
        <v>200000</v>
      </c>
      <c r="O253" s="443">
        <f>+'ต.ค.-ธ.ค.'!O254+'ม.ค.-มี.ค.'!O253+'เม.ย.-มิ.ย.'!O253</f>
        <v>0</v>
      </c>
      <c r="P253" s="443">
        <f>+'ต.ค.-ธ.ค.'!P254+'ม.ค.-มี.ค.'!P253+'เม.ย.-มิ.ย.'!P253</f>
        <v>0</v>
      </c>
      <c r="Q253" s="443">
        <f>+'ต.ค.-ธ.ค.'!Q254+'ม.ค.-มี.ค.'!Q253+'เม.ย.-มิ.ย.'!Q253</f>
        <v>0</v>
      </c>
      <c r="R253" s="443">
        <f>+'ต.ค.-ธ.ค.'!R254+'ม.ค.-มี.ค.'!R253+'เม.ย.-มิ.ย.'!R253</f>
        <v>0</v>
      </c>
      <c r="S253" s="443">
        <f>+'ต.ค.-ธ.ค.'!S254+'ม.ค.-มี.ค.'!S253+'เม.ย.-มิ.ย.'!S253</f>
        <v>0</v>
      </c>
      <c r="T253" s="443">
        <f>+'ต.ค.-ธ.ค.'!U254+'ม.ค.-มี.ค.'!U253+'เม.ย.-มิ.ย.'!U253</f>
        <v>0</v>
      </c>
      <c r="U253" s="443">
        <f>+'ต.ค.-ธ.ค.'!V254+'ม.ค.-มี.ค.'!V253+'เม.ย.-มิ.ย.'!V253</f>
        <v>0</v>
      </c>
    </row>
    <row r="254" spans="1:23" ht="25.5" customHeight="1">
      <c r="A254" s="447"/>
      <c r="B254" s="394" t="s">
        <v>381</v>
      </c>
      <c r="C254" s="423">
        <v>204000</v>
      </c>
      <c r="D254" s="442"/>
      <c r="E254" s="443">
        <f>+'ต.ค.-ธ.ค.'!E255+'ม.ค.-มี.ค.'!E254+'เม.ย.-มิ.ย.'!E254</f>
        <v>0</v>
      </c>
      <c r="F254" s="443">
        <f>+'ต.ค.-ธ.ค.'!F255+'ม.ค.-มี.ค.'!F254+'เม.ย.-มิ.ย.'!F254</f>
        <v>0</v>
      </c>
      <c r="G254" s="443">
        <f>+'ต.ค.-ธ.ค.'!G255+'ม.ค.-มี.ค.'!G254+'เม.ย.-มิ.ย.'!G254</f>
        <v>0</v>
      </c>
      <c r="H254" s="443">
        <f>+'ต.ค.-ธ.ค.'!H255+'ม.ค.-มี.ค.'!H254+'เม.ย.-มิ.ย.'!H254</f>
        <v>0</v>
      </c>
      <c r="I254" s="443">
        <f>+'ต.ค.-ธ.ค.'!I255+'ม.ค.-มี.ค.'!I254+'เม.ย.-มิ.ย.'!I254</f>
        <v>0</v>
      </c>
      <c r="J254" s="443">
        <f>+'ต.ค.-ธ.ค.'!J255+'ม.ค.-มี.ค.'!J254+'เม.ย.-มิ.ย.'!J254</f>
        <v>0</v>
      </c>
      <c r="K254" s="443">
        <f>+'ต.ค.-ธ.ค.'!K255+'ม.ค.-มี.ค.'!K254+'เม.ย.-มิ.ย.'!K254</f>
        <v>0</v>
      </c>
      <c r="L254" s="443">
        <f>+'ต.ค.-ธ.ค.'!L255+'ม.ค.-มี.ค.'!L254+'เม.ย.-มิ.ย.'!L254</f>
        <v>0</v>
      </c>
      <c r="M254" s="443">
        <f>+'ต.ค.-ธ.ค.'!M255+'ม.ค.-มี.ค.'!M254+'เม.ย.-มิ.ย.'!M254</f>
        <v>0</v>
      </c>
      <c r="N254" s="443">
        <f>+'ต.ค.-ธ.ค.'!N255+'ม.ค.-มี.ค.'!N254+'เม.ย.-มิ.ย.'!N254</f>
        <v>204000</v>
      </c>
      <c r="O254" s="443">
        <f>+'ต.ค.-ธ.ค.'!O255+'ม.ค.-มี.ค.'!O254+'เม.ย.-มิ.ย.'!O254</f>
        <v>0</v>
      </c>
      <c r="P254" s="443">
        <f>+'ต.ค.-ธ.ค.'!P255+'ม.ค.-มี.ค.'!P254+'เม.ย.-มิ.ย.'!P254</f>
        <v>0</v>
      </c>
      <c r="Q254" s="443">
        <f>+'ต.ค.-ธ.ค.'!Q255+'ม.ค.-มี.ค.'!Q254+'เม.ย.-มิ.ย.'!Q254</f>
        <v>0</v>
      </c>
      <c r="R254" s="443">
        <f>+'ต.ค.-ธ.ค.'!R255+'ม.ค.-มี.ค.'!R254+'เม.ย.-มิ.ย.'!R254</f>
        <v>0</v>
      </c>
      <c r="S254" s="443">
        <f>+'ต.ค.-ธ.ค.'!S255+'ม.ค.-มี.ค.'!S254+'เม.ย.-มิ.ย.'!S254</f>
        <v>0</v>
      </c>
      <c r="T254" s="443">
        <f>+'ต.ค.-ธ.ค.'!U255+'ม.ค.-มี.ค.'!U254+'เม.ย.-มิ.ย.'!U254</f>
        <v>0</v>
      </c>
      <c r="U254" s="443">
        <f>+'ต.ค.-ธ.ค.'!V255+'ม.ค.-มี.ค.'!V254+'เม.ย.-มิ.ย.'!V254</f>
        <v>0</v>
      </c>
    </row>
    <row r="255" spans="1:23" ht="25.5" customHeight="1">
      <c r="A255" s="447"/>
      <c r="B255" s="394" t="s">
        <v>344</v>
      </c>
      <c r="C255" s="423">
        <v>204000</v>
      </c>
      <c r="D255" s="442"/>
      <c r="E255" s="443">
        <f>+'ต.ค.-ธ.ค.'!E256+'ม.ค.-มี.ค.'!E255+'เม.ย.-มิ.ย.'!E255</f>
        <v>0</v>
      </c>
      <c r="F255" s="443">
        <f>+'ต.ค.-ธ.ค.'!F256+'ม.ค.-มี.ค.'!F255+'เม.ย.-มิ.ย.'!F255</f>
        <v>0</v>
      </c>
      <c r="G255" s="443">
        <f>+'ต.ค.-ธ.ค.'!G256+'ม.ค.-มี.ค.'!G255+'เม.ย.-มิ.ย.'!G255</f>
        <v>0</v>
      </c>
      <c r="H255" s="443">
        <f>+'ต.ค.-ธ.ค.'!H256+'ม.ค.-มี.ค.'!H255+'เม.ย.-มิ.ย.'!H255</f>
        <v>0</v>
      </c>
      <c r="I255" s="443">
        <f>+'ต.ค.-ธ.ค.'!I256+'ม.ค.-มี.ค.'!I255+'เม.ย.-มิ.ย.'!I255</f>
        <v>0</v>
      </c>
      <c r="J255" s="443">
        <f>+'ต.ค.-ธ.ค.'!J256+'ม.ค.-มี.ค.'!J255+'เม.ย.-มิ.ย.'!J255</f>
        <v>0</v>
      </c>
      <c r="K255" s="443">
        <f>+'ต.ค.-ธ.ค.'!K256+'ม.ค.-มี.ค.'!K255+'เม.ย.-มิ.ย.'!K255</f>
        <v>0</v>
      </c>
      <c r="L255" s="443">
        <f>+'ต.ค.-ธ.ค.'!L256+'ม.ค.-มี.ค.'!L255+'เม.ย.-มิ.ย.'!L255</f>
        <v>0</v>
      </c>
      <c r="M255" s="443">
        <f>+'ต.ค.-ธ.ค.'!M256+'ม.ค.-มี.ค.'!M255+'เม.ย.-มิ.ย.'!M255</f>
        <v>0</v>
      </c>
      <c r="N255" s="443">
        <f>+'ต.ค.-ธ.ค.'!N256+'ม.ค.-มี.ค.'!N255+'เม.ย.-มิ.ย.'!N255</f>
        <v>202000</v>
      </c>
      <c r="O255" s="443">
        <f>+'ต.ค.-ธ.ค.'!O256+'ม.ค.-มี.ค.'!O255+'เม.ย.-มิ.ย.'!O255</f>
        <v>0</v>
      </c>
      <c r="P255" s="443">
        <f>+'ต.ค.-ธ.ค.'!P256+'ม.ค.-มี.ค.'!P255+'เม.ย.-มิ.ย.'!P255</f>
        <v>0</v>
      </c>
      <c r="Q255" s="443">
        <f>+'ต.ค.-ธ.ค.'!Q256+'ม.ค.-มี.ค.'!Q255+'เม.ย.-มิ.ย.'!Q255</f>
        <v>0</v>
      </c>
      <c r="R255" s="443">
        <f>+'ต.ค.-ธ.ค.'!R256+'ม.ค.-มี.ค.'!R255+'เม.ย.-มิ.ย.'!R255</f>
        <v>0</v>
      </c>
      <c r="S255" s="443">
        <f>+'ต.ค.-ธ.ค.'!S256+'ม.ค.-มี.ค.'!S255+'เม.ย.-มิ.ย.'!S255</f>
        <v>0</v>
      </c>
      <c r="T255" s="443">
        <f>+'ต.ค.-ธ.ค.'!U256+'ม.ค.-มี.ค.'!U255+'เม.ย.-มิ.ย.'!U255</f>
        <v>0</v>
      </c>
      <c r="U255" s="443">
        <f>+'ต.ค.-ธ.ค.'!V256+'ม.ค.-มี.ค.'!V255+'เม.ย.-มิ.ย.'!V255</f>
        <v>0</v>
      </c>
    </row>
    <row r="256" spans="1:23" ht="25.5" customHeight="1">
      <c r="A256" s="447"/>
      <c r="B256" s="394" t="s">
        <v>345</v>
      </c>
      <c r="C256" s="423">
        <v>217000</v>
      </c>
      <c r="D256" s="442"/>
      <c r="E256" s="443">
        <f>+'ต.ค.-ธ.ค.'!E257+'ม.ค.-มี.ค.'!E256+'เม.ย.-มิ.ย.'!E256</f>
        <v>0</v>
      </c>
      <c r="F256" s="443">
        <f>+'ต.ค.-ธ.ค.'!F257+'ม.ค.-มี.ค.'!F256+'เม.ย.-มิ.ย.'!F256</f>
        <v>0</v>
      </c>
      <c r="G256" s="443">
        <f>+'ต.ค.-ธ.ค.'!G257+'ม.ค.-มี.ค.'!G256+'เม.ย.-มิ.ย.'!G256</f>
        <v>0</v>
      </c>
      <c r="H256" s="443">
        <f>+'ต.ค.-ธ.ค.'!H257+'ม.ค.-มี.ค.'!H256+'เม.ย.-มิ.ย.'!H256</f>
        <v>0</v>
      </c>
      <c r="I256" s="443">
        <f>+'ต.ค.-ธ.ค.'!I257+'ม.ค.-มี.ค.'!I256+'เม.ย.-มิ.ย.'!I256</f>
        <v>0</v>
      </c>
      <c r="J256" s="443">
        <f>+'ต.ค.-ธ.ค.'!J257+'ม.ค.-มี.ค.'!J256+'เม.ย.-มิ.ย.'!J256</f>
        <v>0</v>
      </c>
      <c r="K256" s="443">
        <f>+'ต.ค.-ธ.ค.'!K257+'ม.ค.-มี.ค.'!K256+'เม.ย.-มิ.ย.'!K256</f>
        <v>0</v>
      </c>
      <c r="L256" s="443">
        <f>+'ต.ค.-ธ.ค.'!L257+'ม.ค.-มี.ค.'!L256+'เม.ย.-มิ.ย.'!L256</f>
        <v>0</v>
      </c>
      <c r="M256" s="443">
        <f>+'ต.ค.-ธ.ค.'!M257+'ม.ค.-มี.ค.'!M256+'เม.ย.-มิ.ย.'!M256</f>
        <v>0</v>
      </c>
      <c r="N256" s="443">
        <f>+'ต.ค.-ธ.ค.'!N257+'ม.ค.-มี.ค.'!N256+'เม.ย.-มิ.ย.'!N256</f>
        <v>216000</v>
      </c>
      <c r="O256" s="443">
        <f>+'ต.ค.-ธ.ค.'!O257+'ม.ค.-มี.ค.'!O256+'เม.ย.-มิ.ย.'!O256</f>
        <v>0</v>
      </c>
      <c r="P256" s="443">
        <f>+'ต.ค.-ธ.ค.'!P257+'ม.ค.-มี.ค.'!P256+'เม.ย.-มิ.ย.'!P256</f>
        <v>0</v>
      </c>
      <c r="Q256" s="443">
        <f>+'ต.ค.-ธ.ค.'!Q257+'ม.ค.-มี.ค.'!Q256+'เม.ย.-มิ.ย.'!Q256</f>
        <v>0</v>
      </c>
      <c r="R256" s="443">
        <f>+'ต.ค.-ธ.ค.'!R257+'ม.ค.-มี.ค.'!R256+'เม.ย.-มิ.ย.'!R256</f>
        <v>0</v>
      </c>
      <c r="S256" s="443">
        <f>+'ต.ค.-ธ.ค.'!S257+'ม.ค.-มี.ค.'!S256+'เม.ย.-มิ.ย.'!S256</f>
        <v>0</v>
      </c>
      <c r="T256" s="443">
        <f>+'ต.ค.-ธ.ค.'!U257+'ม.ค.-มี.ค.'!U256+'เม.ย.-มิ.ย.'!U256</f>
        <v>0</v>
      </c>
      <c r="U256" s="443">
        <f>+'ต.ค.-ธ.ค.'!V257+'ม.ค.-มี.ค.'!V256+'เม.ย.-มิ.ย.'!V256</f>
        <v>0</v>
      </c>
    </row>
    <row r="257" spans="1:22" ht="25.5" customHeight="1">
      <c r="A257" s="447"/>
      <c r="B257" s="394" t="s">
        <v>346</v>
      </c>
      <c r="C257" s="423">
        <v>27000</v>
      </c>
      <c r="D257" s="442"/>
      <c r="E257" s="443">
        <f>+'ต.ค.-ธ.ค.'!E258+'ม.ค.-มี.ค.'!E257+'เม.ย.-มิ.ย.'!E257</f>
        <v>0</v>
      </c>
      <c r="F257" s="443">
        <f>+'ต.ค.-ธ.ค.'!F258+'ม.ค.-มี.ค.'!F257+'เม.ย.-มิ.ย.'!F257</f>
        <v>0</v>
      </c>
      <c r="G257" s="443">
        <f>+'ต.ค.-ธ.ค.'!G258+'ม.ค.-มี.ค.'!G257+'เม.ย.-มิ.ย.'!G257</f>
        <v>0</v>
      </c>
      <c r="H257" s="443">
        <f>+'ต.ค.-ธ.ค.'!H258+'ม.ค.-มี.ค.'!H257+'เม.ย.-มิ.ย.'!H257</f>
        <v>0</v>
      </c>
      <c r="I257" s="443">
        <f>+'ต.ค.-ธ.ค.'!I258+'ม.ค.-มี.ค.'!I257+'เม.ย.-มิ.ย.'!I257</f>
        <v>0</v>
      </c>
      <c r="J257" s="443">
        <f>+'ต.ค.-ธ.ค.'!J258+'ม.ค.-มี.ค.'!J257+'เม.ย.-มิ.ย.'!J257</f>
        <v>0</v>
      </c>
      <c r="K257" s="443">
        <f>+'ต.ค.-ธ.ค.'!K258+'ม.ค.-มี.ค.'!K257+'เม.ย.-มิ.ย.'!K257</f>
        <v>0</v>
      </c>
      <c r="L257" s="443">
        <f>+'ต.ค.-ธ.ค.'!L258+'ม.ค.-มี.ค.'!L257+'เม.ย.-มิ.ย.'!L257</f>
        <v>0</v>
      </c>
      <c r="M257" s="443">
        <f>+'ต.ค.-ธ.ค.'!M258+'ม.ค.-มี.ค.'!M257+'เม.ย.-มิ.ย.'!M257</f>
        <v>0</v>
      </c>
      <c r="N257" s="443">
        <f>+'ต.ค.-ธ.ค.'!N258+'ม.ค.-มี.ค.'!N257+'เม.ย.-มิ.ย.'!N257</f>
        <v>0</v>
      </c>
      <c r="O257" s="443">
        <f>+'ต.ค.-ธ.ค.'!O258+'ม.ค.-มี.ค.'!O257+'เม.ย.-มิ.ย.'!O257</f>
        <v>0</v>
      </c>
      <c r="P257" s="443">
        <f>+'ต.ค.-ธ.ค.'!P258+'ม.ค.-มี.ค.'!P257+'เม.ย.-มิ.ย.'!P257</f>
        <v>0</v>
      </c>
      <c r="Q257" s="443">
        <f>+'ต.ค.-ธ.ค.'!Q258+'ม.ค.-มี.ค.'!Q257+'เม.ย.-มิ.ย.'!Q257</f>
        <v>0</v>
      </c>
      <c r="R257" s="443">
        <f>+'ต.ค.-ธ.ค.'!R258+'ม.ค.-มี.ค.'!R257+'เม.ย.-มิ.ย.'!R257</f>
        <v>0</v>
      </c>
      <c r="S257" s="443">
        <f>+'ต.ค.-ธ.ค.'!S258+'ม.ค.-มี.ค.'!S257+'เม.ย.-มิ.ย.'!S257</f>
        <v>0</v>
      </c>
      <c r="T257" s="443">
        <f>+'ต.ค.-ธ.ค.'!U258+'ม.ค.-มี.ค.'!U257+'เม.ย.-มิ.ย.'!U257</f>
        <v>0</v>
      </c>
      <c r="U257" s="443">
        <f>+'ต.ค.-ธ.ค.'!V258+'ม.ค.-มี.ค.'!V257+'เม.ย.-มิ.ย.'!V257</f>
        <v>0</v>
      </c>
    </row>
    <row r="258" spans="1:22" ht="25.5" customHeight="1">
      <c r="A258" s="447"/>
      <c r="B258" s="394" t="s">
        <v>347</v>
      </c>
      <c r="C258" s="423">
        <v>211000</v>
      </c>
      <c r="D258" s="442"/>
      <c r="E258" s="443">
        <f>+'ต.ค.-ธ.ค.'!E259+'ม.ค.-มี.ค.'!E258+'เม.ย.-มิ.ย.'!E258</f>
        <v>0</v>
      </c>
      <c r="F258" s="443">
        <f>+'ต.ค.-ธ.ค.'!F259+'ม.ค.-มี.ค.'!F258+'เม.ย.-มิ.ย.'!F258</f>
        <v>0</v>
      </c>
      <c r="G258" s="443">
        <f>+'ต.ค.-ธ.ค.'!G259+'ม.ค.-มี.ค.'!G258+'เม.ย.-มิ.ย.'!G258</f>
        <v>0</v>
      </c>
      <c r="H258" s="443">
        <f>+'ต.ค.-ธ.ค.'!H259+'ม.ค.-มี.ค.'!H258+'เม.ย.-มิ.ย.'!H258</f>
        <v>0</v>
      </c>
      <c r="I258" s="443">
        <f>+'ต.ค.-ธ.ค.'!I259+'ม.ค.-มี.ค.'!I258+'เม.ย.-มิ.ย.'!I258</f>
        <v>0</v>
      </c>
      <c r="J258" s="443">
        <f>+'ต.ค.-ธ.ค.'!J259+'ม.ค.-มี.ค.'!J258+'เม.ย.-มิ.ย.'!J258</f>
        <v>0</v>
      </c>
      <c r="K258" s="443">
        <f>+'ต.ค.-ธ.ค.'!K259+'ม.ค.-มี.ค.'!K258+'เม.ย.-มิ.ย.'!K258</f>
        <v>0</v>
      </c>
      <c r="L258" s="443">
        <f>+'ต.ค.-ธ.ค.'!L259+'ม.ค.-มี.ค.'!L258+'เม.ย.-มิ.ย.'!L258</f>
        <v>0</v>
      </c>
      <c r="M258" s="443">
        <f>+'ต.ค.-ธ.ค.'!M259+'ม.ค.-มี.ค.'!M258+'เม.ย.-มิ.ย.'!M258</f>
        <v>0</v>
      </c>
      <c r="N258" s="443">
        <f>+'ต.ค.-ธ.ค.'!N259+'ม.ค.-มี.ค.'!N258+'เม.ย.-มิ.ย.'!N258</f>
        <v>0</v>
      </c>
      <c r="O258" s="443">
        <f>+'ต.ค.-ธ.ค.'!O259+'ม.ค.-มี.ค.'!O258+'เม.ย.-มิ.ย.'!O258</f>
        <v>0</v>
      </c>
      <c r="P258" s="443">
        <f>+'ต.ค.-ธ.ค.'!P259+'ม.ค.-มี.ค.'!P258+'เม.ย.-มิ.ย.'!P258</f>
        <v>0</v>
      </c>
      <c r="Q258" s="443">
        <f>+'ต.ค.-ธ.ค.'!Q259+'ม.ค.-มี.ค.'!Q258+'เม.ย.-มิ.ย.'!Q258</f>
        <v>0</v>
      </c>
      <c r="R258" s="443">
        <f>+'ต.ค.-ธ.ค.'!R259+'ม.ค.-มี.ค.'!R258+'เม.ย.-มิ.ย.'!R258</f>
        <v>0</v>
      </c>
      <c r="S258" s="443">
        <f>+'ต.ค.-ธ.ค.'!S259+'ม.ค.-มี.ค.'!S258+'เม.ย.-มิ.ย.'!S258</f>
        <v>0</v>
      </c>
      <c r="T258" s="443">
        <f>+'ต.ค.-ธ.ค.'!U259+'ม.ค.-มี.ค.'!U258+'เม.ย.-มิ.ย.'!U258</f>
        <v>0</v>
      </c>
      <c r="U258" s="443">
        <f>+'ต.ค.-ธ.ค.'!V259+'ม.ค.-มี.ค.'!V258+'เม.ย.-มิ.ย.'!V258</f>
        <v>0</v>
      </c>
    </row>
    <row r="259" spans="1:22" ht="25.5" customHeight="1">
      <c r="A259" s="447"/>
      <c r="B259" s="394" t="s">
        <v>348</v>
      </c>
      <c r="C259" s="423">
        <v>211000</v>
      </c>
      <c r="D259" s="442"/>
      <c r="E259" s="443">
        <f>+'ต.ค.-ธ.ค.'!E260+'ม.ค.-มี.ค.'!E259+'เม.ย.-มิ.ย.'!E259</f>
        <v>0</v>
      </c>
      <c r="F259" s="443">
        <f>+'ต.ค.-ธ.ค.'!F260+'ม.ค.-มี.ค.'!F259+'เม.ย.-มิ.ย.'!F259</f>
        <v>0</v>
      </c>
      <c r="G259" s="443">
        <f>+'ต.ค.-ธ.ค.'!G260+'ม.ค.-มี.ค.'!G259+'เม.ย.-มิ.ย.'!G259</f>
        <v>0</v>
      </c>
      <c r="H259" s="443">
        <f>+'ต.ค.-ธ.ค.'!H260+'ม.ค.-มี.ค.'!H259+'เม.ย.-มิ.ย.'!H259</f>
        <v>0</v>
      </c>
      <c r="I259" s="443">
        <f>+'ต.ค.-ธ.ค.'!I260+'ม.ค.-มี.ค.'!I259+'เม.ย.-มิ.ย.'!I259</f>
        <v>0</v>
      </c>
      <c r="J259" s="443">
        <f>+'ต.ค.-ธ.ค.'!J260+'ม.ค.-มี.ค.'!J259+'เม.ย.-มิ.ย.'!J259</f>
        <v>0</v>
      </c>
      <c r="K259" s="443">
        <f>+'ต.ค.-ธ.ค.'!K260+'ม.ค.-มี.ค.'!K259+'เม.ย.-มิ.ย.'!K259</f>
        <v>0</v>
      </c>
      <c r="L259" s="443">
        <f>+'ต.ค.-ธ.ค.'!L260+'ม.ค.-มี.ค.'!L259+'เม.ย.-มิ.ย.'!L259</f>
        <v>0</v>
      </c>
      <c r="M259" s="443">
        <f>+'ต.ค.-ธ.ค.'!M260+'ม.ค.-มี.ค.'!M259+'เม.ย.-มิ.ย.'!M259</f>
        <v>0</v>
      </c>
      <c r="N259" s="443">
        <f>+'ต.ค.-ธ.ค.'!N260+'ม.ค.-มี.ค.'!N259+'เม.ย.-มิ.ย.'!N259</f>
        <v>210000</v>
      </c>
      <c r="O259" s="443">
        <f>+'ต.ค.-ธ.ค.'!O260+'ม.ค.-มี.ค.'!O259+'เม.ย.-มิ.ย.'!O259</f>
        <v>0</v>
      </c>
      <c r="P259" s="443">
        <f>+'ต.ค.-ธ.ค.'!P260+'ม.ค.-มี.ค.'!P259+'เม.ย.-มิ.ย.'!P259</f>
        <v>0</v>
      </c>
      <c r="Q259" s="443">
        <f>+'ต.ค.-ธ.ค.'!Q260+'ม.ค.-มี.ค.'!Q259+'เม.ย.-มิ.ย.'!Q259</f>
        <v>0</v>
      </c>
      <c r="R259" s="443">
        <f>+'ต.ค.-ธ.ค.'!R260+'ม.ค.-มี.ค.'!R259+'เม.ย.-มิ.ย.'!R259</f>
        <v>0</v>
      </c>
      <c r="S259" s="443">
        <f>+'ต.ค.-ธ.ค.'!S260+'ม.ค.-มี.ค.'!S259+'เม.ย.-มิ.ย.'!S259</f>
        <v>0</v>
      </c>
      <c r="T259" s="443">
        <f>+'ต.ค.-ธ.ค.'!U260+'ม.ค.-มี.ค.'!U259+'เม.ย.-มิ.ย.'!U259</f>
        <v>0</v>
      </c>
      <c r="U259" s="443">
        <f>+'ต.ค.-ธ.ค.'!V260+'ม.ค.-มี.ค.'!V259+'เม.ย.-มิ.ย.'!V259</f>
        <v>0</v>
      </c>
    </row>
    <row r="260" spans="1:22" ht="25.5" customHeight="1">
      <c r="A260" s="447"/>
      <c r="B260" s="394" t="s">
        <v>349</v>
      </c>
      <c r="C260" s="425">
        <v>688700</v>
      </c>
      <c r="D260" s="442"/>
      <c r="E260" s="443">
        <f>+'ต.ค.-ธ.ค.'!E261+'ม.ค.-มี.ค.'!E260+'เม.ย.-มิ.ย.'!E260</f>
        <v>0</v>
      </c>
      <c r="F260" s="443">
        <f>+'ต.ค.-ธ.ค.'!F261+'ม.ค.-มี.ค.'!F260+'เม.ย.-มิ.ย.'!F260</f>
        <v>0</v>
      </c>
      <c r="G260" s="443">
        <f>+'ต.ค.-ธ.ค.'!G261+'ม.ค.-มี.ค.'!G260+'เม.ย.-มิ.ย.'!G260</f>
        <v>0</v>
      </c>
      <c r="H260" s="443">
        <f>+'ต.ค.-ธ.ค.'!H261+'ม.ค.-มี.ค.'!H260+'เม.ย.-มิ.ย.'!H260</f>
        <v>0</v>
      </c>
      <c r="I260" s="443">
        <f>+'ต.ค.-ธ.ค.'!I261+'ม.ค.-มี.ค.'!I260+'เม.ย.-มิ.ย.'!I260</f>
        <v>0</v>
      </c>
      <c r="J260" s="443">
        <f>+'ต.ค.-ธ.ค.'!J261+'ม.ค.-มี.ค.'!J260+'เม.ย.-มิ.ย.'!J260</f>
        <v>0</v>
      </c>
      <c r="K260" s="443">
        <f>+'ต.ค.-ธ.ค.'!K261+'ม.ค.-มี.ค.'!K260+'เม.ย.-มิ.ย.'!K260</f>
        <v>0</v>
      </c>
      <c r="L260" s="443">
        <f>+'ต.ค.-ธ.ค.'!L261+'ม.ค.-มี.ค.'!L260+'เม.ย.-มิ.ย.'!L260</f>
        <v>0</v>
      </c>
      <c r="M260" s="443">
        <f>+'ต.ค.-ธ.ค.'!M261+'ม.ค.-มี.ค.'!M260+'เม.ย.-มิ.ย.'!M260</f>
        <v>0</v>
      </c>
      <c r="N260" s="443">
        <f>+'ต.ค.-ธ.ค.'!N261+'ม.ค.-มี.ค.'!N260+'เม.ย.-มิ.ย.'!N260</f>
        <v>0</v>
      </c>
      <c r="O260" s="443">
        <f>+'ต.ค.-ธ.ค.'!O261+'ม.ค.-มี.ค.'!O260+'เม.ย.-มิ.ย.'!O260</f>
        <v>0</v>
      </c>
      <c r="P260" s="443">
        <f>+'ต.ค.-ธ.ค.'!P261+'ม.ค.-มี.ค.'!P260+'เม.ย.-มิ.ย.'!P260</f>
        <v>0</v>
      </c>
      <c r="Q260" s="443">
        <f>+'ต.ค.-ธ.ค.'!Q261+'ม.ค.-มี.ค.'!Q260+'เม.ย.-มิ.ย.'!Q260</f>
        <v>0</v>
      </c>
      <c r="R260" s="443">
        <f>+'ต.ค.-ธ.ค.'!R261+'ม.ค.-มี.ค.'!R260+'เม.ย.-มิ.ย.'!R260</f>
        <v>0</v>
      </c>
      <c r="S260" s="443">
        <f>+'ต.ค.-ธ.ค.'!S261+'ม.ค.-มี.ค.'!S260+'เม.ย.-มิ.ย.'!S260</f>
        <v>0</v>
      </c>
      <c r="T260" s="443">
        <f>+'ต.ค.-ธ.ค.'!U261+'ม.ค.-มี.ค.'!U260+'เม.ย.-มิ.ย.'!U260</f>
        <v>0</v>
      </c>
      <c r="U260" s="443">
        <f>+'ต.ค.-ธ.ค.'!V261+'ม.ค.-มี.ค.'!V260+'เม.ย.-มิ.ย.'!V260</f>
        <v>0</v>
      </c>
    </row>
    <row r="261" spans="1:22" ht="25.5" customHeight="1">
      <c r="A261" s="447"/>
      <c r="B261" s="394" t="s">
        <v>350</v>
      </c>
      <c r="C261" s="426">
        <v>62000</v>
      </c>
      <c r="D261" s="442"/>
      <c r="E261" s="443">
        <f>+'ต.ค.-ธ.ค.'!E262+'ม.ค.-มี.ค.'!E261+'เม.ย.-มิ.ย.'!E261</f>
        <v>0</v>
      </c>
      <c r="F261" s="443">
        <f>+'ต.ค.-ธ.ค.'!F262+'ม.ค.-มี.ค.'!F261+'เม.ย.-มิ.ย.'!F261</f>
        <v>0</v>
      </c>
      <c r="G261" s="443">
        <f>+'ต.ค.-ธ.ค.'!G262+'ม.ค.-มี.ค.'!G261+'เม.ย.-มิ.ย.'!G261</f>
        <v>0</v>
      </c>
      <c r="H261" s="443">
        <f>+'ต.ค.-ธ.ค.'!H262+'ม.ค.-มี.ค.'!H261+'เม.ย.-มิ.ย.'!H261</f>
        <v>0</v>
      </c>
      <c r="I261" s="443">
        <f>+'ต.ค.-ธ.ค.'!I262+'ม.ค.-มี.ค.'!I261+'เม.ย.-มิ.ย.'!I261</f>
        <v>0</v>
      </c>
      <c r="J261" s="443">
        <f>+'ต.ค.-ธ.ค.'!J262+'ม.ค.-มี.ค.'!J261+'เม.ย.-มิ.ย.'!J261</f>
        <v>0</v>
      </c>
      <c r="K261" s="443">
        <f>+'ต.ค.-ธ.ค.'!K262+'ม.ค.-มี.ค.'!K261+'เม.ย.-มิ.ย.'!K261</f>
        <v>0</v>
      </c>
      <c r="L261" s="443">
        <f>+'ต.ค.-ธ.ค.'!L262+'ม.ค.-มี.ค.'!L261+'เม.ย.-มิ.ย.'!L261</f>
        <v>0</v>
      </c>
      <c r="M261" s="443">
        <f>+'ต.ค.-ธ.ค.'!M262+'ม.ค.-มี.ค.'!M261+'เม.ย.-มิ.ย.'!M261</f>
        <v>0</v>
      </c>
      <c r="N261" s="443">
        <f>+'ต.ค.-ธ.ค.'!N262+'ม.ค.-มี.ค.'!N261+'เม.ย.-มิ.ย.'!N261</f>
        <v>0</v>
      </c>
      <c r="O261" s="443">
        <f>+'ต.ค.-ธ.ค.'!O262+'ม.ค.-มี.ค.'!O261+'เม.ย.-มิ.ย.'!O261</f>
        <v>0</v>
      </c>
      <c r="P261" s="443">
        <f>+'ต.ค.-ธ.ค.'!P262+'ม.ค.-มี.ค.'!P261+'เม.ย.-มิ.ย.'!P261</f>
        <v>0</v>
      </c>
      <c r="Q261" s="443">
        <f>+'ต.ค.-ธ.ค.'!Q262+'ม.ค.-มี.ค.'!Q261+'เม.ย.-มิ.ย.'!Q261</f>
        <v>0</v>
      </c>
      <c r="R261" s="443">
        <f>+'ต.ค.-ธ.ค.'!R262+'ม.ค.-มี.ค.'!R261+'เม.ย.-มิ.ย.'!R261</f>
        <v>0</v>
      </c>
      <c r="S261" s="443">
        <f>+'ต.ค.-ธ.ค.'!S262+'ม.ค.-มี.ค.'!S261+'เม.ย.-มิ.ย.'!S261</f>
        <v>0</v>
      </c>
      <c r="T261" s="443">
        <f>+'ต.ค.-ธ.ค.'!U262+'ม.ค.-มี.ค.'!U261+'เม.ย.-มิ.ย.'!U261</f>
        <v>0</v>
      </c>
      <c r="U261" s="443">
        <f>+'ต.ค.-ธ.ค.'!V262+'ม.ค.-มี.ค.'!V261+'เม.ย.-มิ.ย.'!V261</f>
        <v>0</v>
      </c>
    </row>
    <row r="262" spans="1:22" ht="25.5" customHeight="1" thickBot="1">
      <c r="A262" s="441"/>
      <c r="B262" s="395" t="s">
        <v>5</v>
      </c>
      <c r="C262" s="411">
        <f>SUM(C227:C261)</f>
        <v>2383100</v>
      </c>
      <c r="D262" s="466">
        <f>SUM(D251:D261)</f>
        <v>0</v>
      </c>
      <c r="E262" s="466">
        <f t="shared" ref="E262:U262" si="12">SUM(E251:E261)</f>
        <v>0</v>
      </c>
      <c r="F262" s="466">
        <f t="shared" si="12"/>
        <v>0</v>
      </c>
      <c r="G262" s="466">
        <f t="shared" si="12"/>
        <v>0</v>
      </c>
      <c r="H262" s="466">
        <f t="shared" si="12"/>
        <v>0</v>
      </c>
      <c r="I262" s="466">
        <f t="shared" si="12"/>
        <v>0</v>
      </c>
      <c r="J262" s="466">
        <f t="shared" si="12"/>
        <v>0</v>
      </c>
      <c r="K262" s="466">
        <f t="shared" si="12"/>
        <v>0</v>
      </c>
      <c r="L262" s="466">
        <f t="shared" si="12"/>
        <v>0</v>
      </c>
      <c r="M262" s="466">
        <f t="shared" si="12"/>
        <v>0</v>
      </c>
      <c r="N262" s="466">
        <f t="shared" si="12"/>
        <v>1032000</v>
      </c>
      <c r="O262" s="466">
        <f t="shared" si="12"/>
        <v>0</v>
      </c>
      <c r="P262" s="466">
        <f t="shared" si="12"/>
        <v>0</v>
      </c>
      <c r="Q262" s="466">
        <f t="shared" si="12"/>
        <v>0</v>
      </c>
      <c r="R262" s="466">
        <f t="shared" si="12"/>
        <v>0</v>
      </c>
      <c r="S262" s="466">
        <f t="shared" si="12"/>
        <v>0</v>
      </c>
      <c r="T262" s="466">
        <f t="shared" si="12"/>
        <v>0</v>
      </c>
      <c r="U262" s="466">
        <f t="shared" si="12"/>
        <v>0</v>
      </c>
      <c r="V262" s="314">
        <f>SUM(D262:U262)</f>
        <v>1032000</v>
      </c>
    </row>
    <row r="263" spans="1:22" ht="25.5" customHeight="1" thickTop="1">
      <c r="A263" s="476" t="s">
        <v>149</v>
      </c>
      <c r="B263" s="382"/>
      <c r="C263" s="427"/>
      <c r="D263" s="458"/>
      <c r="E263" s="459"/>
      <c r="F263" s="460"/>
      <c r="G263" s="460"/>
      <c r="H263" s="460"/>
      <c r="I263" s="458"/>
      <c r="J263" s="458"/>
      <c r="K263" s="458"/>
      <c r="L263" s="458"/>
      <c r="M263" s="460"/>
      <c r="N263" s="458"/>
      <c r="O263" s="458"/>
      <c r="P263" s="458"/>
      <c r="Q263" s="458"/>
      <c r="R263" s="461"/>
      <c r="S263" s="470"/>
      <c r="T263" s="461"/>
      <c r="U263" s="461"/>
    </row>
    <row r="264" spans="1:22" ht="25.5" customHeight="1">
      <c r="A264" s="61"/>
      <c r="B264" s="394"/>
      <c r="C264" s="425"/>
      <c r="D264" s="458"/>
      <c r="E264" s="459"/>
      <c r="F264" s="460"/>
      <c r="G264" s="460"/>
      <c r="H264" s="460"/>
      <c r="I264" s="458"/>
      <c r="J264" s="458"/>
      <c r="K264" s="458"/>
      <c r="L264" s="458"/>
      <c r="M264" s="460"/>
      <c r="N264" s="458"/>
      <c r="O264" s="458"/>
      <c r="P264" s="458"/>
      <c r="Q264" s="458"/>
      <c r="R264" s="461"/>
      <c r="S264" s="470"/>
      <c r="T264" s="461"/>
      <c r="U264" s="461"/>
    </row>
    <row r="265" spans="1:22" ht="25.5" customHeight="1">
      <c r="A265" s="61"/>
      <c r="B265" s="394"/>
      <c r="C265" s="425"/>
      <c r="D265" s="458"/>
      <c r="E265" s="459"/>
      <c r="F265" s="460"/>
      <c r="G265" s="460"/>
      <c r="H265" s="460"/>
      <c r="I265" s="458"/>
      <c r="J265" s="458"/>
      <c r="K265" s="458"/>
      <c r="L265" s="458"/>
      <c r="M265" s="460"/>
      <c r="N265" s="458"/>
      <c r="O265" s="458"/>
      <c r="P265" s="458"/>
      <c r="Q265" s="458"/>
      <c r="R265" s="461"/>
      <c r="S265" s="470"/>
      <c r="T265" s="461"/>
      <c r="U265" s="461"/>
    </row>
    <row r="266" spans="1:22" ht="25.5" customHeight="1">
      <c r="A266" s="61"/>
      <c r="B266" s="394"/>
      <c r="C266" s="425"/>
      <c r="D266" s="458"/>
      <c r="E266" s="459"/>
      <c r="F266" s="460"/>
      <c r="G266" s="460"/>
      <c r="H266" s="460"/>
      <c r="I266" s="458"/>
      <c r="J266" s="458"/>
      <c r="K266" s="458"/>
      <c r="L266" s="458"/>
      <c r="M266" s="460"/>
      <c r="N266" s="458"/>
      <c r="O266" s="458"/>
      <c r="P266" s="458"/>
      <c r="Q266" s="458"/>
      <c r="R266" s="461"/>
      <c r="S266" s="470"/>
      <c r="T266" s="461"/>
      <c r="U266" s="461"/>
    </row>
    <row r="267" spans="1:22" ht="25.5" customHeight="1">
      <c r="A267" s="61"/>
      <c r="B267" s="394"/>
      <c r="C267" s="425"/>
      <c r="D267" s="442"/>
      <c r="E267" s="443"/>
      <c r="F267" s="444"/>
      <c r="G267" s="444"/>
      <c r="H267" s="444"/>
      <c r="I267" s="442"/>
      <c r="J267" s="442"/>
      <c r="K267" s="442"/>
      <c r="L267" s="442"/>
      <c r="M267" s="444"/>
      <c r="N267" s="442"/>
      <c r="O267" s="442"/>
      <c r="P267" s="442"/>
      <c r="Q267" s="442"/>
      <c r="R267" s="445"/>
      <c r="S267" s="446"/>
      <c r="T267" s="445"/>
      <c r="U267" s="445"/>
    </row>
    <row r="268" spans="1:22" ht="25.5" customHeight="1">
      <c r="A268" s="61"/>
      <c r="B268" s="394"/>
      <c r="C268" s="425"/>
      <c r="D268" s="442"/>
      <c r="E268" s="443"/>
      <c r="F268" s="444"/>
      <c r="G268" s="444"/>
      <c r="H268" s="444"/>
      <c r="I268" s="442"/>
      <c r="J268" s="442"/>
      <c r="K268" s="442"/>
      <c r="L268" s="442"/>
      <c r="M268" s="444"/>
      <c r="N268" s="442"/>
      <c r="O268" s="442"/>
      <c r="P268" s="442"/>
      <c r="Q268" s="442"/>
      <c r="R268" s="445"/>
      <c r="S268" s="446"/>
      <c r="T268" s="445"/>
      <c r="U268" s="445"/>
    </row>
    <row r="269" spans="1:22" ht="25.5" customHeight="1">
      <c r="A269" s="61"/>
      <c r="B269" s="394"/>
      <c r="C269" s="425"/>
      <c r="D269" s="442"/>
      <c r="E269" s="443"/>
      <c r="F269" s="444"/>
      <c r="G269" s="444"/>
      <c r="H269" s="444"/>
      <c r="I269" s="442"/>
      <c r="J269" s="442"/>
      <c r="K269" s="442"/>
      <c r="L269" s="442"/>
      <c r="M269" s="444"/>
      <c r="N269" s="442"/>
      <c r="O269" s="442"/>
      <c r="P269" s="442"/>
      <c r="Q269" s="442"/>
      <c r="R269" s="445"/>
      <c r="S269" s="446"/>
      <c r="T269" s="445"/>
      <c r="U269" s="445"/>
    </row>
    <row r="270" spans="1:22" ht="25.5" customHeight="1">
      <c r="A270" s="61"/>
      <c r="B270" s="394"/>
      <c r="C270" s="425"/>
      <c r="D270" s="442"/>
      <c r="E270" s="443"/>
      <c r="F270" s="444"/>
      <c r="G270" s="444"/>
      <c r="H270" s="444"/>
      <c r="I270" s="442"/>
      <c r="J270" s="442"/>
      <c r="K270" s="442"/>
      <c r="L270" s="442"/>
      <c r="M270" s="444"/>
      <c r="N270" s="442"/>
      <c r="O270" s="442"/>
      <c r="P270" s="442"/>
      <c r="Q270" s="442"/>
      <c r="R270" s="445"/>
      <c r="S270" s="446"/>
      <c r="T270" s="445"/>
      <c r="U270" s="445"/>
    </row>
    <row r="271" spans="1:22" ht="25.5" customHeight="1">
      <c r="A271" s="61"/>
      <c r="B271" s="394"/>
      <c r="C271" s="425"/>
      <c r="D271" s="442"/>
      <c r="E271" s="443"/>
      <c r="F271" s="444"/>
      <c r="G271" s="444"/>
      <c r="H271" s="444"/>
      <c r="I271" s="442"/>
      <c r="J271" s="442"/>
      <c r="K271" s="442"/>
      <c r="L271" s="442"/>
      <c r="M271" s="444"/>
      <c r="N271" s="442"/>
      <c r="O271" s="442"/>
      <c r="P271" s="442"/>
      <c r="Q271" s="442"/>
      <c r="R271" s="445"/>
      <c r="S271" s="446"/>
      <c r="T271" s="445"/>
      <c r="U271" s="445"/>
    </row>
    <row r="272" spans="1:22" ht="25.5" customHeight="1" thickBot="1">
      <c r="A272" s="462"/>
      <c r="B272" s="386" t="s">
        <v>5</v>
      </c>
      <c r="C272" s="411">
        <f>SUM(C264:C271)</f>
        <v>0</v>
      </c>
      <c r="D272" s="466">
        <f>SUM(D264:D271)</f>
        <v>0</v>
      </c>
      <c r="E272" s="467">
        <f t="shared" ref="E272:U272" si="13">SUM(E264:E271)</f>
        <v>0</v>
      </c>
      <c r="F272" s="467">
        <f t="shared" si="13"/>
        <v>0</v>
      </c>
      <c r="G272" s="467">
        <f t="shared" si="13"/>
        <v>0</v>
      </c>
      <c r="H272" s="467">
        <f t="shared" si="13"/>
        <v>0</v>
      </c>
      <c r="I272" s="466">
        <f t="shared" si="13"/>
        <v>0</v>
      </c>
      <c r="J272" s="466">
        <f t="shared" si="13"/>
        <v>0</v>
      </c>
      <c r="K272" s="466">
        <f t="shared" si="13"/>
        <v>0</v>
      </c>
      <c r="L272" s="466">
        <f t="shared" si="13"/>
        <v>0</v>
      </c>
      <c r="M272" s="467">
        <f t="shared" si="13"/>
        <v>0</v>
      </c>
      <c r="N272" s="466">
        <f t="shared" si="13"/>
        <v>0</v>
      </c>
      <c r="O272" s="466">
        <f t="shared" si="13"/>
        <v>0</v>
      </c>
      <c r="P272" s="466">
        <f t="shared" si="13"/>
        <v>0</v>
      </c>
      <c r="Q272" s="466">
        <f t="shared" si="13"/>
        <v>0</v>
      </c>
      <c r="R272" s="466">
        <f t="shared" si="13"/>
        <v>0</v>
      </c>
      <c r="S272" s="466">
        <f t="shared" si="13"/>
        <v>0</v>
      </c>
      <c r="T272" s="466">
        <f t="shared" si="13"/>
        <v>0</v>
      </c>
      <c r="U272" s="466">
        <f t="shared" si="13"/>
        <v>0</v>
      </c>
      <c r="V272" s="314">
        <f>SUM(D272:U272)</f>
        <v>0</v>
      </c>
    </row>
    <row r="273" spans="1:22" ht="25.5" customHeight="1" thickTop="1">
      <c r="A273" s="447" t="s">
        <v>24</v>
      </c>
      <c r="B273" s="54"/>
      <c r="C273" s="412"/>
      <c r="D273" s="458"/>
      <c r="E273" s="459"/>
      <c r="F273" s="460"/>
      <c r="G273" s="460"/>
      <c r="H273" s="460"/>
      <c r="I273" s="458"/>
      <c r="J273" s="458"/>
      <c r="K273" s="458"/>
      <c r="L273" s="458"/>
      <c r="M273" s="460"/>
      <c r="N273" s="458"/>
      <c r="O273" s="458"/>
      <c r="P273" s="458"/>
      <c r="Q273" s="458"/>
      <c r="R273" s="461"/>
      <c r="S273" s="470"/>
      <c r="T273" s="461"/>
      <c r="U273" s="461"/>
    </row>
    <row r="274" spans="1:22" ht="25.5" customHeight="1">
      <c r="A274" s="447"/>
      <c r="B274" s="383" t="s">
        <v>406</v>
      </c>
      <c r="C274" s="413">
        <v>121500</v>
      </c>
      <c r="D274" s="442">
        <f>+'ต.ค.-ธ.ค.'!D279+'ม.ค.-มี.ค.'!D274+'เม.ย.-มิ.ย.'!D274</f>
        <v>121500</v>
      </c>
      <c r="E274" s="442">
        <f>+'ต.ค.-ธ.ค.'!E279+'ม.ค.-มี.ค.'!E274+'เม.ย.-มิ.ย.'!E274</f>
        <v>0</v>
      </c>
      <c r="F274" s="442">
        <f>+'ต.ค.-ธ.ค.'!F279+'ม.ค.-มี.ค.'!F274+'เม.ย.-มิ.ย.'!F274</f>
        <v>0</v>
      </c>
      <c r="G274" s="442">
        <f>+'ต.ค.-ธ.ค.'!G279+'ม.ค.-มี.ค.'!G274+'เม.ย.-มิ.ย.'!G274</f>
        <v>0</v>
      </c>
      <c r="H274" s="442">
        <f>+'ต.ค.-ธ.ค.'!H279+'ม.ค.-มี.ค.'!H274+'เม.ย.-มิ.ย.'!H274</f>
        <v>0</v>
      </c>
      <c r="I274" s="442">
        <f>+'ต.ค.-ธ.ค.'!I279+'ม.ค.-มี.ค.'!I274+'เม.ย.-มิ.ย.'!I274</f>
        <v>0</v>
      </c>
      <c r="J274" s="442">
        <f>+'ต.ค.-ธ.ค.'!J279+'ม.ค.-มี.ค.'!J274+'เม.ย.-มิ.ย.'!J274</f>
        <v>0</v>
      </c>
      <c r="K274" s="442">
        <f>+'ต.ค.-ธ.ค.'!K279+'ม.ค.-มี.ค.'!K274+'เม.ย.-มิ.ย.'!K274</f>
        <v>0</v>
      </c>
      <c r="L274" s="442">
        <f>+'ต.ค.-ธ.ค.'!L279+'ม.ค.-มี.ค.'!L274+'เม.ย.-มิ.ย.'!L274</f>
        <v>0</v>
      </c>
      <c r="M274" s="442">
        <f>+'ต.ค.-ธ.ค.'!M279+'ม.ค.-มี.ค.'!M274+'เม.ย.-มิ.ย.'!M274</f>
        <v>0</v>
      </c>
      <c r="N274" s="442">
        <f>+'ต.ค.-ธ.ค.'!N279+'ม.ค.-มี.ค.'!N274+'เม.ย.-มิ.ย.'!N274</f>
        <v>0</v>
      </c>
      <c r="O274" s="442">
        <f>+'ต.ค.-ธ.ค.'!O279+'ม.ค.-มี.ค.'!O274+'เม.ย.-มิ.ย.'!O274</f>
        <v>0</v>
      </c>
      <c r="P274" s="442">
        <f>+'ต.ค.-ธ.ค.'!P279+'ม.ค.-มี.ค.'!P274+'เม.ย.-มิ.ย.'!P274</f>
        <v>0</v>
      </c>
      <c r="Q274" s="442">
        <f>+'ต.ค.-ธ.ค.'!Q279+'ม.ค.-มี.ค.'!Q274+'เม.ย.-มิ.ย.'!Q274</f>
        <v>0</v>
      </c>
      <c r="R274" s="442">
        <f>+'ต.ค.-ธ.ค.'!R279+'ม.ค.-มี.ค.'!R274+'เม.ย.-มิ.ย.'!R274</f>
        <v>0</v>
      </c>
      <c r="S274" s="442">
        <f>+'ต.ค.-ธ.ค.'!S279+'ม.ค.-มี.ค.'!S274+'เม.ย.-มิ.ย.'!S274</f>
        <v>0</v>
      </c>
      <c r="T274" s="442">
        <f>+'ต.ค.-ธ.ค.'!U279+'ม.ค.-มี.ค.'!U274+'เม.ย.-มิ.ย.'!U274</f>
        <v>0</v>
      </c>
      <c r="U274" s="442">
        <f>+'ต.ค.-ธ.ค.'!V279+'ม.ค.-มี.ค.'!V274+'เม.ย.-มิ.ย.'!V274</f>
        <v>0</v>
      </c>
    </row>
    <row r="275" spans="1:22" ht="25.5" customHeight="1">
      <c r="A275" s="447"/>
      <c r="B275" s="383" t="s">
        <v>405</v>
      </c>
      <c r="C275" s="413">
        <v>105000</v>
      </c>
      <c r="D275" s="442">
        <f>+'ต.ค.-ธ.ค.'!D280+'ม.ค.-มี.ค.'!D275+'เม.ย.-มิ.ย.'!D275</f>
        <v>105000</v>
      </c>
      <c r="E275" s="442">
        <f>+'ต.ค.-ธ.ค.'!E280+'ม.ค.-มี.ค.'!E275+'เม.ย.-มิ.ย.'!E275</f>
        <v>0</v>
      </c>
      <c r="F275" s="442">
        <f>+'ต.ค.-ธ.ค.'!F280+'ม.ค.-มี.ค.'!F275+'เม.ย.-มิ.ย.'!F275</f>
        <v>0</v>
      </c>
      <c r="G275" s="442">
        <f>+'ต.ค.-ธ.ค.'!G280+'ม.ค.-มี.ค.'!G275+'เม.ย.-มิ.ย.'!G275</f>
        <v>0</v>
      </c>
      <c r="H275" s="442">
        <f>+'ต.ค.-ธ.ค.'!H280+'ม.ค.-มี.ค.'!H275+'เม.ย.-มิ.ย.'!H275</f>
        <v>0</v>
      </c>
      <c r="I275" s="442">
        <f>+'ต.ค.-ธ.ค.'!I280+'ม.ค.-มี.ค.'!I275+'เม.ย.-มิ.ย.'!I275</f>
        <v>0</v>
      </c>
      <c r="J275" s="442">
        <f>+'ต.ค.-ธ.ค.'!J280+'ม.ค.-มี.ค.'!J275+'เม.ย.-มิ.ย.'!J275</f>
        <v>0</v>
      </c>
      <c r="K275" s="442">
        <f>+'ต.ค.-ธ.ค.'!K280+'ม.ค.-มี.ค.'!K275+'เม.ย.-มิ.ย.'!K275</f>
        <v>0</v>
      </c>
      <c r="L275" s="442">
        <f>+'ต.ค.-ธ.ค.'!L280+'ม.ค.-มี.ค.'!L275+'เม.ย.-มิ.ย.'!L275</f>
        <v>0</v>
      </c>
      <c r="M275" s="442">
        <f>+'ต.ค.-ธ.ค.'!M280+'ม.ค.-มี.ค.'!M275+'เม.ย.-มิ.ย.'!M275</f>
        <v>0</v>
      </c>
      <c r="N275" s="442">
        <f>+'ต.ค.-ธ.ค.'!N280+'ม.ค.-มี.ค.'!N275+'เม.ย.-มิ.ย.'!N275</f>
        <v>0</v>
      </c>
      <c r="O275" s="442">
        <f>+'ต.ค.-ธ.ค.'!O280+'ม.ค.-มี.ค.'!O275+'เม.ย.-มิ.ย.'!O275</f>
        <v>0</v>
      </c>
      <c r="P275" s="442">
        <f>+'ต.ค.-ธ.ค.'!P280+'ม.ค.-มี.ค.'!P275+'เม.ย.-มิ.ย.'!P275</f>
        <v>0</v>
      </c>
      <c r="Q275" s="442">
        <f>+'ต.ค.-ธ.ค.'!Q280+'ม.ค.-มี.ค.'!Q275+'เม.ย.-มิ.ย.'!Q275</f>
        <v>0</v>
      </c>
      <c r="R275" s="442">
        <f>+'ต.ค.-ธ.ค.'!R280+'ม.ค.-มี.ค.'!R275+'เม.ย.-มิ.ย.'!R275</f>
        <v>0</v>
      </c>
      <c r="S275" s="442">
        <f>+'ต.ค.-ธ.ค.'!S280+'ม.ค.-มี.ค.'!S275+'เม.ย.-มิ.ย.'!S275</f>
        <v>0</v>
      </c>
      <c r="T275" s="442">
        <f>+'ต.ค.-ธ.ค.'!U280+'ม.ค.-มี.ค.'!U275+'เม.ย.-มิ.ย.'!U275</f>
        <v>0</v>
      </c>
      <c r="U275" s="442">
        <f>+'ต.ค.-ธ.ค.'!V280+'ม.ค.-มี.ค.'!V275+'เม.ย.-มิ.ย.'!V275</f>
        <v>0</v>
      </c>
    </row>
    <row r="276" spans="1:22" ht="25.5" customHeight="1" thickBot="1">
      <c r="A276" s="462"/>
      <c r="B276" s="386" t="s">
        <v>5</v>
      </c>
      <c r="C276" s="411">
        <f>SUM(C274:C275)</f>
        <v>226500</v>
      </c>
      <c r="D276" s="466">
        <f>SUM(D274:D275)</f>
        <v>226500</v>
      </c>
      <c r="E276" s="467">
        <f t="shared" ref="E276:U276" si="14">SUM(E274:E275)</f>
        <v>0</v>
      </c>
      <c r="F276" s="467">
        <f t="shared" si="14"/>
        <v>0</v>
      </c>
      <c r="G276" s="467">
        <f t="shared" si="14"/>
        <v>0</v>
      </c>
      <c r="H276" s="467">
        <f t="shared" si="14"/>
        <v>0</v>
      </c>
      <c r="I276" s="466">
        <f t="shared" si="14"/>
        <v>0</v>
      </c>
      <c r="J276" s="466">
        <f t="shared" si="14"/>
        <v>0</v>
      </c>
      <c r="K276" s="466">
        <f t="shared" si="14"/>
        <v>0</v>
      </c>
      <c r="L276" s="466">
        <f t="shared" si="14"/>
        <v>0</v>
      </c>
      <c r="M276" s="467">
        <f t="shared" si="14"/>
        <v>0</v>
      </c>
      <c r="N276" s="466">
        <f t="shared" si="14"/>
        <v>0</v>
      </c>
      <c r="O276" s="466">
        <f t="shared" si="14"/>
        <v>0</v>
      </c>
      <c r="P276" s="466">
        <f t="shared" si="14"/>
        <v>0</v>
      </c>
      <c r="Q276" s="466">
        <f t="shared" si="14"/>
        <v>0</v>
      </c>
      <c r="R276" s="466">
        <f t="shared" si="14"/>
        <v>0</v>
      </c>
      <c r="S276" s="466">
        <f t="shared" si="14"/>
        <v>0</v>
      </c>
      <c r="T276" s="466">
        <f t="shared" si="14"/>
        <v>0</v>
      </c>
      <c r="U276" s="466">
        <f t="shared" si="14"/>
        <v>0</v>
      </c>
      <c r="V276" s="314">
        <f>SUM(D276:U276)</f>
        <v>226500</v>
      </c>
    </row>
    <row r="277" spans="1:22" ht="25.5" customHeight="1" thickTop="1">
      <c r="A277" s="447" t="s">
        <v>44</v>
      </c>
      <c r="B277" s="54"/>
      <c r="C277" s="427"/>
      <c r="D277" s="458"/>
      <c r="E277" s="459"/>
      <c r="F277" s="460"/>
      <c r="G277" s="460"/>
      <c r="H277" s="460"/>
      <c r="I277" s="458"/>
      <c r="J277" s="458"/>
      <c r="K277" s="458"/>
      <c r="L277" s="458"/>
      <c r="M277" s="460"/>
      <c r="N277" s="458"/>
      <c r="O277" s="458"/>
      <c r="P277" s="458"/>
      <c r="Q277" s="458"/>
      <c r="R277" s="461"/>
      <c r="S277" s="470"/>
      <c r="T277" s="461"/>
      <c r="U277" s="461"/>
    </row>
    <row r="278" spans="1:22" ht="25.5" customHeight="1">
      <c r="A278" s="447"/>
      <c r="B278" s="390" t="s">
        <v>420</v>
      </c>
      <c r="C278" s="413">
        <v>20000</v>
      </c>
      <c r="D278" s="458">
        <f>+'ต.ค.-ธ.ค.'!D279+'ม.ค.-มี.ค.'!D278+'เม.ย.-มิ.ย.'!D278</f>
        <v>20000</v>
      </c>
      <c r="E278" s="458">
        <f>+'ต.ค.-ธ.ค.'!E279+'ม.ค.-มี.ค.'!E278+'เม.ย.-มิ.ย.'!E278</f>
        <v>0</v>
      </c>
      <c r="F278" s="458">
        <f>+'ต.ค.-ธ.ค.'!F279+'ม.ค.-มี.ค.'!F278+'เม.ย.-มิ.ย.'!F278</f>
        <v>0</v>
      </c>
      <c r="G278" s="458">
        <f>+'ต.ค.-ธ.ค.'!G279+'ม.ค.-มี.ค.'!G278+'เม.ย.-มิ.ย.'!G278</f>
        <v>0</v>
      </c>
      <c r="H278" s="458">
        <f>+'ต.ค.-ธ.ค.'!H279+'ม.ค.-มี.ค.'!H278+'เม.ย.-มิ.ย.'!H278</f>
        <v>0</v>
      </c>
      <c r="I278" s="458">
        <f>+'ต.ค.-ธ.ค.'!I279+'ม.ค.-มี.ค.'!I278+'เม.ย.-มิ.ย.'!I278</f>
        <v>0</v>
      </c>
      <c r="J278" s="458">
        <f>+'ต.ค.-ธ.ค.'!J279+'ม.ค.-มี.ค.'!J278+'เม.ย.-มิ.ย.'!J278</f>
        <v>0</v>
      </c>
      <c r="K278" s="458">
        <f>+'ต.ค.-ธ.ค.'!K279+'ม.ค.-มี.ค.'!K278+'เม.ย.-มิ.ย.'!K278</f>
        <v>0</v>
      </c>
      <c r="L278" s="458">
        <f>+'ต.ค.-ธ.ค.'!L279+'ม.ค.-มี.ค.'!L278+'เม.ย.-มิ.ย.'!L278</f>
        <v>0</v>
      </c>
      <c r="M278" s="458">
        <f>+'ต.ค.-ธ.ค.'!M279+'ม.ค.-มี.ค.'!M278+'เม.ย.-มิ.ย.'!M278</f>
        <v>0</v>
      </c>
      <c r="N278" s="458">
        <f>+'ต.ค.-ธ.ค.'!N279+'ม.ค.-มี.ค.'!N278+'เม.ย.-มิ.ย.'!N278</f>
        <v>0</v>
      </c>
      <c r="O278" s="458">
        <f>+'ต.ค.-ธ.ค.'!O279+'ม.ค.-มี.ค.'!O278+'เม.ย.-มิ.ย.'!O278</f>
        <v>0</v>
      </c>
      <c r="P278" s="458">
        <f>+'ต.ค.-ธ.ค.'!P279+'ม.ค.-มี.ค.'!P278+'เม.ย.-มิ.ย.'!P278</f>
        <v>0</v>
      </c>
      <c r="Q278" s="458">
        <f>+'ต.ค.-ธ.ค.'!Q279+'ม.ค.-มี.ค.'!Q278+'เม.ย.-มิ.ย.'!Q278</f>
        <v>0</v>
      </c>
      <c r="R278" s="458">
        <f>+'ต.ค.-ธ.ค.'!R279+'ม.ค.-มี.ค.'!R278+'เม.ย.-มิ.ย.'!R278</f>
        <v>0</v>
      </c>
      <c r="S278" s="458">
        <f>+'ต.ค.-ธ.ค.'!S279+'ม.ค.-มี.ค.'!S278+'เม.ย.-มิ.ย.'!S278</f>
        <v>0</v>
      </c>
      <c r="T278" s="458">
        <f>+'ต.ค.-ธ.ค.'!U279+'ม.ค.-มี.ค.'!U278+'เม.ย.-มิ.ย.'!U278</f>
        <v>0</v>
      </c>
      <c r="U278" s="458">
        <f>+'ต.ค.-ธ.ค.'!V279+'ม.ค.-มี.ค.'!V278+'เม.ย.-มิ.ย.'!V278</f>
        <v>0</v>
      </c>
    </row>
    <row r="279" spans="1:22" ht="25.5" customHeight="1">
      <c r="A279" s="447"/>
      <c r="B279" s="390"/>
      <c r="C279" s="412"/>
      <c r="D279" s="458"/>
      <c r="E279" s="459"/>
      <c r="F279" s="460"/>
      <c r="G279" s="460"/>
      <c r="H279" s="460"/>
      <c r="I279" s="458"/>
      <c r="J279" s="458"/>
      <c r="K279" s="458"/>
      <c r="L279" s="458"/>
      <c r="M279" s="460"/>
      <c r="N279" s="458"/>
      <c r="O279" s="458"/>
      <c r="P279" s="458"/>
      <c r="Q279" s="458"/>
      <c r="R279" s="461"/>
      <c r="S279" s="470"/>
      <c r="T279" s="461"/>
      <c r="U279" s="461"/>
    </row>
    <row r="280" spans="1:22" ht="25.5" customHeight="1" thickBot="1">
      <c r="A280" s="462"/>
      <c r="B280" s="396" t="s">
        <v>5</v>
      </c>
      <c r="C280" s="428">
        <f>SUM(C278:C279)</f>
        <v>20000</v>
      </c>
      <c r="D280" s="466">
        <f>SUM(D278:D279)</f>
        <v>20000</v>
      </c>
      <c r="E280" s="467">
        <f t="shared" ref="E280:U280" si="15">SUM(E278:E279)</f>
        <v>0</v>
      </c>
      <c r="F280" s="467">
        <f t="shared" si="15"/>
        <v>0</v>
      </c>
      <c r="G280" s="467">
        <f t="shared" si="15"/>
        <v>0</v>
      </c>
      <c r="H280" s="467">
        <f t="shared" si="15"/>
        <v>0</v>
      </c>
      <c r="I280" s="466">
        <f t="shared" si="15"/>
        <v>0</v>
      </c>
      <c r="J280" s="466">
        <f t="shared" si="15"/>
        <v>0</v>
      </c>
      <c r="K280" s="466">
        <f t="shared" si="15"/>
        <v>0</v>
      </c>
      <c r="L280" s="466">
        <f t="shared" si="15"/>
        <v>0</v>
      </c>
      <c r="M280" s="467">
        <f t="shared" si="15"/>
        <v>0</v>
      </c>
      <c r="N280" s="466">
        <f t="shared" si="15"/>
        <v>0</v>
      </c>
      <c r="O280" s="466">
        <f t="shared" si="15"/>
        <v>0</v>
      </c>
      <c r="P280" s="466">
        <f t="shared" si="15"/>
        <v>0</v>
      </c>
      <c r="Q280" s="466">
        <f t="shared" si="15"/>
        <v>0</v>
      </c>
      <c r="R280" s="466">
        <f t="shared" si="15"/>
        <v>0</v>
      </c>
      <c r="S280" s="466">
        <f t="shared" si="15"/>
        <v>0</v>
      </c>
      <c r="T280" s="466">
        <f t="shared" si="15"/>
        <v>0</v>
      </c>
      <c r="U280" s="466">
        <f t="shared" si="15"/>
        <v>0</v>
      </c>
      <c r="V280" s="314">
        <f>SUM(D280:U280)</f>
        <v>20000</v>
      </c>
    </row>
    <row r="281" spans="1:22" ht="25.5" customHeight="1" thickTop="1">
      <c r="A281" s="447" t="s">
        <v>276</v>
      </c>
      <c r="B281" s="54"/>
      <c r="C281" s="427"/>
      <c r="D281" s="458"/>
      <c r="E281" s="459"/>
      <c r="F281" s="460"/>
      <c r="G281" s="460"/>
      <c r="H281" s="460"/>
      <c r="I281" s="458"/>
      <c r="J281" s="458"/>
      <c r="K281" s="458"/>
      <c r="L281" s="458"/>
      <c r="M281" s="460"/>
      <c r="N281" s="458"/>
      <c r="O281" s="458"/>
      <c r="P281" s="458"/>
      <c r="Q281" s="458"/>
      <c r="R281" s="461"/>
      <c r="S281" s="470"/>
      <c r="T281" s="461"/>
      <c r="U281" s="461"/>
    </row>
    <row r="282" spans="1:22" ht="25.5" customHeight="1">
      <c r="A282" s="447"/>
      <c r="B282" s="390" t="s">
        <v>226</v>
      </c>
      <c r="C282" s="413">
        <f>+'ต.ค. '!E284+'ต.ค. '!F284+'ต.ค. '!H284+'ต.ค. '!M284</f>
        <v>37500</v>
      </c>
      <c r="D282" s="458">
        <f>+'ต.ค.-ธ.ค.'!D283+'ม.ค.-มี.ค.'!D282+'เม.ย.-มิ.ย.'!D282</f>
        <v>0</v>
      </c>
      <c r="E282" s="458">
        <f>+'ต.ค.-ธ.ค.'!E283+'ม.ค.-มี.ค.'!E282+'เม.ย.-มิ.ย.'!E282</f>
        <v>128250</v>
      </c>
      <c r="F282" s="458">
        <f>+'ต.ค.-ธ.ค.'!F283+'ม.ค.-มี.ค.'!F282+'เม.ย.-มิ.ย.'!F282</f>
        <v>15500</v>
      </c>
      <c r="G282" s="458">
        <f>+'ต.ค.-ธ.ค.'!G283+'ม.ค.-มี.ค.'!G282+'เม.ย.-มิ.ย.'!G282</f>
        <v>0</v>
      </c>
      <c r="H282" s="458">
        <f>+'ต.ค.-ธ.ค.'!H283+'ม.ค.-มี.ค.'!H282+'เม.ย.-มิ.ย.'!H282</f>
        <v>56000</v>
      </c>
      <c r="I282" s="458">
        <f>+'ต.ค.-ธ.ค.'!I283+'ม.ค.-มี.ค.'!I282+'เม.ย.-มิ.ย.'!I282</f>
        <v>0</v>
      </c>
      <c r="J282" s="458">
        <f>+'ต.ค.-ธ.ค.'!J283+'ม.ค.-มี.ค.'!J282+'เม.ย.-มิ.ย.'!J282</f>
        <v>0</v>
      </c>
      <c r="K282" s="458">
        <f>+'ต.ค.-ธ.ค.'!K283+'ม.ค.-มี.ค.'!K282+'เม.ย.-มิ.ย.'!K282</f>
        <v>0</v>
      </c>
      <c r="L282" s="458">
        <f>+'ต.ค.-ธ.ค.'!L283+'ม.ค.-มี.ค.'!L282+'เม.ย.-มิ.ย.'!L282</f>
        <v>0</v>
      </c>
      <c r="M282" s="458">
        <f>+'ต.ค.-ธ.ค.'!M283+'ม.ค.-มี.ค.'!M282+'เม.ย.-มิ.ย.'!M282</f>
        <v>36500</v>
      </c>
      <c r="N282" s="458">
        <f>+'ต.ค.-ธ.ค.'!N283+'ม.ค.-มี.ค.'!N282+'เม.ย.-มิ.ย.'!N282</f>
        <v>0</v>
      </c>
      <c r="O282" s="458">
        <f>+'ต.ค.-ธ.ค.'!O283+'ม.ค.-มี.ค.'!O282+'เม.ย.-มิ.ย.'!O282</f>
        <v>0</v>
      </c>
      <c r="P282" s="458">
        <f>+'ต.ค.-ธ.ค.'!P283+'ม.ค.-มี.ค.'!P282+'เม.ย.-มิ.ย.'!P282</f>
        <v>0</v>
      </c>
      <c r="Q282" s="458">
        <f>+'ต.ค.-ธ.ค.'!Q283+'ม.ค.-มี.ค.'!Q282+'เม.ย.-มิ.ย.'!Q282</f>
        <v>0</v>
      </c>
      <c r="R282" s="458">
        <f>+'ต.ค.-ธ.ค.'!R283+'ม.ค.-มี.ค.'!R282+'เม.ย.-มิ.ย.'!R282</f>
        <v>0</v>
      </c>
      <c r="S282" s="458">
        <f>+'ต.ค.-ธ.ค.'!S283+'ม.ค.-มี.ค.'!S282+'เม.ย.-มิ.ย.'!S282</f>
        <v>0</v>
      </c>
      <c r="T282" s="458">
        <f>+'ต.ค.-ธ.ค.'!U283+'ม.ค.-มี.ค.'!U282+'เม.ย.-มิ.ย.'!U282</f>
        <v>0</v>
      </c>
      <c r="U282" s="458">
        <f>+'ต.ค.-ธ.ค.'!V283+'ม.ค.-มี.ค.'!V282+'เม.ย.-มิ.ย.'!V282</f>
        <v>0</v>
      </c>
    </row>
    <row r="283" spans="1:22" ht="25.5" customHeight="1">
      <c r="A283" s="447"/>
      <c r="B283" s="390" t="s">
        <v>233</v>
      </c>
      <c r="C283" s="429">
        <v>7500</v>
      </c>
      <c r="D283" s="458">
        <f>+'ต.ค.-ธ.ค.'!D284+'ม.ค.-มี.ค.'!D283+'เม.ย.-มิ.ย.'!D283</f>
        <v>0</v>
      </c>
      <c r="E283" s="458">
        <f>+'ต.ค.-ธ.ค.'!E284+'ม.ค.-มี.ค.'!E283+'เม.ย.-มิ.ย.'!E283</f>
        <v>7500</v>
      </c>
      <c r="F283" s="458">
        <f>+'ต.ค.-ธ.ค.'!F284+'ม.ค.-มี.ค.'!F283+'เม.ย.-มิ.ย.'!F283</f>
        <v>0</v>
      </c>
      <c r="G283" s="458">
        <f>+'ต.ค.-ธ.ค.'!G284+'ม.ค.-มี.ค.'!G283+'เม.ย.-มิ.ย.'!G283</f>
        <v>0</v>
      </c>
      <c r="H283" s="458">
        <f>+'ต.ค.-ธ.ค.'!H284+'ม.ค.-มี.ค.'!H283+'เม.ย.-มิ.ย.'!H283</f>
        <v>0</v>
      </c>
      <c r="I283" s="458">
        <f>+'ต.ค.-ธ.ค.'!I284+'ม.ค.-มี.ค.'!I283+'เม.ย.-มิ.ย.'!I283</f>
        <v>0</v>
      </c>
      <c r="J283" s="458">
        <f>+'ต.ค.-ธ.ค.'!J284+'ม.ค.-มี.ค.'!J283+'เม.ย.-มิ.ย.'!J283</f>
        <v>0</v>
      </c>
      <c r="K283" s="458">
        <f>+'ต.ค.-ธ.ค.'!K284+'ม.ค.-มี.ค.'!K283+'เม.ย.-มิ.ย.'!K283</f>
        <v>0</v>
      </c>
      <c r="L283" s="458">
        <f>+'ต.ค.-ธ.ค.'!L284+'ม.ค.-มี.ค.'!L283+'เม.ย.-มิ.ย.'!L283</f>
        <v>0</v>
      </c>
      <c r="M283" s="458">
        <f>+'ต.ค.-ธ.ค.'!M284+'ม.ค.-มี.ค.'!M283+'เม.ย.-มิ.ย.'!M283</f>
        <v>0</v>
      </c>
      <c r="N283" s="458">
        <f>+'ต.ค.-ธ.ค.'!N284+'ม.ค.-มี.ค.'!N283+'เม.ย.-มิ.ย.'!N283</f>
        <v>0</v>
      </c>
      <c r="O283" s="458">
        <f>+'ต.ค.-ธ.ค.'!O284+'ม.ค.-มี.ค.'!O283+'เม.ย.-มิ.ย.'!O283</f>
        <v>0</v>
      </c>
      <c r="P283" s="458">
        <f>+'ต.ค.-ธ.ค.'!P284+'ม.ค.-มี.ค.'!P283+'เม.ย.-มิ.ย.'!P283</f>
        <v>0</v>
      </c>
      <c r="Q283" s="458">
        <f>+'ต.ค.-ธ.ค.'!Q284+'ม.ค.-มี.ค.'!Q283+'เม.ย.-มิ.ย.'!Q283</f>
        <v>0</v>
      </c>
      <c r="R283" s="458">
        <f>+'ต.ค.-ธ.ค.'!R284+'ม.ค.-มี.ค.'!R283+'เม.ย.-มิ.ย.'!R283</f>
        <v>0</v>
      </c>
      <c r="S283" s="458">
        <f>+'ต.ค.-ธ.ค.'!S284+'ม.ค.-มี.ค.'!S283+'เม.ย.-มิ.ย.'!S283</f>
        <v>0</v>
      </c>
      <c r="T283" s="458">
        <f>+'ต.ค.-ธ.ค.'!U284+'ม.ค.-มี.ค.'!U283+'เม.ย.-มิ.ย.'!U283</f>
        <v>0</v>
      </c>
      <c r="U283" s="458">
        <f>+'ต.ค.-ธ.ค.'!V284+'ม.ค.-มี.ค.'!V283+'เม.ย.-มิ.ย.'!V283</f>
        <v>0</v>
      </c>
    </row>
    <row r="284" spans="1:22" ht="25.5" customHeight="1">
      <c r="A284" s="447"/>
      <c r="B284" s="397" t="s">
        <v>378</v>
      </c>
      <c r="C284" s="429">
        <v>37500</v>
      </c>
      <c r="D284" s="458">
        <f>+'ต.ค.-ธ.ค.'!D285+'ม.ค.-มี.ค.'!D284+'เม.ย.-มิ.ย.'!D284</f>
        <v>0</v>
      </c>
      <c r="E284" s="458">
        <f>+'ต.ค.-ธ.ค.'!E285+'ม.ค.-มี.ค.'!E284+'เม.ย.-มิ.ย.'!E284</f>
        <v>37500</v>
      </c>
      <c r="F284" s="458">
        <f>+'ต.ค.-ธ.ค.'!F285+'ม.ค.-มี.ค.'!F284+'เม.ย.-มิ.ย.'!F284</f>
        <v>0</v>
      </c>
      <c r="G284" s="458">
        <f>+'ต.ค.-ธ.ค.'!G285+'ม.ค.-มี.ค.'!G284+'เม.ย.-มิ.ย.'!G284</f>
        <v>0</v>
      </c>
      <c r="H284" s="458">
        <f>+'ต.ค.-ธ.ค.'!H285+'ม.ค.-มี.ค.'!H284+'เม.ย.-มิ.ย.'!H284</f>
        <v>0</v>
      </c>
      <c r="I284" s="458">
        <f>+'ต.ค.-ธ.ค.'!I285+'ม.ค.-มี.ค.'!I284+'เม.ย.-มิ.ย.'!I284</f>
        <v>0</v>
      </c>
      <c r="J284" s="458">
        <f>+'ต.ค.-ธ.ค.'!J285+'ม.ค.-มี.ค.'!J284+'เม.ย.-มิ.ย.'!J284</f>
        <v>0</v>
      </c>
      <c r="K284" s="458">
        <f>+'ต.ค.-ธ.ค.'!K285+'ม.ค.-มี.ค.'!K284+'เม.ย.-มิ.ย.'!K284</f>
        <v>0</v>
      </c>
      <c r="L284" s="458">
        <f>+'ต.ค.-ธ.ค.'!L285+'ม.ค.-มี.ค.'!L284+'เม.ย.-มิ.ย.'!L284</f>
        <v>0</v>
      </c>
      <c r="M284" s="458">
        <f>+'ต.ค.-ธ.ค.'!M285+'ม.ค.-มี.ค.'!M284+'เม.ย.-มิ.ย.'!M284</f>
        <v>0</v>
      </c>
      <c r="N284" s="458">
        <f>+'ต.ค.-ธ.ค.'!N285+'ม.ค.-มี.ค.'!N284+'เม.ย.-มิ.ย.'!N284</f>
        <v>0</v>
      </c>
      <c r="O284" s="458">
        <f>+'ต.ค.-ธ.ค.'!O285+'ม.ค.-มี.ค.'!O284+'เม.ย.-มิ.ย.'!O284</f>
        <v>0</v>
      </c>
      <c r="P284" s="458">
        <f>+'ต.ค.-ธ.ค.'!P285+'ม.ค.-มี.ค.'!P284+'เม.ย.-มิ.ย.'!P284</f>
        <v>0</v>
      </c>
      <c r="Q284" s="458">
        <f>+'ต.ค.-ธ.ค.'!Q285+'ม.ค.-มี.ค.'!Q284+'เม.ย.-มิ.ย.'!Q284</f>
        <v>0</v>
      </c>
      <c r="R284" s="458">
        <f>+'ต.ค.-ธ.ค.'!R285+'ม.ค.-มี.ค.'!R284+'เม.ย.-มิ.ย.'!R284</f>
        <v>0</v>
      </c>
      <c r="S284" s="458">
        <f>+'ต.ค.-ธ.ค.'!S285+'ม.ค.-มี.ค.'!S284+'เม.ย.-มิ.ย.'!S284</f>
        <v>0</v>
      </c>
      <c r="T284" s="458">
        <f>+'ต.ค.-ธ.ค.'!U285+'ม.ค.-มี.ค.'!U284+'เม.ย.-มิ.ย.'!U284</f>
        <v>0</v>
      </c>
      <c r="U284" s="458">
        <f>+'ต.ค.-ธ.ค.'!V285+'ม.ค.-มี.ค.'!V284+'เม.ย.-มิ.ย.'!V284</f>
        <v>0</v>
      </c>
    </row>
    <row r="285" spans="1:22" ht="25.5" customHeight="1">
      <c r="A285" s="447"/>
      <c r="B285" s="390" t="s">
        <v>379</v>
      </c>
      <c r="C285" s="429">
        <v>10000</v>
      </c>
      <c r="D285" s="458">
        <f>+'ต.ค.-ธ.ค.'!D286+'ม.ค.-มี.ค.'!D285+'เม.ย.-มิ.ย.'!D285</f>
        <v>0</v>
      </c>
      <c r="E285" s="458">
        <f>+'ต.ค.-ธ.ค.'!E286+'ม.ค.-มี.ค.'!E285+'เม.ย.-มิ.ย.'!E285</f>
        <v>10000</v>
      </c>
      <c r="F285" s="458">
        <f>+'ต.ค.-ธ.ค.'!F286+'ม.ค.-มี.ค.'!F285+'เม.ย.-มิ.ย.'!F285</f>
        <v>0</v>
      </c>
      <c r="G285" s="458">
        <f>+'ต.ค.-ธ.ค.'!G286+'ม.ค.-มี.ค.'!G285+'เม.ย.-มิ.ย.'!G285</f>
        <v>0</v>
      </c>
      <c r="H285" s="458">
        <f>+'ต.ค.-ธ.ค.'!H286+'ม.ค.-มี.ค.'!H285+'เม.ย.-มิ.ย.'!H285</f>
        <v>0</v>
      </c>
      <c r="I285" s="458">
        <f>+'ต.ค.-ธ.ค.'!I286+'ม.ค.-มี.ค.'!I285+'เม.ย.-มิ.ย.'!I285</f>
        <v>0</v>
      </c>
      <c r="J285" s="458">
        <f>+'ต.ค.-ธ.ค.'!J286+'ม.ค.-มี.ค.'!J285+'เม.ย.-มิ.ย.'!J285</f>
        <v>0</v>
      </c>
      <c r="K285" s="458">
        <f>+'ต.ค.-ธ.ค.'!K286+'ม.ค.-มี.ค.'!K285+'เม.ย.-มิ.ย.'!K285</f>
        <v>0</v>
      </c>
      <c r="L285" s="458">
        <f>+'ต.ค.-ธ.ค.'!L286+'ม.ค.-มี.ค.'!L285+'เม.ย.-มิ.ย.'!L285</f>
        <v>0</v>
      </c>
      <c r="M285" s="458">
        <f>+'ต.ค.-ธ.ค.'!M286+'ม.ค.-มี.ค.'!M285+'เม.ย.-มิ.ย.'!M285</f>
        <v>0</v>
      </c>
      <c r="N285" s="458">
        <f>+'ต.ค.-ธ.ค.'!N286+'ม.ค.-มี.ค.'!N285+'เม.ย.-มิ.ย.'!N285</f>
        <v>0</v>
      </c>
      <c r="O285" s="458">
        <f>+'ต.ค.-ธ.ค.'!O286+'ม.ค.-มี.ค.'!O285+'เม.ย.-มิ.ย.'!O285</f>
        <v>0</v>
      </c>
      <c r="P285" s="458">
        <f>+'ต.ค.-ธ.ค.'!P286+'ม.ค.-มี.ค.'!P285+'เม.ย.-มิ.ย.'!P285</f>
        <v>0</v>
      </c>
      <c r="Q285" s="458">
        <f>+'ต.ค.-ธ.ค.'!Q286+'ม.ค.-มี.ค.'!Q285+'เม.ย.-มิ.ย.'!Q285</f>
        <v>0</v>
      </c>
      <c r="R285" s="458">
        <f>+'ต.ค.-ธ.ค.'!R286+'ม.ค.-มี.ค.'!R285+'เม.ย.-มิ.ย.'!R285</f>
        <v>0</v>
      </c>
      <c r="S285" s="458">
        <f>+'ต.ค.-ธ.ค.'!S286+'ม.ค.-มี.ค.'!S285+'เม.ย.-มิ.ย.'!S285</f>
        <v>0</v>
      </c>
      <c r="T285" s="458">
        <f>+'ต.ค.-ธ.ค.'!U286+'ม.ค.-มี.ค.'!U285+'เม.ย.-มิ.ย.'!U285</f>
        <v>0</v>
      </c>
      <c r="U285" s="458">
        <f>+'ต.ค.-ธ.ค.'!V286+'ม.ค.-มี.ค.'!V285+'เม.ย.-มิ.ย.'!V285</f>
        <v>0</v>
      </c>
    </row>
    <row r="286" spans="1:22" ht="25.5" customHeight="1">
      <c r="A286" s="447"/>
      <c r="B286" s="390" t="s">
        <v>382</v>
      </c>
      <c r="C286" s="429">
        <v>1950</v>
      </c>
      <c r="D286" s="458">
        <f>+'ต.ค.-ธ.ค.'!D287+'ม.ค.-มี.ค.'!D286+'เม.ย.-มิ.ย.'!D286</f>
        <v>0</v>
      </c>
      <c r="E286" s="458">
        <f>+'ต.ค.-ธ.ค.'!E287+'ม.ค.-มี.ค.'!E286+'เม.ย.-มิ.ย.'!E286</f>
        <v>1950</v>
      </c>
      <c r="F286" s="458">
        <f>+'ต.ค.-ธ.ค.'!F287+'ม.ค.-มี.ค.'!F286+'เม.ย.-มิ.ย.'!F286</f>
        <v>0</v>
      </c>
      <c r="G286" s="458">
        <f>+'ต.ค.-ธ.ค.'!G287+'ม.ค.-มี.ค.'!G286+'เม.ย.-มิ.ย.'!G286</f>
        <v>0</v>
      </c>
      <c r="H286" s="458">
        <f>+'ต.ค.-ธ.ค.'!H287+'ม.ค.-มี.ค.'!H286+'เม.ย.-มิ.ย.'!H286</f>
        <v>0</v>
      </c>
      <c r="I286" s="458">
        <f>+'ต.ค.-ธ.ค.'!I287+'ม.ค.-มี.ค.'!I286+'เม.ย.-มิ.ย.'!I286</f>
        <v>0</v>
      </c>
      <c r="J286" s="458">
        <f>+'ต.ค.-ธ.ค.'!J287+'ม.ค.-มี.ค.'!J286+'เม.ย.-มิ.ย.'!J286</f>
        <v>0</v>
      </c>
      <c r="K286" s="458">
        <f>+'ต.ค.-ธ.ค.'!K287+'ม.ค.-มี.ค.'!K286+'เม.ย.-มิ.ย.'!K286</f>
        <v>0</v>
      </c>
      <c r="L286" s="458">
        <f>+'ต.ค.-ธ.ค.'!L287+'ม.ค.-มี.ค.'!L286+'เม.ย.-มิ.ย.'!L286</f>
        <v>0</v>
      </c>
      <c r="M286" s="458">
        <f>+'ต.ค.-ธ.ค.'!M287+'ม.ค.-มี.ค.'!M286+'เม.ย.-มิ.ย.'!M286</f>
        <v>0</v>
      </c>
      <c r="N286" s="458">
        <f>+'ต.ค.-ธ.ค.'!N287+'ม.ค.-มี.ค.'!N286+'เม.ย.-มิ.ย.'!N286</f>
        <v>0</v>
      </c>
      <c r="O286" s="458">
        <f>+'ต.ค.-ธ.ค.'!O287+'ม.ค.-มี.ค.'!O286+'เม.ย.-มิ.ย.'!O286</f>
        <v>0</v>
      </c>
      <c r="P286" s="458">
        <f>+'ต.ค.-ธ.ค.'!P287+'ม.ค.-มี.ค.'!P286+'เม.ย.-มิ.ย.'!P286</f>
        <v>0</v>
      </c>
      <c r="Q286" s="458">
        <f>+'ต.ค.-ธ.ค.'!Q287+'ม.ค.-มี.ค.'!Q286+'เม.ย.-มิ.ย.'!Q286</f>
        <v>0</v>
      </c>
      <c r="R286" s="458">
        <f>+'ต.ค.-ธ.ค.'!R287+'ม.ค.-มี.ค.'!R286+'เม.ย.-มิ.ย.'!R286</f>
        <v>0</v>
      </c>
      <c r="S286" s="458">
        <f>+'ต.ค.-ธ.ค.'!S287+'ม.ค.-มี.ค.'!S286+'เม.ย.-มิ.ย.'!S286</f>
        <v>0</v>
      </c>
      <c r="T286" s="458">
        <f>+'ต.ค.-ธ.ค.'!U287+'ม.ค.-มี.ค.'!U286+'เม.ย.-มิ.ย.'!U286</f>
        <v>0</v>
      </c>
      <c r="U286" s="458">
        <f>+'ต.ค.-ธ.ค.'!V287+'ม.ค.-มี.ค.'!V286+'เม.ย.-มิ.ย.'!V286</f>
        <v>0</v>
      </c>
    </row>
    <row r="287" spans="1:22" ht="25.5" customHeight="1">
      <c r="A287" s="447"/>
      <c r="B287" s="390" t="s">
        <v>380</v>
      </c>
      <c r="C287" s="429">
        <v>4550</v>
      </c>
      <c r="D287" s="458">
        <f>+'ต.ค.-ธ.ค.'!D288+'ม.ค.-มี.ค.'!D287+'เม.ย.-มิ.ย.'!D287</f>
        <v>0</v>
      </c>
      <c r="E287" s="458">
        <f>+'ต.ค.-ธ.ค.'!E288+'ม.ค.-มี.ค.'!E287+'เม.ย.-มิ.ย.'!E287</f>
        <v>13125</v>
      </c>
      <c r="F287" s="458">
        <f>+'ต.ค.-ธ.ค.'!F288+'ม.ค.-มี.ค.'!F287+'เม.ย.-มิ.ย.'!F287</f>
        <v>0</v>
      </c>
      <c r="G287" s="458">
        <f>+'ต.ค.-ธ.ค.'!G288+'ม.ค.-มี.ค.'!G287+'เม.ย.-มิ.ย.'!G287</f>
        <v>0</v>
      </c>
      <c r="H287" s="458">
        <f>+'ต.ค.-ธ.ค.'!H288+'ม.ค.-มี.ค.'!H287+'เม.ย.-มิ.ย.'!H287</f>
        <v>0</v>
      </c>
      <c r="I287" s="458">
        <f>+'ต.ค.-ธ.ค.'!I288+'ม.ค.-มี.ค.'!I287+'เม.ย.-มิ.ย.'!I287</f>
        <v>0</v>
      </c>
      <c r="J287" s="458">
        <f>+'ต.ค.-ธ.ค.'!J288+'ม.ค.-มี.ค.'!J287+'เม.ย.-มิ.ย.'!J287</f>
        <v>0</v>
      </c>
      <c r="K287" s="458">
        <f>+'ต.ค.-ธ.ค.'!K288+'ม.ค.-มี.ค.'!K287+'เม.ย.-มิ.ย.'!K287</f>
        <v>0</v>
      </c>
      <c r="L287" s="458">
        <f>+'ต.ค.-ธ.ค.'!L288+'ม.ค.-มี.ค.'!L287+'เม.ย.-มิ.ย.'!L287</f>
        <v>0</v>
      </c>
      <c r="M287" s="458">
        <f>+'ต.ค.-ธ.ค.'!M288+'ม.ค.-มี.ค.'!M287+'เม.ย.-มิ.ย.'!M287</f>
        <v>0</v>
      </c>
      <c r="N287" s="458">
        <f>+'ต.ค.-ธ.ค.'!N288+'ม.ค.-มี.ค.'!N287+'เม.ย.-มิ.ย.'!N287</f>
        <v>0</v>
      </c>
      <c r="O287" s="458">
        <f>+'ต.ค.-ธ.ค.'!O288+'ม.ค.-มี.ค.'!O287+'เม.ย.-มิ.ย.'!O287</f>
        <v>0</v>
      </c>
      <c r="P287" s="458">
        <f>+'ต.ค.-ธ.ค.'!P288+'ม.ค.-มี.ค.'!P287+'เม.ย.-มิ.ย.'!P287</f>
        <v>0</v>
      </c>
      <c r="Q287" s="458">
        <f>+'ต.ค.-ธ.ค.'!Q288+'ม.ค.-มี.ค.'!Q287+'เม.ย.-มิ.ย.'!Q287</f>
        <v>0</v>
      </c>
      <c r="R287" s="458">
        <f>+'ต.ค.-ธ.ค.'!R288+'ม.ค.-มี.ค.'!R287+'เม.ย.-มิ.ย.'!R287</f>
        <v>0</v>
      </c>
      <c r="S287" s="458">
        <f>+'ต.ค.-ธ.ค.'!S288+'ม.ค.-มี.ค.'!S287+'เม.ย.-มิ.ย.'!S287</f>
        <v>0</v>
      </c>
      <c r="T287" s="458">
        <f>+'ต.ค.-ธ.ค.'!U288+'ม.ค.-มี.ค.'!U287+'เม.ย.-มิ.ย.'!U287</f>
        <v>0</v>
      </c>
      <c r="U287" s="458">
        <f>+'ต.ค.-ธ.ค.'!V288+'ม.ค.-มี.ค.'!V287+'เม.ย.-มิ.ย.'!V287</f>
        <v>0</v>
      </c>
    </row>
    <row r="288" spans="1:22" ht="25.5" customHeight="1">
      <c r="A288" s="447"/>
      <c r="B288" s="390" t="s">
        <v>386</v>
      </c>
      <c r="C288" s="413">
        <v>409940.96</v>
      </c>
      <c r="D288" s="458">
        <f>+'ต.ค.-ธ.ค.'!D289+'ม.ค.-มี.ค.'!D288+'เม.ย.-มิ.ย.'!D288</f>
        <v>0</v>
      </c>
      <c r="E288" s="458">
        <f>+'ต.ค.-ธ.ค.'!E289+'ม.ค.-มี.ค.'!E288+'เม.ย.-มิ.ย.'!E288</f>
        <v>0</v>
      </c>
      <c r="F288" s="458">
        <f>+'ต.ค.-ธ.ค.'!F289+'ม.ค.-มี.ค.'!F288+'เม.ย.-มิ.ย.'!F288</f>
        <v>0</v>
      </c>
      <c r="G288" s="458">
        <f>+'ต.ค.-ธ.ค.'!G289+'ม.ค.-มี.ค.'!G288+'เม.ย.-มิ.ย.'!G288</f>
        <v>0</v>
      </c>
      <c r="H288" s="458">
        <f>+'ต.ค.-ธ.ค.'!H289+'ม.ค.-มี.ค.'!H288+'เม.ย.-มิ.ย.'!H288</f>
        <v>0</v>
      </c>
      <c r="I288" s="458">
        <f>+'ต.ค.-ธ.ค.'!I289+'ม.ค.-มี.ค.'!I288+'เม.ย.-มิ.ย.'!I288</f>
        <v>409940.96</v>
      </c>
      <c r="J288" s="458">
        <f>+'ต.ค.-ธ.ค.'!J289+'ม.ค.-มี.ค.'!J288+'เม.ย.-มิ.ย.'!J288</f>
        <v>0</v>
      </c>
      <c r="K288" s="458">
        <f>+'ต.ค.-ธ.ค.'!K289+'ม.ค.-มี.ค.'!K288+'เม.ย.-มิ.ย.'!K288</f>
        <v>0</v>
      </c>
      <c r="L288" s="458">
        <f>+'ต.ค.-ธ.ค.'!L289+'ม.ค.-มี.ค.'!L288+'เม.ย.-มิ.ย.'!L288</f>
        <v>0</v>
      </c>
      <c r="M288" s="458">
        <f>+'ต.ค.-ธ.ค.'!M289+'ม.ค.-มี.ค.'!M288+'เม.ย.-มิ.ย.'!M288</f>
        <v>0</v>
      </c>
      <c r="N288" s="458">
        <f>+'ต.ค.-ธ.ค.'!N289+'ม.ค.-มี.ค.'!N288+'เม.ย.-มิ.ย.'!N288</f>
        <v>0</v>
      </c>
      <c r="O288" s="458">
        <f>+'ต.ค.-ธ.ค.'!O289+'ม.ค.-มี.ค.'!O288+'เม.ย.-มิ.ย.'!O288</f>
        <v>0</v>
      </c>
      <c r="P288" s="458">
        <f>+'ต.ค.-ธ.ค.'!P289+'ม.ค.-มี.ค.'!P288+'เม.ย.-มิ.ย.'!P288</f>
        <v>0</v>
      </c>
      <c r="Q288" s="458">
        <f>+'ต.ค.-ธ.ค.'!Q289+'ม.ค.-มี.ค.'!Q288+'เม.ย.-มิ.ย.'!Q288</f>
        <v>0</v>
      </c>
      <c r="R288" s="458">
        <f>+'ต.ค.-ธ.ค.'!R289+'ม.ค.-มี.ค.'!R288+'เม.ย.-มิ.ย.'!R288</f>
        <v>0</v>
      </c>
      <c r="S288" s="458">
        <f>+'ต.ค.-ธ.ค.'!S289+'ม.ค.-มี.ค.'!S288+'เม.ย.-มิ.ย.'!S288</f>
        <v>0</v>
      </c>
      <c r="T288" s="458">
        <f>+'ต.ค.-ธ.ค.'!U289+'ม.ค.-มี.ค.'!U288+'เม.ย.-มิ.ย.'!U288</f>
        <v>0</v>
      </c>
      <c r="U288" s="458">
        <f>+'ต.ค.-ธ.ค.'!V289+'ม.ค.-มี.ค.'!V288+'เม.ย.-มิ.ย.'!V288</f>
        <v>0</v>
      </c>
    </row>
    <row r="289" spans="1:23" ht="25.5" customHeight="1">
      <c r="A289" s="447"/>
      <c r="B289" s="390" t="s">
        <v>387</v>
      </c>
      <c r="C289" s="413">
        <v>40000</v>
      </c>
      <c r="D289" s="458">
        <f>+'ต.ค.-ธ.ค.'!D290+'ม.ค.-มี.ค.'!D289+'เม.ย.-มิ.ย.'!D289</f>
        <v>0</v>
      </c>
      <c r="E289" s="458">
        <f>+'ต.ค.-ธ.ค.'!E290+'ม.ค.-มี.ค.'!E289+'เม.ย.-มิ.ย.'!E289</f>
        <v>0</v>
      </c>
      <c r="F289" s="458">
        <f>+'ต.ค.-ธ.ค.'!F290+'ม.ค.-มี.ค.'!F289+'เม.ย.-มิ.ย.'!F289</f>
        <v>0</v>
      </c>
      <c r="G289" s="458">
        <f>+'ต.ค.-ธ.ค.'!G290+'ม.ค.-มี.ค.'!G289+'เม.ย.-มิ.ย.'!G289</f>
        <v>0</v>
      </c>
      <c r="H289" s="458">
        <f>+'ต.ค.-ธ.ค.'!H290+'ม.ค.-มี.ค.'!H289+'เม.ย.-มิ.ย.'!H289</f>
        <v>40000</v>
      </c>
      <c r="I289" s="458">
        <f>+'ต.ค.-ธ.ค.'!I290+'ม.ค.-มี.ค.'!I289+'เม.ย.-มิ.ย.'!I289</f>
        <v>0</v>
      </c>
      <c r="J289" s="458">
        <f>+'ต.ค.-ธ.ค.'!J290+'ม.ค.-มี.ค.'!J289+'เม.ย.-มิ.ย.'!J289</f>
        <v>0</v>
      </c>
      <c r="K289" s="458">
        <f>+'ต.ค.-ธ.ค.'!K290+'ม.ค.-มี.ค.'!K289+'เม.ย.-มิ.ย.'!K289</f>
        <v>0</v>
      </c>
      <c r="L289" s="458">
        <f>+'ต.ค.-ธ.ค.'!L290+'ม.ค.-มี.ค.'!L289+'เม.ย.-มิ.ย.'!L289</f>
        <v>0</v>
      </c>
      <c r="M289" s="458">
        <f>+'ต.ค.-ธ.ค.'!M290+'ม.ค.-มี.ค.'!M289+'เม.ย.-มิ.ย.'!M289</f>
        <v>0</v>
      </c>
      <c r="N289" s="458">
        <f>+'ต.ค.-ธ.ค.'!N290+'ม.ค.-มี.ค.'!N289+'เม.ย.-มิ.ย.'!N289</f>
        <v>0</v>
      </c>
      <c r="O289" s="458">
        <f>+'ต.ค.-ธ.ค.'!O290+'ม.ค.-มี.ค.'!O289+'เม.ย.-มิ.ย.'!O289</f>
        <v>0</v>
      </c>
      <c r="P289" s="458">
        <f>+'ต.ค.-ธ.ค.'!P290+'ม.ค.-มี.ค.'!P289+'เม.ย.-มิ.ย.'!P289</f>
        <v>0</v>
      </c>
      <c r="Q289" s="458">
        <f>+'ต.ค.-ธ.ค.'!Q290+'ม.ค.-มี.ค.'!Q289+'เม.ย.-มิ.ย.'!Q289</f>
        <v>0</v>
      </c>
      <c r="R289" s="458">
        <f>+'ต.ค.-ธ.ค.'!R290+'ม.ค.-มี.ค.'!R289+'เม.ย.-มิ.ย.'!R289</f>
        <v>0</v>
      </c>
      <c r="S289" s="458">
        <f>+'ต.ค.-ธ.ค.'!S290+'ม.ค.-มี.ค.'!S289+'เม.ย.-มิ.ย.'!S289</f>
        <v>0</v>
      </c>
      <c r="T289" s="458">
        <f>+'ต.ค.-ธ.ค.'!U290+'ม.ค.-มี.ค.'!U289+'เม.ย.-มิ.ย.'!U289</f>
        <v>0</v>
      </c>
      <c r="U289" s="458">
        <f>+'ต.ค.-ธ.ค.'!V290+'ม.ค.-มี.ค.'!V289+'เม.ย.-มิ.ย.'!V289</f>
        <v>0</v>
      </c>
    </row>
    <row r="290" spans="1:23" ht="25.5" customHeight="1">
      <c r="A290" s="447"/>
      <c r="B290" s="402" t="s">
        <v>429</v>
      </c>
      <c r="C290" s="413">
        <v>175000</v>
      </c>
      <c r="D290" s="458">
        <f>+'ต.ค.-ธ.ค.'!D291+'ม.ค.-มี.ค.'!D290+'เม.ย.-มิ.ย.'!D290</f>
        <v>0</v>
      </c>
      <c r="E290" s="458">
        <f>+'ต.ค.-ธ.ค.'!E291+'ม.ค.-มี.ค.'!E290+'เม.ย.-มิ.ย.'!E290</f>
        <v>0</v>
      </c>
      <c r="F290" s="458">
        <f>+'ต.ค.-ธ.ค.'!F291+'ม.ค.-มี.ค.'!F290+'เม.ย.-มิ.ย.'!F290</f>
        <v>0</v>
      </c>
      <c r="G290" s="458">
        <f>+'ต.ค.-ธ.ค.'!G291+'ม.ค.-มี.ค.'!G290+'เม.ย.-มิ.ย.'!G290</f>
        <v>0</v>
      </c>
      <c r="H290" s="458">
        <f>+'ต.ค.-ธ.ค.'!H291+'ม.ค.-มี.ค.'!H290+'เม.ย.-มิ.ย.'!H290</f>
        <v>0</v>
      </c>
      <c r="I290" s="458">
        <f>+'ต.ค.-ธ.ค.'!I291+'ม.ค.-มี.ค.'!I290+'เม.ย.-มิ.ย.'!I290</f>
        <v>0</v>
      </c>
      <c r="J290" s="458">
        <f>+'ต.ค.-ธ.ค.'!J291+'ม.ค.-มี.ค.'!J290+'เม.ย.-มิ.ย.'!J290</f>
        <v>0</v>
      </c>
      <c r="K290" s="458">
        <f>+'ต.ค.-ธ.ค.'!K291+'ม.ค.-มี.ค.'!K290+'เม.ย.-มิ.ย.'!K290</f>
        <v>0</v>
      </c>
      <c r="L290" s="458">
        <f>+'ต.ค.-ธ.ค.'!L291+'ม.ค.-มี.ค.'!L290+'เม.ย.-มิ.ย.'!L290</f>
        <v>0</v>
      </c>
      <c r="M290" s="458">
        <f>+'ต.ค.-ธ.ค.'!M291+'ม.ค.-มี.ค.'!M290+'เม.ย.-มิ.ย.'!M290</f>
        <v>0</v>
      </c>
      <c r="N290" s="458">
        <f>+'ต.ค.-ธ.ค.'!N291+'ม.ค.-มี.ค.'!N290+'เม.ย.-มิ.ย.'!N290</f>
        <v>174000</v>
      </c>
      <c r="O290" s="458">
        <f>+'ต.ค.-ธ.ค.'!O291+'ม.ค.-มี.ค.'!O290+'เม.ย.-มิ.ย.'!O290</f>
        <v>0</v>
      </c>
      <c r="P290" s="458">
        <f>+'ต.ค.-ธ.ค.'!P291+'ม.ค.-มี.ค.'!P290+'เม.ย.-มิ.ย.'!P290</f>
        <v>0</v>
      </c>
      <c r="Q290" s="458">
        <f>+'ต.ค.-ธ.ค.'!Q291+'ม.ค.-มี.ค.'!Q290+'เม.ย.-มิ.ย.'!Q290</f>
        <v>0</v>
      </c>
      <c r="R290" s="458">
        <f>+'ต.ค.-ธ.ค.'!R291+'ม.ค.-มี.ค.'!R290+'เม.ย.-มิ.ย.'!R290</f>
        <v>0</v>
      </c>
      <c r="S290" s="458">
        <f>+'ต.ค.-ธ.ค.'!S291+'ม.ค.-มี.ค.'!S290+'เม.ย.-มิ.ย.'!S290</f>
        <v>0</v>
      </c>
      <c r="T290" s="458">
        <f>+'ต.ค.-ธ.ค.'!U291+'ม.ค.-มี.ค.'!U290+'เม.ย.-มิ.ย.'!U290</f>
        <v>0</v>
      </c>
      <c r="U290" s="458">
        <f>+'ต.ค.-ธ.ค.'!V291+'ม.ค.-มี.ค.'!V290+'เม.ย.-มิ.ย.'!V290</f>
        <v>0</v>
      </c>
    </row>
    <row r="291" spans="1:23" ht="25.5" customHeight="1">
      <c r="A291" s="447"/>
      <c r="B291" s="398"/>
      <c r="C291" s="430"/>
      <c r="D291" s="477"/>
      <c r="E291" s="478"/>
      <c r="F291" s="478"/>
      <c r="G291" s="478"/>
      <c r="H291" s="478"/>
      <c r="I291" s="477"/>
      <c r="J291" s="477"/>
      <c r="K291" s="477"/>
      <c r="L291" s="477"/>
      <c r="M291" s="478"/>
      <c r="N291" s="477"/>
      <c r="O291" s="477"/>
      <c r="P291" s="477"/>
      <c r="Q291" s="477"/>
      <c r="R291" s="477"/>
      <c r="S291" s="477"/>
      <c r="T291" s="477"/>
      <c r="U291" s="450"/>
    </row>
    <row r="292" spans="1:23" ht="25.5" customHeight="1" thickBot="1">
      <c r="A292" s="462"/>
      <c r="B292" s="396" t="s">
        <v>5</v>
      </c>
      <c r="C292" s="428">
        <f>SUM(C282:C291)</f>
        <v>723940.96</v>
      </c>
      <c r="D292" s="457">
        <f>SUM(D282:D289)</f>
        <v>0</v>
      </c>
      <c r="E292" s="456">
        <f>SUM(E282:E290)</f>
        <v>198325</v>
      </c>
      <c r="F292" s="456">
        <f>SUM(F282:F290)</f>
        <v>15500</v>
      </c>
      <c r="G292" s="456">
        <f t="shared" ref="G292:U292" si="16">SUM(G282:G289)</f>
        <v>0</v>
      </c>
      <c r="H292" s="456">
        <f>SUM(H282:H290)</f>
        <v>96000</v>
      </c>
      <c r="I292" s="457">
        <f>SUM(I282:I290)</f>
        <v>409940.96</v>
      </c>
      <c r="J292" s="457">
        <f t="shared" si="16"/>
        <v>0</v>
      </c>
      <c r="K292" s="457">
        <f t="shared" si="16"/>
        <v>0</v>
      </c>
      <c r="L292" s="457">
        <f t="shared" si="16"/>
        <v>0</v>
      </c>
      <c r="M292" s="456">
        <f>SUM(M282:M290)</f>
        <v>36500</v>
      </c>
      <c r="N292" s="457">
        <f>SUM(N282:N291)</f>
        <v>174000</v>
      </c>
      <c r="O292" s="457">
        <f t="shared" si="16"/>
        <v>0</v>
      </c>
      <c r="P292" s="457">
        <f t="shared" si="16"/>
        <v>0</v>
      </c>
      <c r="Q292" s="457">
        <f t="shared" si="16"/>
        <v>0</v>
      </c>
      <c r="R292" s="457">
        <f t="shared" si="16"/>
        <v>0</v>
      </c>
      <c r="S292" s="457">
        <f t="shared" si="16"/>
        <v>0</v>
      </c>
      <c r="T292" s="457">
        <f t="shared" si="16"/>
        <v>0</v>
      </c>
      <c r="U292" s="457">
        <f t="shared" si="16"/>
        <v>0</v>
      </c>
      <c r="V292" s="576">
        <f>SUM(D292:U292)</f>
        <v>930265.96</v>
      </c>
    </row>
    <row r="293" spans="1:23" s="63" customFormat="1" ht="25.5" customHeight="1" thickTop="1" thickBot="1">
      <c r="A293" s="479"/>
      <c r="B293" s="399" t="s">
        <v>49</v>
      </c>
      <c r="C293" s="431">
        <f>+C272+C262+C221+C210+C204++C49+C39+C21+C176+C28+C224</f>
        <v>39148280</v>
      </c>
      <c r="D293" s="431">
        <f>+D272+D262+D221+D210+D204++D49+D39+D21+D176+D28+D224+D235+D242+D245+D249</f>
        <v>7497508.2800000003</v>
      </c>
      <c r="E293" s="431">
        <f>+E272+E262+E221+E210+E204++E49+E39+E21+E176+E28+E224+E235+E242+E245+E249</f>
        <v>6993461.8700000001</v>
      </c>
      <c r="F293" s="431">
        <f>+F272+F262+F221+F210+F204++F49+F39+F21+F176+F28+F224+F235+F242+F245+F249</f>
        <v>1605242.2</v>
      </c>
      <c r="G293" s="431">
        <f t="shared" ref="G293:U293" si="17">+G272+G262+G221+G210+G204++G49+G39+G21+G176+G28+G224+G235+G242+G245+G249</f>
        <v>115898</v>
      </c>
      <c r="H293" s="431">
        <f t="shared" si="17"/>
        <v>4101855.6</v>
      </c>
      <c r="I293" s="431">
        <f t="shared" si="17"/>
        <v>3283803.2199999997</v>
      </c>
      <c r="J293" s="431">
        <f t="shared" si="17"/>
        <v>49995</v>
      </c>
      <c r="K293" s="431">
        <f t="shared" si="17"/>
        <v>37080</v>
      </c>
      <c r="L293" s="431">
        <f t="shared" si="17"/>
        <v>0</v>
      </c>
      <c r="M293" s="431">
        <f t="shared" si="17"/>
        <v>1707661.65</v>
      </c>
      <c r="N293" s="431">
        <f t="shared" si="17"/>
        <v>1110500</v>
      </c>
      <c r="O293" s="431">
        <f t="shared" si="17"/>
        <v>0</v>
      </c>
      <c r="P293" s="431">
        <f t="shared" si="17"/>
        <v>23600</v>
      </c>
      <c r="Q293" s="431">
        <f t="shared" si="17"/>
        <v>4880</v>
      </c>
      <c r="R293" s="431">
        <f t="shared" si="17"/>
        <v>90108</v>
      </c>
      <c r="S293" s="431">
        <f t="shared" si="17"/>
        <v>158980</v>
      </c>
      <c r="T293" s="431">
        <f t="shared" si="17"/>
        <v>0</v>
      </c>
      <c r="U293" s="480">
        <f t="shared" si="17"/>
        <v>8635</v>
      </c>
      <c r="V293" s="577">
        <f>SUM(D293:U293)</f>
        <v>26789208.819999997</v>
      </c>
      <c r="W293" s="175"/>
    </row>
    <row r="294" spans="1:23" s="63" customFormat="1" ht="25.5" customHeight="1" thickTop="1" thickBot="1">
      <c r="A294" s="479"/>
      <c r="B294" s="400" t="s">
        <v>25</v>
      </c>
      <c r="C294" s="432">
        <f>+C292+C280+C276+C272+C262+C224+C221+C210+C176+C49+C28+C21+C39++C204+C235+C242+C245+C249</f>
        <v>40118720.960000001</v>
      </c>
      <c r="D294" s="432">
        <f>+D292+D280+D276+D272+D262+D224+D221+D210+D176+D49+D28+D21+D39++D204+D242+D245+D249</f>
        <v>7744008.2800000003</v>
      </c>
      <c r="E294" s="432">
        <f>+E292+E280+E276+E272+E262+E224+E221+E210+E176+E49+E28+E21+E39++E204+E242+E245+E249+E235</f>
        <v>7191786.8700000001</v>
      </c>
      <c r="F294" s="432">
        <f t="shared" ref="F294:U294" si="18">+F292+F280+F276+F272+F262+F224+F221+F210+F176+F49+F28+F21+F39++F204+F242+F245+F249</f>
        <v>1620742.2</v>
      </c>
      <c r="G294" s="432">
        <f t="shared" si="18"/>
        <v>115898</v>
      </c>
      <c r="H294" s="432">
        <f t="shared" si="18"/>
        <v>4197855.5999999996</v>
      </c>
      <c r="I294" s="432">
        <f t="shared" si="18"/>
        <v>3693744.1799999997</v>
      </c>
      <c r="J294" s="432">
        <f t="shared" si="18"/>
        <v>49995</v>
      </c>
      <c r="K294" s="432">
        <f t="shared" si="18"/>
        <v>37080</v>
      </c>
      <c r="L294" s="432">
        <f t="shared" si="18"/>
        <v>0</v>
      </c>
      <c r="M294" s="432">
        <f t="shared" si="18"/>
        <v>1744161.65</v>
      </c>
      <c r="N294" s="432">
        <f t="shared" si="18"/>
        <v>1284500</v>
      </c>
      <c r="O294" s="432">
        <f t="shared" si="18"/>
        <v>0</v>
      </c>
      <c r="P294" s="432">
        <f t="shared" si="18"/>
        <v>23600</v>
      </c>
      <c r="Q294" s="432">
        <f t="shared" si="18"/>
        <v>4880</v>
      </c>
      <c r="R294" s="432">
        <f t="shared" si="18"/>
        <v>90108</v>
      </c>
      <c r="S294" s="432">
        <f t="shared" si="18"/>
        <v>158980</v>
      </c>
      <c r="T294" s="432">
        <f t="shared" si="18"/>
        <v>0</v>
      </c>
      <c r="U294" s="481">
        <f t="shared" si="18"/>
        <v>8635</v>
      </c>
      <c r="V294" s="578">
        <f>SUM(D294:U294)</f>
        <v>27965974.779999997</v>
      </c>
      <c r="W294" s="175"/>
    </row>
    <row r="295" spans="1:23" ht="25.5" customHeight="1" thickTop="1">
      <c r="B295" s="401" t="s">
        <v>273</v>
      </c>
      <c r="C295" s="434"/>
      <c r="D295" s="482"/>
      <c r="E295" s="483"/>
      <c r="F295" s="484"/>
      <c r="G295" s="484"/>
      <c r="H295" s="484"/>
      <c r="I295" s="482"/>
      <c r="J295" s="482"/>
      <c r="K295" s="482"/>
      <c r="L295" s="482"/>
      <c r="M295" s="484"/>
      <c r="N295" s="482"/>
      <c r="O295" s="482"/>
      <c r="P295" s="482"/>
      <c r="Q295" s="482"/>
      <c r="R295" s="485"/>
      <c r="S295" s="486"/>
      <c r="T295" s="485"/>
      <c r="U295" s="485"/>
      <c r="V295" s="355"/>
      <c r="W295" s="34"/>
    </row>
    <row r="296" spans="1:23" ht="25.5" customHeight="1">
      <c r="C296" s="434"/>
      <c r="D296" s="433"/>
      <c r="E296" s="436"/>
      <c r="F296" s="437"/>
      <c r="G296" s="437"/>
      <c r="H296" s="437"/>
      <c r="I296" s="433"/>
      <c r="J296" s="433"/>
      <c r="K296" s="433"/>
      <c r="L296" s="433"/>
      <c r="M296" s="437"/>
      <c r="N296" s="433"/>
      <c r="O296" s="433"/>
      <c r="P296" s="433"/>
      <c r="Q296" s="433"/>
      <c r="R296" s="59"/>
      <c r="S296" s="438"/>
      <c r="T296" s="59"/>
      <c r="U296" s="59"/>
      <c r="V296" s="34"/>
      <c r="W296" s="34"/>
    </row>
    <row r="297" spans="1:23" ht="25.5" customHeight="1">
      <c r="C297" s="434"/>
      <c r="D297" s="433"/>
      <c r="E297" s="436"/>
      <c r="F297" s="437"/>
      <c r="G297" s="437"/>
      <c r="H297" s="437"/>
      <c r="I297" s="433"/>
      <c r="J297" s="433"/>
      <c r="K297" s="433"/>
      <c r="L297" s="433"/>
      <c r="M297" s="437"/>
      <c r="N297" s="433"/>
      <c r="O297" s="433"/>
      <c r="P297" s="433"/>
      <c r="Q297" s="433"/>
      <c r="R297" s="59"/>
      <c r="S297" s="438"/>
      <c r="T297" s="59"/>
      <c r="U297" s="59"/>
      <c r="V297" s="253">
        <f>39148280-C293</f>
        <v>0</v>
      </c>
    </row>
    <row r="298" spans="1:23" ht="25.5" customHeight="1">
      <c r="B298" s="435">
        <f>39148280-C293</f>
        <v>0</v>
      </c>
      <c r="C298" s="434"/>
      <c r="V298" s="322"/>
    </row>
    <row r="299" spans="1:23" ht="25.5" customHeight="1">
      <c r="C299" s="434"/>
      <c r="V299" s="328"/>
    </row>
    <row r="300" spans="1:23" ht="25.5" customHeight="1">
      <c r="C300" s="434"/>
      <c r="V300" s="321"/>
    </row>
    <row r="301" spans="1:23" ht="25.5" customHeight="1">
      <c r="V301" s="321"/>
    </row>
    <row r="302" spans="1:23" ht="25.5" customHeight="1">
      <c r="V302" s="310">
        <v>18400</v>
      </c>
    </row>
    <row r="313" spans="1:23" s="310" customFormat="1" ht="25.5" customHeight="1">
      <c r="A313" s="60"/>
      <c r="B313" s="60"/>
      <c r="C313" s="64"/>
      <c r="D313" s="64"/>
      <c r="E313" s="488"/>
      <c r="F313" s="434"/>
      <c r="G313" s="434"/>
      <c r="H313" s="434"/>
      <c r="I313" s="64"/>
      <c r="J313" s="64"/>
      <c r="K313" s="64"/>
      <c r="L313" s="64"/>
      <c r="M313" s="434"/>
      <c r="N313" s="64"/>
      <c r="O313" s="64"/>
      <c r="P313" s="64"/>
      <c r="Q313" s="64"/>
      <c r="R313" s="60"/>
      <c r="S313" s="487"/>
      <c r="T313" s="60"/>
      <c r="U313" s="60"/>
      <c r="W313"/>
    </row>
    <row r="314" spans="1:23" s="310" customFormat="1" ht="25.5" customHeight="1">
      <c r="A314" s="60"/>
      <c r="B314" s="60"/>
      <c r="C314" s="64"/>
      <c r="D314" s="64"/>
      <c r="E314" s="488"/>
      <c r="F314" s="434"/>
      <c r="G314" s="434"/>
      <c r="H314" s="434"/>
      <c r="I314" s="64"/>
      <c r="J314" s="64"/>
      <c r="K314" s="64"/>
      <c r="L314" s="64"/>
      <c r="M314" s="434"/>
      <c r="N314" s="64"/>
      <c r="O314" s="64"/>
      <c r="P314" s="64"/>
      <c r="Q314" s="64"/>
      <c r="R314" s="60"/>
      <c r="S314" s="487"/>
      <c r="T314" s="60"/>
      <c r="U314" s="60"/>
      <c r="W314"/>
    </row>
    <row r="315" spans="1:23" s="310" customFormat="1" ht="25.5" customHeight="1">
      <c r="A315" s="60"/>
      <c r="B315" s="60"/>
      <c r="C315" s="64"/>
      <c r="D315" s="64"/>
      <c r="E315" s="488"/>
      <c r="F315" s="434"/>
      <c r="G315" s="434"/>
      <c r="H315" s="434"/>
      <c r="I315" s="64"/>
      <c r="J315" s="64"/>
      <c r="K315" s="64"/>
      <c r="L315" s="64"/>
      <c r="M315" s="434"/>
      <c r="N315" s="64"/>
      <c r="O315" s="64"/>
      <c r="P315" s="64"/>
      <c r="Q315" s="64"/>
      <c r="R315" s="60"/>
      <c r="S315" s="487"/>
      <c r="T315" s="60"/>
      <c r="U315" s="60"/>
      <c r="W315"/>
    </row>
    <row r="316" spans="1:23" s="310" customFormat="1" ht="25.5" customHeight="1">
      <c r="A316" s="60"/>
      <c r="B316" s="60"/>
      <c r="C316" s="64"/>
      <c r="D316" s="64"/>
      <c r="E316" s="488"/>
      <c r="F316" s="434"/>
      <c r="G316" s="434"/>
      <c r="H316" s="434"/>
      <c r="I316" s="64"/>
      <c r="J316" s="64"/>
      <c r="K316" s="64"/>
      <c r="L316" s="64"/>
      <c r="M316" s="434"/>
      <c r="N316" s="64"/>
      <c r="O316" s="64"/>
      <c r="P316" s="64"/>
      <c r="Q316" s="64"/>
      <c r="R316" s="60"/>
      <c r="S316" s="487"/>
      <c r="T316" s="60"/>
      <c r="U316" s="60"/>
      <c r="W316"/>
    </row>
    <row r="317" spans="1:23" s="310" customFormat="1" ht="25.5" customHeight="1">
      <c r="A317" s="60"/>
      <c r="B317" s="60"/>
      <c r="C317" s="64"/>
      <c r="D317" s="64"/>
      <c r="E317" s="488"/>
      <c r="F317" s="434"/>
      <c r="G317" s="434"/>
      <c r="H317" s="434"/>
      <c r="I317" s="64"/>
      <c r="J317" s="64"/>
      <c r="K317" s="64"/>
      <c r="L317" s="64"/>
      <c r="M317" s="434"/>
      <c r="N317" s="64"/>
      <c r="O317" s="64"/>
      <c r="P317" s="64"/>
      <c r="Q317" s="64"/>
      <c r="R317" s="60"/>
      <c r="S317" s="487"/>
      <c r="T317" s="60"/>
      <c r="U317" s="60"/>
      <c r="W317"/>
    </row>
    <row r="318" spans="1:23" s="310" customFormat="1" ht="25.5" customHeight="1">
      <c r="A318" s="60"/>
      <c r="B318" s="60"/>
      <c r="C318" s="64"/>
      <c r="D318" s="64"/>
      <c r="E318" s="488"/>
      <c r="F318" s="434"/>
      <c r="G318" s="434"/>
      <c r="H318" s="434"/>
      <c r="I318" s="64"/>
      <c r="J318" s="64"/>
      <c r="K318" s="64"/>
      <c r="L318" s="64"/>
      <c r="M318" s="434"/>
      <c r="N318" s="64"/>
      <c r="O318" s="64"/>
      <c r="P318" s="64"/>
      <c r="Q318" s="64"/>
      <c r="R318" s="60"/>
      <c r="S318" s="487"/>
      <c r="T318" s="60"/>
      <c r="U318" s="60"/>
      <c r="W318"/>
    </row>
    <row r="319" spans="1:23" s="310" customFormat="1" ht="25.5" customHeight="1">
      <c r="A319" s="60"/>
      <c r="B319" s="60"/>
      <c r="C319" s="64"/>
      <c r="D319" s="64"/>
      <c r="E319" s="488"/>
      <c r="F319" s="434"/>
      <c r="G319" s="434"/>
      <c r="H319" s="434"/>
      <c r="I319" s="64"/>
      <c r="J319" s="64"/>
      <c r="K319" s="64"/>
      <c r="L319" s="64"/>
      <c r="M319" s="434"/>
      <c r="N319" s="64"/>
      <c r="O319" s="64"/>
      <c r="P319" s="64"/>
      <c r="Q319" s="64"/>
      <c r="R319" s="60"/>
      <c r="S319" s="487"/>
      <c r="T319" s="60"/>
      <c r="U319" s="60"/>
      <c r="W319"/>
    </row>
    <row r="320" spans="1:23" s="310" customFormat="1" ht="25.5" customHeight="1">
      <c r="A320" s="60"/>
      <c r="B320" s="60"/>
      <c r="C320" s="64"/>
      <c r="D320" s="64"/>
      <c r="E320" s="488"/>
      <c r="F320" s="434"/>
      <c r="G320" s="434"/>
      <c r="H320" s="434"/>
      <c r="I320" s="64"/>
      <c r="J320" s="64"/>
      <c r="K320" s="64"/>
      <c r="L320" s="64"/>
      <c r="M320" s="434"/>
      <c r="N320" s="64"/>
      <c r="O320" s="64"/>
      <c r="P320" s="64"/>
      <c r="Q320" s="64"/>
      <c r="R320" s="60"/>
      <c r="S320" s="487"/>
      <c r="T320" s="60"/>
      <c r="U320" s="60"/>
      <c r="W320"/>
    </row>
    <row r="321" spans="1:23" s="310" customFormat="1" ht="25.5" customHeight="1">
      <c r="A321" s="60"/>
      <c r="B321" s="60"/>
      <c r="C321" s="64"/>
      <c r="D321" s="64"/>
      <c r="E321" s="488"/>
      <c r="F321" s="434"/>
      <c r="G321" s="434"/>
      <c r="H321" s="434"/>
      <c r="I321" s="64"/>
      <c r="J321" s="64"/>
      <c r="K321" s="64"/>
      <c r="L321" s="64"/>
      <c r="M321" s="434"/>
      <c r="N321" s="64"/>
      <c r="O321" s="64"/>
      <c r="P321" s="64"/>
      <c r="Q321" s="64"/>
      <c r="R321" s="60"/>
      <c r="S321" s="487"/>
      <c r="T321" s="60"/>
      <c r="U321" s="60"/>
      <c r="W321"/>
    </row>
    <row r="322" spans="1:23" s="310" customFormat="1" ht="25.5" customHeight="1">
      <c r="A322" s="60"/>
      <c r="B322" s="60"/>
      <c r="C322" s="64"/>
      <c r="D322" s="64"/>
      <c r="E322" s="488"/>
      <c r="F322" s="434"/>
      <c r="G322" s="434"/>
      <c r="H322" s="434"/>
      <c r="I322" s="64"/>
      <c r="J322" s="64"/>
      <c r="K322" s="64"/>
      <c r="L322" s="64"/>
      <c r="M322" s="434"/>
      <c r="N322" s="64"/>
      <c r="O322" s="64"/>
      <c r="P322" s="64"/>
      <c r="Q322" s="64"/>
      <c r="R322" s="60"/>
      <c r="S322" s="487"/>
      <c r="T322" s="60"/>
      <c r="U322" s="60"/>
      <c r="W322"/>
    </row>
    <row r="323" spans="1:23" s="310" customFormat="1" ht="25.5" customHeight="1">
      <c r="A323" s="60"/>
      <c r="B323" s="60"/>
      <c r="C323" s="64"/>
      <c r="D323" s="64"/>
      <c r="E323" s="488"/>
      <c r="F323" s="434"/>
      <c r="G323" s="434"/>
      <c r="H323" s="434"/>
      <c r="I323" s="64"/>
      <c r="J323" s="64"/>
      <c r="K323" s="64"/>
      <c r="L323" s="64"/>
      <c r="M323" s="434"/>
      <c r="N323" s="64"/>
      <c r="O323" s="64"/>
      <c r="P323" s="64"/>
      <c r="Q323" s="64"/>
      <c r="R323" s="60"/>
      <c r="S323" s="487"/>
      <c r="T323" s="60"/>
      <c r="U323" s="60"/>
      <c r="W323"/>
    </row>
    <row r="324" spans="1:23" s="310" customFormat="1" ht="25.5" customHeight="1">
      <c r="A324" s="60"/>
      <c r="B324" s="60"/>
      <c r="C324" s="64"/>
      <c r="D324" s="64"/>
      <c r="E324" s="488"/>
      <c r="F324" s="434"/>
      <c r="G324" s="434"/>
      <c r="H324" s="434"/>
      <c r="I324" s="64"/>
      <c r="J324" s="64"/>
      <c r="K324" s="64"/>
      <c r="L324" s="64"/>
      <c r="M324" s="434"/>
      <c r="N324" s="64"/>
      <c r="O324" s="64"/>
      <c r="P324" s="64"/>
      <c r="Q324" s="64"/>
      <c r="R324" s="60"/>
      <c r="S324" s="487"/>
      <c r="T324" s="60"/>
      <c r="U324" s="60"/>
      <c r="W324"/>
    </row>
    <row r="325" spans="1:23" s="310" customFormat="1" ht="25.5" customHeight="1">
      <c r="A325" s="60"/>
      <c r="B325" s="60"/>
      <c r="C325" s="64"/>
      <c r="D325" s="64"/>
      <c r="E325" s="488"/>
      <c r="F325" s="434"/>
      <c r="G325" s="434"/>
      <c r="H325" s="434"/>
      <c r="I325" s="64"/>
      <c r="J325" s="64"/>
      <c r="K325" s="64"/>
      <c r="L325" s="64"/>
      <c r="M325" s="434"/>
      <c r="N325" s="64"/>
      <c r="O325" s="64"/>
      <c r="P325" s="64"/>
      <c r="Q325" s="64"/>
      <c r="R325" s="60"/>
      <c r="S325" s="487"/>
      <c r="T325" s="60"/>
      <c r="U325" s="60"/>
      <c r="W325"/>
    </row>
    <row r="326" spans="1:23" s="310" customFormat="1" ht="25.5" customHeight="1">
      <c r="A326" s="60"/>
      <c r="B326" s="60"/>
      <c r="C326" s="64"/>
      <c r="D326" s="64"/>
      <c r="E326" s="488"/>
      <c r="F326" s="434"/>
      <c r="G326" s="434"/>
      <c r="H326" s="434"/>
      <c r="I326" s="64"/>
      <c r="J326" s="64"/>
      <c r="K326" s="64"/>
      <c r="L326" s="64"/>
      <c r="M326" s="434"/>
      <c r="N326" s="64"/>
      <c r="O326" s="64"/>
      <c r="P326" s="64"/>
      <c r="Q326" s="64"/>
      <c r="R326" s="60"/>
      <c r="S326" s="487"/>
      <c r="T326" s="60"/>
      <c r="U326" s="60"/>
      <c r="W326"/>
    </row>
    <row r="327" spans="1:23" s="310" customFormat="1" ht="25.5" customHeight="1">
      <c r="A327" s="60"/>
      <c r="B327" s="60"/>
      <c r="C327" s="64"/>
      <c r="D327" s="64"/>
      <c r="E327" s="488"/>
      <c r="F327" s="434"/>
      <c r="G327" s="434"/>
      <c r="H327" s="434"/>
      <c r="I327" s="64"/>
      <c r="J327" s="64"/>
      <c r="K327" s="64"/>
      <c r="L327" s="64"/>
      <c r="M327" s="434"/>
      <c r="N327" s="64"/>
      <c r="O327" s="64"/>
      <c r="P327" s="64"/>
      <c r="Q327" s="64"/>
      <c r="R327" s="60"/>
      <c r="S327" s="487"/>
      <c r="T327" s="60"/>
      <c r="U327" s="60"/>
      <c r="W327"/>
    </row>
    <row r="328" spans="1:23" s="310" customFormat="1" ht="25.5" customHeight="1">
      <c r="A328" s="60"/>
      <c r="B328" s="60"/>
      <c r="C328" s="64"/>
      <c r="D328" s="64"/>
      <c r="E328" s="488"/>
      <c r="F328" s="434"/>
      <c r="G328" s="434"/>
      <c r="H328" s="434"/>
      <c r="I328" s="64"/>
      <c r="J328" s="64"/>
      <c r="K328" s="64"/>
      <c r="L328" s="64"/>
      <c r="M328" s="434"/>
      <c r="N328" s="64"/>
      <c r="O328" s="64"/>
      <c r="P328" s="64"/>
      <c r="Q328" s="64"/>
      <c r="R328" s="60"/>
      <c r="S328" s="487"/>
      <c r="T328" s="60"/>
      <c r="U328" s="60"/>
      <c r="W328"/>
    </row>
    <row r="329" spans="1:23" s="310" customFormat="1" ht="25.5" customHeight="1">
      <c r="A329" s="60"/>
      <c r="B329" s="60"/>
      <c r="C329" s="64"/>
      <c r="D329" s="64"/>
      <c r="E329" s="488"/>
      <c r="F329" s="434"/>
      <c r="G329" s="434"/>
      <c r="H329" s="434"/>
      <c r="I329" s="64"/>
      <c r="J329" s="64"/>
      <c r="K329" s="64"/>
      <c r="L329" s="64"/>
      <c r="M329" s="434"/>
      <c r="N329" s="64"/>
      <c r="O329" s="64"/>
      <c r="P329" s="64"/>
      <c r="Q329" s="64"/>
      <c r="R329" s="60"/>
      <c r="S329" s="487"/>
      <c r="T329" s="60"/>
      <c r="U329" s="60"/>
      <c r="W329"/>
    </row>
    <row r="330" spans="1:23" s="310" customFormat="1" ht="25.5" customHeight="1">
      <c r="A330" s="60"/>
      <c r="B330" s="60"/>
      <c r="C330" s="64"/>
      <c r="D330" s="64"/>
      <c r="E330" s="488"/>
      <c r="F330" s="434"/>
      <c r="G330" s="434"/>
      <c r="H330" s="434"/>
      <c r="I330" s="64"/>
      <c r="J330" s="64"/>
      <c r="K330" s="64"/>
      <c r="L330" s="64"/>
      <c r="M330" s="434"/>
      <c r="N330" s="64"/>
      <c r="O330" s="64"/>
      <c r="P330" s="64"/>
      <c r="Q330" s="64"/>
      <c r="R330" s="60"/>
      <c r="S330" s="487"/>
      <c r="T330" s="60"/>
      <c r="U330" s="60"/>
      <c r="W330"/>
    </row>
    <row r="331" spans="1:23" s="310" customFormat="1" ht="25.5" customHeight="1">
      <c r="A331" s="60"/>
      <c r="B331" s="60"/>
      <c r="C331" s="64"/>
      <c r="D331" s="64"/>
      <c r="E331" s="488"/>
      <c r="F331" s="434"/>
      <c r="G331" s="434"/>
      <c r="H331" s="434"/>
      <c r="I331" s="64"/>
      <c r="J331" s="64"/>
      <c r="K331" s="64"/>
      <c r="L331" s="64"/>
      <c r="M331" s="434"/>
      <c r="N331" s="64"/>
      <c r="O331" s="64"/>
      <c r="P331" s="64"/>
      <c r="Q331" s="64"/>
      <c r="R331" s="60"/>
      <c r="S331" s="487"/>
      <c r="T331" s="60"/>
      <c r="U331" s="60"/>
      <c r="W331"/>
    </row>
    <row r="332" spans="1:23" s="310" customFormat="1" ht="25.5" customHeight="1">
      <c r="A332" s="60"/>
      <c r="B332" s="60"/>
      <c r="C332" s="64"/>
      <c r="D332" s="64"/>
      <c r="E332" s="488"/>
      <c r="F332" s="434"/>
      <c r="G332" s="434"/>
      <c r="H332" s="434"/>
      <c r="I332" s="64"/>
      <c r="J332" s="64"/>
      <c r="K332" s="64"/>
      <c r="L332" s="64"/>
      <c r="M332" s="434"/>
      <c r="N332" s="64"/>
      <c r="O332" s="64"/>
      <c r="P332" s="64"/>
      <c r="Q332" s="64"/>
      <c r="R332" s="60"/>
      <c r="S332" s="487"/>
      <c r="T332" s="60"/>
      <c r="U332" s="60"/>
      <c r="W332"/>
    </row>
    <row r="333" spans="1:23" s="310" customFormat="1" ht="25.5" customHeight="1">
      <c r="A333" s="60"/>
      <c r="B333" s="60"/>
      <c r="C333" s="64"/>
      <c r="D333" s="64"/>
      <c r="E333" s="488"/>
      <c r="F333" s="434"/>
      <c r="G333" s="434"/>
      <c r="H333" s="434"/>
      <c r="I333" s="64"/>
      <c r="J333" s="64"/>
      <c r="K333" s="64"/>
      <c r="L333" s="64"/>
      <c r="M333" s="434"/>
      <c r="N333" s="64"/>
      <c r="O333" s="64"/>
      <c r="P333" s="64"/>
      <c r="Q333" s="64"/>
      <c r="R333" s="60"/>
      <c r="S333" s="487"/>
      <c r="T333" s="60"/>
      <c r="U333" s="60"/>
      <c r="W333"/>
    </row>
    <row r="334" spans="1:23" s="310" customFormat="1" ht="25.5" customHeight="1">
      <c r="A334" s="60"/>
      <c r="B334" s="60"/>
      <c r="C334" s="64"/>
      <c r="D334" s="64"/>
      <c r="E334" s="488"/>
      <c r="F334" s="434"/>
      <c r="G334" s="434"/>
      <c r="H334" s="434"/>
      <c r="I334" s="64"/>
      <c r="J334" s="64"/>
      <c r="K334" s="64"/>
      <c r="L334" s="64"/>
      <c r="M334" s="434"/>
      <c r="N334" s="64"/>
      <c r="O334" s="64"/>
      <c r="P334" s="64"/>
      <c r="Q334" s="64"/>
      <c r="R334" s="60"/>
      <c r="S334" s="487"/>
      <c r="T334" s="60"/>
      <c r="U334" s="60"/>
      <c r="W334"/>
    </row>
    <row r="335" spans="1:23" s="310" customFormat="1" ht="25.5" customHeight="1">
      <c r="A335" s="60"/>
      <c r="B335" s="60"/>
      <c r="C335" s="64"/>
      <c r="D335" s="64"/>
      <c r="E335" s="488"/>
      <c r="F335" s="434"/>
      <c r="G335" s="434"/>
      <c r="H335" s="434"/>
      <c r="I335" s="64"/>
      <c r="J335" s="64"/>
      <c r="K335" s="64"/>
      <c r="L335" s="64"/>
      <c r="M335" s="434"/>
      <c r="N335" s="64"/>
      <c r="O335" s="64"/>
      <c r="P335" s="64"/>
      <c r="Q335" s="64"/>
      <c r="R335" s="60"/>
      <c r="S335" s="487"/>
      <c r="T335" s="60"/>
      <c r="U335" s="60"/>
      <c r="W335"/>
    </row>
    <row r="336" spans="1:23" s="310" customFormat="1" ht="25.5" customHeight="1">
      <c r="A336" s="60"/>
      <c r="B336" s="60"/>
      <c r="C336" s="64"/>
      <c r="D336" s="64"/>
      <c r="E336" s="488"/>
      <c r="F336" s="434"/>
      <c r="G336" s="434"/>
      <c r="H336" s="434"/>
      <c r="I336" s="64"/>
      <c r="J336" s="64"/>
      <c r="K336" s="64"/>
      <c r="L336" s="64"/>
      <c r="M336" s="434"/>
      <c r="N336" s="64"/>
      <c r="O336" s="64"/>
      <c r="P336" s="64"/>
      <c r="Q336" s="64"/>
      <c r="R336" s="60"/>
      <c r="S336" s="487"/>
      <c r="T336" s="60"/>
      <c r="U336" s="60"/>
      <c r="W336"/>
    </row>
    <row r="337" spans="1:23" s="310" customFormat="1" ht="25.5" customHeight="1">
      <c r="A337" s="60"/>
      <c r="B337" s="60"/>
      <c r="C337" s="64"/>
      <c r="D337" s="64"/>
      <c r="E337" s="488"/>
      <c r="F337" s="434"/>
      <c r="G337" s="434"/>
      <c r="H337" s="434"/>
      <c r="I337" s="64"/>
      <c r="J337" s="64"/>
      <c r="K337" s="64"/>
      <c r="L337" s="64"/>
      <c r="M337" s="434"/>
      <c r="N337" s="64"/>
      <c r="O337" s="64"/>
      <c r="P337" s="64"/>
      <c r="Q337" s="64"/>
      <c r="R337" s="60"/>
      <c r="S337" s="487"/>
      <c r="T337" s="60"/>
      <c r="U337" s="60"/>
      <c r="W337"/>
    </row>
    <row r="338" spans="1:23" s="310" customFormat="1" ht="25.5" customHeight="1">
      <c r="A338" s="60"/>
      <c r="B338" s="60"/>
      <c r="C338" s="64"/>
      <c r="D338" s="64"/>
      <c r="E338" s="488"/>
      <c r="F338" s="434"/>
      <c r="G338" s="434"/>
      <c r="H338" s="434"/>
      <c r="I338" s="64"/>
      <c r="J338" s="64"/>
      <c r="K338" s="64"/>
      <c r="L338" s="64"/>
      <c r="M338" s="434"/>
      <c r="N338" s="64"/>
      <c r="O338" s="64"/>
      <c r="P338" s="64"/>
      <c r="Q338" s="64"/>
      <c r="R338" s="60"/>
      <c r="S338" s="487"/>
      <c r="T338" s="60"/>
      <c r="U338" s="60"/>
      <c r="W338"/>
    </row>
    <row r="339" spans="1:23" s="310" customFormat="1" ht="25.5" customHeight="1">
      <c r="A339" s="60"/>
      <c r="B339" s="60"/>
      <c r="C339" s="64"/>
      <c r="D339" s="64"/>
      <c r="E339" s="488"/>
      <c r="F339" s="434"/>
      <c r="G339" s="434"/>
      <c r="H339" s="434"/>
      <c r="I339" s="64"/>
      <c r="J339" s="64"/>
      <c r="K339" s="64"/>
      <c r="L339" s="64"/>
      <c r="M339" s="434"/>
      <c r="N339" s="64"/>
      <c r="O339" s="64"/>
      <c r="P339" s="64"/>
      <c r="Q339" s="64"/>
      <c r="R339" s="60"/>
      <c r="S339" s="487"/>
      <c r="T339" s="60"/>
      <c r="U339" s="60"/>
      <c r="W339"/>
    </row>
    <row r="340" spans="1:23" s="310" customFormat="1" ht="25.5" customHeight="1">
      <c r="A340" s="60"/>
      <c r="B340" s="60"/>
      <c r="C340" s="64"/>
      <c r="D340" s="64"/>
      <c r="E340" s="488"/>
      <c r="F340" s="434"/>
      <c r="G340" s="434"/>
      <c r="H340" s="434"/>
      <c r="I340" s="64"/>
      <c r="J340" s="64"/>
      <c r="K340" s="64"/>
      <c r="L340" s="64"/>
      <c r="M340" s="434"/>
      <c r="N340" s="64"/>
      <c r="O340" s="64"/>
      <c r="P340" s="64"/>
      <c r="Q340" s="64"/>
      <c r="R340" s="60"/>
      <c r="S340" s="487"/>
      <c r="T340" s="60"/>
      <c r="U340" s="60"/>
      <c r="W340"/>
    </row>
    <row r="341" spans="1:23" s="310" customFormat="1" ht="25.5" customHeight="1">
      <c r="A341" s="60"/>
      <c r="B341" s="60"/>
      <c r="C341" s="64"/>
      <c r="D341" s="64"/>
      <c r="E341" s="488"/>
      <c r="F341" s="434"/>
      <c r="G341" s="434"/>
      <c r="H341" s="434"/>
      <c r="I341" s="64"/>
      <c r="J341" s="64"/>
      <c r="K341" s="64"/>
      <c r="L341" s="64"/>
      <c r="M341" s="434"/>
      <c r="N341" s="64"/>
      <c r="O341" s="64"/>
      <c r="P341" s="64"/>
      <c r="Q341" s="64"/>
      <c r="R341" s="60"/>
      <c r="S341" s="487"/>
      <c r="T341" s="60"/>
      <c r="U341" s="60"/>
      <c r="W341"/>
    </row>
    <row r="342" spans="1:23" s="310" customFormat="1" ht="25.5" customHeight="1">
      <c r="A342" s="60"/>
      <c r="B342" s="60"/>
      <c r="C342" s="64"/>
      <c r="D342" s="64"/>
      <c r="E342" s="488"/>
      <c r="F342" s="434"/>
      <c r="G342" s="434"/>
      <c r="H342" s="434"/>
      <c r="I342" s="64"/>
      <c r="J342" s="64"/>
      <c r="K342" s="64"/>
      <c r="L342" s="64"/>
      <c r="M342" s="434"/>
      <c r="N342" s="64"/>
      <c r="O342" s="64"/>
      <c r="P342" s="64"/>
      <c r="Q342" s="64"/>
      <c r="R342" s="60"/>
      <c r="S342" s="487"/>
      <c r="T342" s="60"/>
      <c r="U342" s="60"/>
      <c r="W342"/>
    </row>
    <row r="343" spans="1:23" s="310" customFormat="1" ht="25.5" customHeight="1">
      <c r="A343" s="60"/>
      <c r="B343" s="60"/>
      <c r="C343" s="64"/>
      <c r="D343" s="64"/>
      <c r="E343" s="488"/>
      <c r="F343" s="434"/>
      <c r="G343" s="434"/>
      <c r="H343" s="434"/>
      <c r="I343" s="64"/>
      <c r="J343" s="64"/>
      <c r="K343" s="64"/>
      <c r="L343" s="64"/>
      <c r="M343" s="434"/>
      <c r="N343" s="64"/>
      <c r="O343" s="64"/>
      <c r="P343" s="64"/>
      <c r="Q343" s="64"/>
      <c r="R343" s="60"/>
      <c r="S343" s="487"/>
      <c r="T343" s="60"/>
      <c r="U343" s="60"/>
      <c r="W343"/>
    </row>
    <row r="344" spans="1:23" s="310" customFormat="1" ht="25.5" customHeight="1">
      <c r="A344" s="60"/>
      <c r="B344" s="60"/>
      <c r="C344" s="64"/>
      <c r="D344" s="64"/>
      <c r="E344" s="488"/>
      <c r="F344" s="434"/>
      <c r="G344" s="434"/>
      <c r="H344" s="434"/>
      <c r="I344" s="64"/>
      <c r="J344" s="64"/>
      <c r="K344" s="64"/>
      <c r="L344" s="64"/>
      <c r="M344" s="434"/>
      <c r="N344" s="64"/>
      <c r="O344" s="64"/>
      <c r="P344" s="64"/>
      <c r="Q344" s="64"/>
      <c r="R344" s="60"/>
      <c r="S344" s="487"/>
      <c r="T344" s="60"/>
      <c r="U344" s="60"/>
      <c r="W344"/>
    </row>
    <row r="345" spans="1:23" s="310" customFormat="1" ht="25.5" customHeight="1">
      <c r="A345" s="60"/>
      <c r="B345" s="60"/>
      <c r="C345" s="64"/>
      <c r="D345" s="64"/>
      <c r="E345" s="488"/>
      <c r="F345" s="434"/>
      <c r="G345" s="434"/>
      <c r="H345" s="434"/>
      <c r="I345" s="64"/>
      <c r="J345" s="64"/>
      <c r="K345" s="64"/>
      <c r="L345" s="64"/>
      <c r="M345" s="434"/>
      <c r="N345" s="64"/>
      <c r="O345" s="64"/>
      <c r="P345" s="64"/>
      <c r="Q345" s="64"/>
      <c r="R345" s="60"/>
      <c r="S345" s="487"/>
      <c r="T345" s="60"/>
      <c r="U345" s="60"/>
      <c r="W345"/>
    </row>
    <row r="346" spans="1:23" s="310" customFormat="1" ht="25.5" customHeight="1">
      <c r="A346" s="60"/>
      <c r="B346" s="60"/>
      <c r="C346" s="64"/>
      <c r="D346" s="64"/>
      <c r="E346" s="488"/>
      <c r="F346" s="434"/>
      <c r="G346" s="434"/>
      <c r="H346" s="434"/>
      <c r="I346" s="64"/>
      <c r="J346" s="64"/>
      <c r="K346" s="64"/>
      <c r="L346" s="64"/>
      <c r="M346" s="434"/>
      <c r="N346" s="64"/>
      <c r="O346" s="64"/>
      <c r="P346" s="64"/>
      <c r="Q346" s="64"/>
      <c r="R346" s="60"/>
      <c r="S346" s="487"/>
      <c r="T346" s="60"/>
      <c r="U346" s="60"/>
      <c r="W346"/>
    </row>
    <row r="347" spans="1:23" s="310" customFormat="1" ht="25.5" customHeight="1">
      <c r="A347" s="60"/>
      <c r="B347" s="60"/>
      <c r="C347" s="64"/>
      <c r="D347" s="64"/>
      <c r="E347" s="488"/>
      <c r="F347" s="434"/>
      <c r="G347" s="434"/>
      <c r="H347" s="434"/>
      <c r="I347" s="64"/>
      <c r="J347" s="64"/>
      <c r="K347" s="64"/>
      <c r="L347" s="64"/>
      <c r="M347" s="434"/>
      <c r="N347" s="64"/>
      <c r="O347" s="64"/>
      <c r="P347" s="64"/>
      <c r="Q347" s="64"/>
      <c r="R347" s="60"/>
      <c r="S347" s="487"/>
      <c r="T347" s="60"/>
      <c r="U347" s="60"/>
      <c r="W347"/>
    </row>
    <row r="348" spans="1:23" s="310" customFormat="1" ht="25.5" customHeight="1">
      <c r="A348" s="60"/>
      <c r="B348" s="60"/>
      <c r="C348" s="64"/>
      <c r="D348" s="64"/>
      <c r="E348" s="488"/>
      <c r="F348" s="434"/>
      <c r="G348" s="434"/>
      <c r="H348" s="434"/>
      <c r="I348" s="64"/>
      <c r="J348" s="64"/>
      <c r="K348" s="64"/>
      <c r="L348" s="64"/>
      <c r="M348" s="434"/>
      <c r="N348" s="64"/>
      <c r="O348" s="64"/>
      <c r="P348" s="64"/>
      <c r="Q348" s="64"/>
      <c r="R348" s="60"/>
      <c r="S348" s="487"/>
      <c r="T348" s="60"/>
      <c r="U348" s="60"/>
      <c r="W348"/>
    </row>
    <row r="349" spans="1:23" s="310" customFormat="1" ht="25.5" customHeight="1">
      <c r="A349" s="60"/>
      <c r="B349" s="60"/>
      <c r="C349" s="64"/>
      <c r="D349" s="64"/>
      <c r="E349" s="488"/>
      <c r="F349" s="434"/>
      <c r="G349" s="434"/>
      <c r="H349" s="434"/>
      <c r="I349" s="64"/>
      <c r="J349" s="64"/>
      <c r="K349" s="64"/>
      <c r="L349" s="64"/>
      <c r="M349" s="434"/>
      <c r="N349" s="64"/>
      <c r="O349" s="64"/>
      <c r="P349" s="64"/>
      <c r="Q349" s="64"/>
      <c r="R349" s="60"/>
      <c r="S349" s="487"/>
      <c r="T349" s="60"/>
      <c r="U349" s="60"/>
      <c r="W349"/>
    </row>
    <row r="350" spans="1:23" s="310" customFormat="1" ht="25.5" customHeight="1">
      <c r="A350" s="60"/>
      <c r="B350" s="60"/>
      <c r="C350" s="64"/>
      <c r="D350" s="64"/>
      <c r="E350" s="488"/>
      <c r="F350" s="434"/>
      <c r="G350" s="434"/>
      <c r="H350" s="434"/>
      <c r="I350" s="64"/>
      <c r="J350" s="64"/>
      <c r="K350" s="64"/>
      <c r="L350" s="64"/>
      <c r="M350" s="434"/>
      <c r="N350" s="64"/>
      <c r="O350" s="64"/>
      <c r="P350" s="64"/>
      <c r="Q350" s="64"/>
      <c r="R350" s="60"/>
      <c r="S350" s="487"/>
      <c r="T350" s="60"/>
      <c r="U350" s="60"/>
      <c r="W350"/>
    </row>
    <row r="351" spans="1:23" s="310" customFormat="1" ht="25.5" customHeight="1">
      <c r="A351" s="60"/>
      <c r="B351" s="60"/>
      <c r="C351" s="64"/>
      <c r="D351" s="64"/>
      <c r="E351" s="488"/>
      <c r="F351" s="434"/>
      <c r="G351" s="434"/>
      <c r="H351" s="434"/>
      <c r="I351" s="64"/>
      <c r="J351" s="64"/>
      <c r="K351" s="64"/>
      <c r="L351" s="64"/>
      <c r="M351" s="434"/>
      <c r="N351" s="64"/>
      <c r="O351" s="64"/>
      <c r="P351" s="64"/>
      <c r="Q351" s="64"/>
      <c r="R351" s="60"/>
      <c r="S351" s="487"/>
      <c r="T351" s="60"/>
      <c r="U351" s="60"/>
      <c r="W351"/>
    </row>
    <row r="352" spans="1:23" s="310" customFormat="1" ht="25.5" customHeight="1">
      <c r="A352" s="60"/>
      <c r="B352" s="60"/>
      <c r="C352" s="64"/>
      <c r="D352" s="64"/>
      <c r="E352" s="488"/>
      <c r="F352" s="434"/>
      <c r="G352" s="434"/>
      <c r="H352" s="434"/>
      <c r="I352" s="64"/>
      <c r="J352" s="64"/>
      <c r="K352" s="64"/>
      <c r="L352" s="64"/>
      <c r="M352" s="434"/>
      <c r="N352" s="64"/>
      <c r="O352" s="64"/>
      <c r="P352" s="64"/>
      <c r="Q352" s="64"/>
      <c r="R352" s="60"/>
      <c r="S352" s="487"/>
      <c r="T352" s="60"/>
      <c r="U352" s="60"/>
      <c r="W352"/>
    </row>
    <row r="353" spans="1:23" s="310" customFormat="1" ht="25.5" customHeight="1">
      <c r="A353" s="60"/>
      <c r="B353" s="60"/>
      <c r="C353" s="64"/>
      <c r="D353" s="64"/>
      <c r="E353" s="488"/>
      <c r="F353" s="434"/>
      <c r="G353" s="434"/>
      <c r="H353" s="434"/>
      <c r="I353" s="64"/>
      <c r="J353" s="64"/>
      <c r="K353" s="64"/>
      <c r="L353" s="64"/>
      <c r="M353" s="434"/>
      <c r="N353" s="64"/>
      <c r="O353" s="64"/>
      <c r="P353" s="64"/>
      <c r="Q353" s="64"/>
      <c r="R353" s="60"/>
      <c r="S353" s="487"/>
      <c r="T353" s="60"/>
      <c r="U353" s="60"/>
      <c r="W353"/>
    </row>
    <row r="354" spans="1:23" s="310" customFormat="1" ht="25.5" customHeight="1">
      <c r="A354" s="60"/>
      <c r="B354" s="60"/>
      <c r="C354" s="64"/>
      <c r="D354" s="64"/>
      <c r="E354" s="488"/>
      <c r="F354" s="434"/>
      <c r="G354" s="434"/>
      <c r="H354" s="434"/>
      <c r="I354" s="64"/>
      <c r="J354" s="64"/>
      <c r="K354" s="64"/>
      <c r="L354" s="64"/>
      <c r="M354" s="434"/>
      <c r="N354" s="64"/>
      <c r="O354" s="64"/>
      <c r="P354" s="64"/>
      <c r="Q354" s="64"/>
      <c r="R354" s="60"/>
      <c r="S354" s="487"/>
      <c r="T354" s="60"/>
      <c r="U354" s="60"/>
      <c r="W354"/>
    </row>
    <row r="355" spans="1:23" s="310" customFormat="1" ht="25.5" customHeight="1">
      <c r="A355" s="60"/>
      <c r="B355" s="60"/>
      <c r="C355" s="64"/>
      <c r="D355" s="64"/>
      <c r="E355" s="488"/>
      <c r="F355" s="434"/>
      <c r="G355" s="434"/>
      <c r="H355" s="434"/>
      <c r="I355" s="64"/>
      <c r="J355" s="64"/>
      <c r="K355" s="64"/>
      <c r="L355" s="64"/>
      <c r="M355" s="434"/>
      <c r="N355" s="64"/>
      <c r="O355" s="64"/>
      <c r="P355" s="64"/>
      <c r="Q355" s="64"/>
      <c r="R355" s="60"/>
      <c r="S355" s="487"/>
      <c r="T355" s="60"/>
      <c r="U355" s="60"/>
      <c r="W355"/>
    </row>
    <row r="356" spans="1:23" s="310" customFormat="1" ht="25.5" customHeight="1">
      <c r="A356" s="60"/>
      <c r="B356" s="60"/>
      <c r="C356" s="64"/>
      <c r="D356" s="64"/>
      <c r="E356" s="488"/>
      <c r="F356" s="434"/>
      <c r="G356" s="434"/>
      <c r="H356" s="434"/>
      <c r="I356" s="64"/>
      <c r="J356" s="64"/>
      <c r="K356" s="64"/>
      <c r="L356" s="64"/>
      <c r="M356" s="434"/>
      <c r="N356" s="64"/>
      <c r="O356" s="64"/>
      <c r="P356" s="64"/>
      <c r="Q356" s="64"/>
      <c r="R356" s="60"/>
      <c r="S356" s="487"/>
      <c r="T356" s="60"/>
      <c r="U356" s="60"/>
      <c r="W356"/>
    </row>
    <row r="357" spans="1:23" s="310" customFormat="1" ht="25.5" customHeight="1">
      <c r="A357" s="60"/>
      <c r="B357" s="60"/>
      <c r="C357" s="64"/>
      <c r="D357" s="64"/>
      <c r="E357" s="488"/>
      <c r="F357" s="434"/>
      <c r="G357" s="434"/>
      <c r="H357" s="434"/>
      <c r="I357" s="64"/>
      <c r="J357" s="64"/>
      <c r="K357" s="64"/>
      <c r="L357" s="64"/>
      <c r="M357" s="434"/>
      <c r="N357" s="64"/>
      <c r="O357" s="64"/>
      <c r="P357" s="64"/>
      <c r="Q357" s="64"/>
      <c r="R357" s="60"/>
      <c r="S357" s="487"/>
      <c r="T357" s="60"/>
      <c r="U357" s="60"/>
      <c r="W357"/>
    </row>
    <row r="358" spans="1:23" s="310" customFormat="1" ht="25.5" customHeight="1">
      <c r="A358" s="60"/>
      <c r="B358" s="60"/>
      <c r="C358" s="64"/>
      <c r="D358" s="64"/>
      <c r="E358" s="488"/>
      <c r="F358" s="434"/>
      <c r="G358" s="434"/>
      <c r="H358" s="434"/>
      <c r="I358" s="64"/>
      <c r="J358" s="64"/>
      <c r="K358" s="64"/>
      <c r="L358" s="64"/>
      <c r="M358" s="434"/>
      <c r="N358" s="64"/>
      <c r="O358" s="64"/>
      <c r="P358" s="64"/>
      <c r="Q358" s="64"/>
      <c r="R358" s="60"/>
      <c r="S358" s="487"/>
      <c r="T358" s="60"/>
      <c r="U358" s="60"/>
      <c r="W358"/>
    </row>
    <row r="359" spans="1:23" s="310" customFormat="1" ht="25.5" customHeight="1">
      <c r="A359" s="60"/>
      <c r="B359" s="60"/>
      <c r="C359" s="64"/>
      <c r="D359" s="64"/>
      <c r="E359" s="488"/>
      <c r="F359" s="434"/>
      <c r="G359" s="434"/>
      <c r="H359" s="434"/>
      <c r="I359" s="64"/>
      <c r="J359" s="64"/>
      <c r="K359" s="64"/>
      <c r="L359" s="64"/>
      <c r="M359" s="434"/>
      <c r="N359" s="64"/>
      <c r="O359" s="64"/>
      <c r="P359" s="64"/>
      <c r="Q359" s="64"/>
      <c r="R359" s="60"/>
      <c r="S359" s="487"/>
      <c r="T359" s="60"/>
      <c r="U359" s="60"/>
      <c r="W359"/>
    </row>
    <row r="360" spans="1:23" s="310" customFormat="1" ht="25.5" customHeight="1">
      <c r="A360" s="60"/>
      <c r="B360" s="60"/>
      <c r="C360" s="64"/>
      <c r="D360" s="64"/>
      <c r="E360" s="488"/>
      <c r="F360" s="434"/>
      <c r="G360" s="434"/>
      <c r="H360" s="434"/>
      <c r="I360" s="64"/>
      <c r="J360" s="64"/>
      <c r="K360" s="64"/>
      <c r="L360" s="64"/>
      <c r="M360" s="434"/>
      <c r="N360" s="64"/>
      <c r="O360" s="64"/>
      <c r="P360" s="64"/>
      <c r="Q360" s="64"/>
      <c r="R360" s="60"/>
      <c r="S360" s="487"/>
      <c r="T360" s="60"/>
      <c r="U360" s="60"/>
      <c r="W360"/>
    </row>
    <row r="361" spans="1:23" s="310" customFormat="1" ht="25.5" customHeight="1">
      <c r="A361" s="60"/>
      <c r="B361" s="60"/>
      <c r="C361" s="64"/>
      <c r="D361" s="64"/>
      <c r="E361" s="488"/>
      <c r="F361" s="434"/>
      <c r="G361" s="434"/>
      <c r="H361" s="434"/>
      <c r="I361" s="64"/>
      <c r="J361" s="64"/>
      <c r="K361" s="64"/>
      <c r="L361" s="64"/>
      <c r="M361" s="434"/>
      <c r="N361" s="64"/>
      <c r="O361" s="64"/>
      <c r="P361" s="64"/>
      <c r="Q361" s="64"/>
      <c r="R361" s="60"/>
      <c r="S361" s="487"/>
      <c r="T361" s="60"/>
      <c r="U361" s="60"/>
      <c r="W361"/>
    </row>
    <row r="362" spans="1:23" s="310" customFormat="1" ht="25.5" customHeight="1">
      <c r="A362" s="60"/>
      <c r="B362" s="60"/>
      <c r="C362" s="64"/>
      <c r="D362" s="64"/>
      <c r="E362" s="488"/>
      <c r="F362" s="434"/>
      <c r="G362" s="434"/>
      <c r="H362" s="434"/>
      <c r="I362" s="64"/>
      <c r="J362" s="64"/>
      <c r="K362" s="64"/>
      <c r="L362" s="64"/>
      <c r="M362" s="434"/>
      <c r="N362" s="64"/>
      <c r="O362" s="64"/>
      <c r="P362" s="64"/>
      <c r="Q362" s="64"/>
      <c r="R362" s="60"/>
      <c r="S362" s="487"/>
      <c r="T362" s="60"/>
      <c r="U362" s="60"/>
      <c r="W362"/>
    </row>
    <row r="363" spans="1:23" s="310" customFormat="1" ht="25.5" customHeight="1">
      <c r="A363" s="60"/>
      <c r="B363" s="60"/>
      <c r="C363" s="64"/>
      <c r="D363" s="64"/>
      <c r="E363" s="488"/>
      <c r="F363" s="434"/>
      <c r="G363" s="434"/>
      <c r="H363" s="434"/>
      <c r="I363" s="64"/>
      <c r="J363" s="64"/>
      <c r="K363" s="64"/>
      <c r="L363" s="64"/>
      <c r="M363" s="434"/>
      <c r="N363" s="64"/>
      <c r="O363" s="64"/>
      <c r="P363" s="64"/>
      <c r="Q363" s="64"/>
      <c r="R363" s="60"/>
      <c r="S363" s="487"/>
      <c r="T363" s="60"/>
      <c r="U363" s="60"/>
      <c r="W363"/>
    </row>
    <row r="364" spans="1:23" s="310" customFormat="1" ht="25.5" customHeight="1">
      <c r="A364" s="60"/>
      <c r="B364" s="60"/>
      <c r="C364" s="64"/>
      <c r="D364" s="64"/>
      <c r="E364" s="488"/>
      <c r="F364" s="434"/>
      <c r="G364" s="434"/>
      <c r="H364" s="434"/>
      <c r="I364" s="64"/>
      <c r="J364" s="64"/>
      <c r="K364" s="64"/>
      <c r="L364" s="64"/>
      <c r="M364" s="434"/>
      <c r="N364" s="64"/>
      <c r="O364" s="64"/>
      <c r="P364" s="64"/>
      <c r="Q364" s="64"/>
      <c r="R364" s="60"/>
      <c r="S364" s="487"/>
      <c r="T364" s="60"/>
      <c r="U364" s="60"/>
      <c r="W364"/>
    </row>
    <row r="365" spans="1:23" s="310" customFormat="1" ht="25.5" customHeight="1">
      <c r="A365" s="60"/>
      <c r="B365" s="60"/>
      <c r="C365" s="64"/>
      <c r="D365" s="64"/>
      <c r="E365" s="488"/>
      <c r="F365" s="434"/>
      <c r="G365" s="434"/>
      <c r="H365" s="434"/>
      <c r="I365" s="64"/>
      <c r="J365" s="64"/>
      <c r="K365" s="64"/>
      <c r="L365" s="64"/>
      <c r="M365" s="434"/>
      <c r="N365" s="64"/>
      <c r="O365" s="64"/>
      <c r="P365" s="64"/>
      <c r="Q365" s="64"/>
      <c r="R365" s="60"/>
      <c r="S365" s="487"/>
      <c r="T365" s="60"/>
      <c r="U365" s="60"/>
      <c r="W365"/>
    </row>
    <row r="366" spans="1:23" s="310" customFormat="1" ht="25.5" customHeight="1">
      <c r="A366" s="60"/>
      <c r="B366" s="60"/>
      <c r="C366" s="64"/>
      <c r="D366" s="64"/>
      <c r="E366" s="488"/>
      <c r="F366" s="434"/>
      <c r="G366" s="434"/>
      <c r="H366" s="434"/>
      <c r="I366" s="64"/>
      <c r="J366" s="64"/>
      <c r="K366" s="64"/>
      <c r="L366" s="64"/>
      <c r="M366" s="434"/>
      <c r="N366" s="64"/>
      <c r="O366" s="64"/>
      <c r="P366" s="64"/>
      <c r="Q366" s="64"/>
      <c r="R366" s="60"/>
      <c r="S366" s="487"/>
      <c r="T366" s="60"/>
      <c r="U366" s="60"/>
      <c r="W366"/>
    </row>
    <row r="367" spans="1:23" s="310" customFormat="1" ht="25.5" customHeight="1">
      <c r="A367" s="60"/>
      <c r="B367" s="60"/>
      <c r="C367" s="64"/>
      <c r="D367" s="64"/>
      <c r="E367" s="488"/>
      <c r="F367" s="434"/>
      <c r="G367" s="434"/>
      <c r="H367" s="434"/>
      <c r="I367" s="64"/>
      <c r="J367" s="64"/>
      <c r="K367" s="64"/>
      <c r="L367" s="64"/>
      <c r="M367" s="434"/>
      <c r="N367" s="64"/>
      <c r="O367" s="64"/>
      <c r="P367" s="64"/>
      <c r="Q367" s="64"/>
      <c r="R367" s="60"/>
      <c r="S367" s="487"/>
      <c r="T367" s="60"/>
      <c r="U367" s="60"/>
      <c r="W367"/>
    </row>
    <row r="368" spans="1:23" s="310" customFormat="1" ht="25.5" customHeight="1">
      <c r="A368" s="60"/>
      <c r="B368" s="60"/>
      <c r="C368" s="64"/>
      <c r="D368" s="64"/>
      <c r="E368" s="488"/>
      <c r="F368" s="434"/>
      <c r="G368" s="434"/>
      <c r="H368" s="434"/>
      <c r="I368" s="64"/>
      <c r="J368" s="64"/>
      <c r="K368" s="64"/>
      <c r="L368" s="64"/>
      <c r="M368" s="434"/>
      <c r="N368" s="64"/>
      <c r="O368" s="64"/>
      <c r="P368" s="64"/>
      <c r="Q368" s="64"/>
      <c r="R368" s="60"/>
      <c r="S368" s="487"/>
      <c r="T368" s="60"/>
      <c r="U368" s="60"/>
      <c r="W368"/>
    </row>
    <row r="369" spans="1:23" s="310" customFormat="1" ht="25.5" customHeight="1">
      <c r="A369" s="60"/>
      <c r="B369" s="60"/>
      <c r="C369" s="64"/>
      <c r="D369" s="64"/>
      <c r="E369" s="488"/>
      <c r="F369" s="434"/>
      <c r="G369" s="434"/>
      <c r="H369" s="434"/>
      <c r="I369" s="64"/>
      <c r="J369" s="64"/>
      <c r="K369" s="64"/>
      <c r="L369" s="64"/>
      <c r="M369" s="434"/>
      <c r="N369" s="64"/>
      <c r="O369" s="64"/>
      <c r="P369" s="64"/>
      <c r="Q369" s="64"/>
      <c r="R369" s="60"/>
      <c r="S369" s="487"/>
      <c r="T369" s="60"/>
      <c r="U369" s="60"/>
      <c r="W369"/>
    </row>
    <row r="370" spans="1:23" s="310" customFormat="1" ht="25.5" customHeight="1">
      <c r="A370" s="60"/>
      <c r="B370" s="60"/>
      <c r="C370" s="64"/>
      <c r="D370" s="64"/>
      <c r="E370" s="488"/>
      <c r="F370" s="434"/>
      <c r="G370" s="434"/>
      <c r="H370" s="434"/>
      <c r="I370" s="64"/>
      <c r="J370" s="64"/>
      <c r="K370" s="64"/>
      <c r="L370" s="64"/>
      <c r="M370" s="434"/>
      <c r="N370" s="64"/>
      <c r="O370" s="64"/>
      <c r="P370" s="64"/>
      <c r="Q370" s="64"/>
      <c r="R370" s="60"/>
      <c r="S370" s="487"/>
      <c r="T370" s="60"/>
      <c r="U370" s="60"/>
      <c r="W370"/>
    </row>
    <row r="371" spans="1:23" s="310" customFormat="1" ht="25.5" customHeight="1">
      <c r="A371" s="60"/>
      <c r="B371" s="60"/>
      <c r="C371" s="64"/>
      <c r="D371" s="64"/>
      <c r="E371" s="488"/>
      <c r="F371" s="434"/>
      <c r="G371" s="434"/>
      <c r="H371" s="434"/>
      <c r="I371" s="64"/>
      <c r="J371" s="64"/>
      <c r="K371" s="64"/>
      <c r="L371" s="64"/>
      <c r="M371" s="434"/>
      <c r="N371" s="64"/>
      <c r="O371" s="64"/>
      <c r="P371" s="64"/>
      <c r="Q371" s="64"/>
      <c r="R371" s="60"/>
      <c r="S371" s="487"/>
      <c r="T371" s="60"/>
      <c r="U371" s="60"/>
      <c r="W371"/>
    </row>
    <row r="372" spans="1:23" s="310" customFormat="1" ht="25.5" customHeight="1">
      <c r="A372" s="60"/>
      <c r="B372" s="60"/>
      <c r="C372" s="64"/>
      <c r="D372" s="64"/>
      <c r="E372" s="488"/>
      <c r="F372" s="434"/>
      <c r="G372" s="434"/>
      <c r="H372" s="434"/>
      <c r="I372" s="64"/>
      <c r="J372" s="64"/>
      <c r="K372" s="64"/>
      <c r="L372" s="64"/>
      <c r="M372" s="434"/>
      <c r="N372" s="64"/>
      <c r="O372" s="64"/>
      <c r="P372" s="64"/>
      <c r="Q372" s="64"/>
      <c r="R372" s="60"/>
      <c r="S372" s="487"/>
      <c r="T372" s="60"/>
      <c r="U372" s="60"/>
      <c r="W372"/>
    </row>
    <row r="373" spans="1:23" s="310" customFormat="1" ht="25.5" customHeight="1">
      <c r="A373" s="60"/>
      <c r="B373" s="60"/>
      <c r="C373" s="64"/>
      <c r="D373" s="64"/>
      <c r="E373" s="488"/>
      <c r="F373" s="434"/>
      <c r="G373" s="434"/>
      <c r="H373" s="434"/>
      <c r="I373" s="64"/>
      <c r="J373" s="64"/>
      <c r="K373" s="64"/>
      <c r="L373" s="64"/>
      <c r="M373" s="434"/>
      <c r="N373" s="64"/>
      <c r="O373" s="64"/>
      <c r="P373" s="64"/>
      <c r="Q373" s="64"/>
      <c r="R373" s="60"/>
      <c r="S373" s="487"/>
      <c r="T373" s="60"/>
      <c r="U373" s="60"/>
      <c r="W373"/>
    </row>
    <row r="374" spans="1:23" s="310" customFormat="1" ht="25.5" customHeight="1">
      <c r="A374" s="60"/>
      <c r="B374" s="60"/>
      <c r="C374" s="64"/>
      <c r="D374" s="64"/>
      <c r="E374" s="488"/>
      <c r="F374" s="434"/>
      <c r="G374" s="434"/>
      <c r="H374" s="434"/>
      <c r="I374" s="64"/>
      <c r="J374" s="64"/>
      <c r="K374" s="64"/>
      <c r="L374" s="64"/>
      <c r="M374" s="434"/>
      <c r="N374" s="64"/>
      <c r="O374" s="64"/>
      <c r="P374" s="64"/>
      <c r="Q374" s="64"/>
      <c r="R374" s="60"/>
      <c r="S374" s="487"/>
      <c r="T374" s="60"/>
      <c r="U374" s="60"/>
      <c r="W374"/>
    </row>
    <row r="375" spans="1:23" s="310" customFormat="1" ht="25.5" customHeight="1">
      <c r="A375" s="60"/>
      <c r="B375" s="60"/>
      <c r="C375" s="64"/>
      <c r="D375" s="64"/>
      <c r="E375" s="488"/>
      <c r="F375" s="434"/>
      <c r="G375" s="434"/>
      <c r="H375" s="434"/>
      <c r="I375" s="64"/>
      <c r="J375" s="64"/>
      <c r="K375" s="64"/>
      <c r="L375" s="64"/>
      <c r="M375" s="434"/>
      <c r="N375" s="64"/>
      <c r="O375" s="64"/>
      <c r="P375" s="64"/>
      <c r="Q375" s="64"/>
      <c r="R375" s="60"/>
      <c r="S375" s="487"/>
      <c r="T375" s="60"/>
      <c r="U375" s="60"/>
      <c r="W375"/>
    </row>
    <row r="376" spans="1:23" s="310" customFormat="1" ht="25.5" customHeight="1">
      <c r="A376" s="60"/>
      <c r="B376" s="60"/>
      <c r="C376" s="64"/>
      <c r="D376" s="64"/>
      <c r="E376" s="488"/>
      <c r="F376" s="434"/>
      <c r="G376" s="434"/>
      <c r="H376" s="434"/>
      <c r="I376" s="64"/>
      <c r="J376" s="64"/>
      <c r="K376" s="64"/>
      <c r="L376" s="64"/>
      <c r="M376" s="434"/>
      <c r="N376" s="64"/>
      <c r="O376" s="64"/>
      <c r="P376" s="64"/>
      <c r="Q376" s="64"/>
      <c r="R376" s="60"/>
      <c r="S376" s="487"/>
      <c r="T376" s="60"/>
      <c r="U376" s="60"/>
      <c r="W376"/>
    </row>
    <row r="377" spans="1:23" s="310" customFormat="1" ht="25.5" customHeight="1">
      <c r="A377" s="60"/>
      <c r="B377" s="60"/>
      <c r="C377" s="64"/>
      <c r="D377" s="64"/>
      <c r="E377" s="488"/>
      <c r="F377" s="434"/>
      <c r="G377" s="434"/>
      <c r="H377" s="434"/>
      <c r="I377" s="64"/>
      <c r="J377" s="64"/>
      <c r="K377" s="64"/>
      <c r="L377" s="64"/>
      <c r="M377" s="434"/>
      <c r="N377" s="64"/>
      <c r="O377" s="64"/>
      <c r="P377" s="64"/>
      <c r="Q377" s="64"/>
      <c r="R377" s="60"/>
      <c r="S377" s="487"/>
      <c r="T377" s="60"/>
      <c r="U377" s="60"/>
      <c r="W377"/>
    </row>
    <row r="378" spans="1:23" s="310" customFormat="1" ht="25.5" customHeight="1">
      <c r="A378" s="60"/>
      <c r="B378" s="60"/>
      <c r="C378" s="64"/>
      <c r="D378" s="64"/>
      <c r="E378" s="488"/>
      <c r="F378" s="434"/>
      <c r="G378" s="434"/>
      <c r="H378" s="434"/>
      <c r="I378" s="64"/>
      <c r="J378" s="64"/>
      <c r="K378" s="64"/>
      <c r="L378" s="64"/>
      <c r="M378" s="434"/>
      <c r="N378" s="64"/>
      <c r="O378" s="64"/>
      <c r="P378" s="64"/>
      <c r="Q378" s="64"/>
      <c r="R378" s="60"/>
      <c r="S378" s="487"/>
      <c r="T378" s="60"/>
      <c r="U378" s="60"/>
      <c r="W378"/>
    </row>
    <row r="379" spans="1:23" s="310" customFormat="1" ht="25.5" customHeight="1">
      <c r="A379" s="60"/>
      <c r="B379" s="60"/>
      <c r="C379" s="64"/>
      <c r="D379" s="64"/>
      <c r="E379" s="488"/>
      <c r="F379" s="434"/>
      <c r="G379" s="434"/>
      <c r="H379" s="434"/>
      <c r="I379" s="64"/>
      <c r="J379" s="64"/>
      <c r="K379" s="64"/>
      <c r="L379" s="64"/>
      <c r="M379" s="434"/>
      <c r="N379" s="64"/>
      <c r="O379" s="64"/>
      <c r="P379" s="64"/>
      <c r="Q379" s="64"/>
      <c r="R379" s="60"/>
      <c r="S379" s="487"/>
      <c r="T379" s="60"/>
      <c r="U379" s="60"/>
      <c r="W379"/>
    </row>
    <row r="380" spans="1:23" s="310" customFormat="1" ht="25.5" customHeight="1">
      <c r="A380" s="60"/>
      <c r="B380" s="60"/>
      <c r="C380" s="64"/>
      <c r="D380" s="64"/>
      <c r="E380" s="488"/>
      <c r="F380" s="434"/>
      <c r="G380" s="434"/>
      <c r="H380" s="434"/>
      <c r="I380" s="64"/>
      <c r="J380" s="64"/>
      <c r="K380" s="64"/>
      <c r="L380" s="64"/>
      <c r="M380" s="434"/>
      <c r="N380" s="64"/>
      <c r="O380" s="64"/>
      <c r="P380" s="64"/>
      <c r="Q380" s="64"/>
      <c r="R380" s="60"/>
      <c r="S380" s="487"/>
      <c r="T380" s="60"/>
      <c r="U380" s="60"/>
      <c r="W380"/>
    </row>
    <row r="381" spans="1:23" s="310" customFormat="1" ht="25.5" customHeight="1">
      <c r="A381" s="60"/>
      <c r="B381" s="60"/>
      <c r="C381" s="64"/>
      <c r="D381" s="64"/>
      <c r="E381" s="488"/>
      <c r="F381" s="434"/>
      <c r="G381" s="434"/>
      <c r="H381" s="434"/>
      <c r="I381" s="64"/>
      <c r="J381" s="64"/>
      <c r="K381" s="64"/>
      <c r="L381" s="64"/>
      <c r="M381" s="434"/>
      <c r="N381" s="64"/>
      <c r="O381" s="64"/>
      <c r="P381" s="64"/>
      <c r="Q381" s="64"/>
      <c r="R381" s="60"/>
      <c r="S381" s="487"/>
      <c r="T381" s="60"/>
      <c r="U381" s="60"/>
      <c r="W381"/>
    </row>
  </sheetData>
  <mergeCells count="32">
    <mergeCell ref="A1:U1"/>
    <mergeCell ref="A2:U2"/>
    <mergeCell ref="A3:U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S6"/>
    <mergeCell ref="T5:T6"/>
    <mergeCell ref="U5:U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R7:R8"/>
    <mergeCell ref="S7:S8"/>
    <mergeCell ref="T7:T8"/>
    <mergeCell ref="U7:U8"/>
  </mergeCells>
  <pageMargins left="0.17" right="0.17" top="0.19685039370078741" bottom="0.17" header="0.19685039370078741" footer="0.1574803149606299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7"/>
  </sheetPr>
  <dimension ref="A1:N443"/>
  <sheetViews>
    <sheetView workbookViewId="0">
      <pane ySplit="8" topLeftCell="A160" activePane="bottomLeft" state="frozen"/>
      <selection activeCell="J212" sqref="J212"/>
      <selection pane="bottomLeft" activeCell="K239" sqref="K239"/>
    </sheetView>
  </sheetViews>
  <sheetFormatPr defaultRowHeight="26.25"/>
  <cols>
    <col min="1" max="1" width="1.5703125" customWidth="1"/>
    <col min="2" max="2" width="27.28515625" customWidth="1"/>
    <col min="3" max="3" width="11" style="182" customWidth="1"/>
    <col min="4" max="4" width="10.140625" style="550" customWidth="1"/>
    <col min="5" max="6" width="10.28515625" style="550" customWidth="1"/>
    <col min="7" max="7" width="11.140625" style="550" customWidth="1"/>
    <col min="8" max="8" width="10.42578125" style="550" customWidth="1"/>
    <col min="9" max="9" width="10.85546875" style="282" customWidth="1"/>
    <col min="10" max="10" width="23.140625" style="233" customWidth="1"/>
    <col min="11" max="11" width="13.5703125" style="329" customWidth="1"/>
    <col min="12" max="12" width="18.28515625" style="330" customWidth="1"/>
    <col min="13" max="13" width="12.85546875" style="330" bestFit="1" customWidth="1"/>
  </cols>
  <sheetData>
    <row r="1" spans="1:13" s="1" customFormat="1" ht="21.75" customHeight="1">
      <c r="A1" s="652" t="s">
        <v>274</v>
      </c>
      <c r="B1" s="652"/>
      <c r="C1" s="652"/>
      <c r="D1" s="652"/>
      <c r="E1" s="652"/>
      <c r="F1" s="652"/>
      <c r="G1" s="652"/>
      <c r="H1" s="652"/>
      <c r="I1" s="652"/>
      <c r="J1" s="245"/>
      <c r="K1" s="329"/>
      <c r="L1" s="330"/>
      <c r="M1" s="247"/>
    </row>
    <row r="2" spans="1:13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245"/>
      <c r="K2" s="331"/>
      <c r="L2" s="247"/>
      <c r="M2" s="247"/>
    </row>
    <row r="3" spans="1:13" s="1" customFormat="1" ht="21.75" customHeight="1">
      <c r="A3" s="653" t="s">
        <v>428</v>
      </c>
      <c r="B3" s="653"/>
      <c r="C3" s="653"/>
      <c r="D3" s="653"/>
      <c r="E3" s="653"/>
      <c r="F3" s="653"/>
      <c r="G3" s="653"/>
      <c r="H3" s="653"/>
      <c r="I3" s="653"/>
      <c r="J3" s="245"/>
      <c r="K3" s="331"/>
      <c r="L3" s="332"/>
      <c r="M3" s="247"/>
    </row>
    <row r="4" spans="1:13" s="34" customFormat="1" ht="5.25" customHeight="1">
      <c r="C4" s="249"/>
      <c r="D4" s="536"/>
      <c r="E4" s="536"/>
      <c r="F4" s="536"/>
      <c r="G4" s="536"/>
      <c r="H4" s="536"/>
      <c r="I4" s="275"/>
      <c r="J4" s="243"/>
      <c r="K4" s="333"/>
      <c r="L4" s="334"/>
      <c r="M4" s="334"/>
    </row>
    <row r="5" spans="1:13" s="2" customFormat="1" ht="21.75" customHeight="1">
      <c r="A5" s="683" t="s">
        <v>1</v>
      </c>
      <c r="B5" s="684"/>
      <c r="C5" s="689" t="s">
        <v>2</v>
      </c>
      <c r="D5" s="722" t="s">
        <v>54</v>
      </c>
      <c r="E5" s="722" t="s">
        <v>55</v>
      </c>
      <c r="F5" s="722" t="s">
        <v>56</v>
      </c>
      <c r="G5" s="722" t="s">
        <v>57</v>
      </c>
      <c r="H5" s="723" t="s">
        <v>58</v>
      </c>
      <c r="I5" s="707" t="s">
        <v>59</v>
      </c>
      <c r="J5" s="247"/>
      <c r="K5" s="329"/>
      <c r="L5" s="330"/>
      <c r="M5" s="330"/>
    </row>
    <row r="6" spans="1:13" s="2" customFormat="1" ht="21.75" customHeight="1">
      <c r="A6" s="685"/>
      <c r="B6" s="686"/>
      <c r="C6" s="690"/>
      <c r="D6" s="682"/>
      <c r="E6" s="682"/>
      <c r="F6" s="682"/>
      <c r="G6" s="682"/>
      <c r="H6" s="724"/>
      <c r="I6" s="719"/>
      <c r="J6" s="245"/>
      <c r="K6" s="329"/>
      <c r="L6" s="330"/>
      <c r="M6" s="330"/>
    </row>
    <row r="7" spans="1:13" s="2" customFormat="1" ht="21.75" customHeight="1">
      <c r="A7" s="685"/>
      <c r="B7" s="686"/>
      <c r="C7" s="690"/>
      <c r="D7" s="720" t="s">
        <v>275</v>
      </c>
      <c r="E7" s="720" t="s">
        <v>418</v>
      </c>
      <c r="F7" s="720" t="s">
        <v>431</v>
      </c>
      <c r="G7" s="720">
        <v>22463</v>
      </c>
      <c r="H7" s="724"/>
      <c r="I7" s="719"/>
      <c r="J7" s="245"/>
      <c r="K7" s="329"/>
      <c r="L7" s="330"/>
      <c r="M7" s="330"/>
    </row>
    <row r="8" spans="1:13" s="2" customFormat="1" ht="12" customHeight="1">
      <c r="A8" s="687"/>
      <c r="B8" s="688"/>
      <c r="C8" s="691"/>
      <c r="D8" s="721"/>
      <c r="E8" s="721"/>
      <c r="F8" s="721"/>
      <c r="G8" s="721"/>
      <c r="H8" s="725"/>
      <c r="I8" s="708"/>
      <c r="J8" s="245"/>
      <c r="K8" s="331"/>
      <c r="L8" s="247"/>
      <c r="M8" s="330"/>
    </row>
    <row r="9" spans="1:13" ht="21.75" customHeight="1">
      <c r="A9" s="3" t="s">
        <v>3</v>
      </c>
      <c r="B9" s="4"/>
      <c r="C9" s="287"/>
      <c r="D9" s="552"/>
      <c r="E9" s="552"/>
      <c r="F9" s="552"/>
      <c r="G9" s="552"/>
      <c r="H9" s="552"/>
      <c r="I9" s="553"/>
      <c r="K9" s="331"/>
      <c r="L9" s="247"/>
      <c r="M9" s="247"/>
    </row>
    <row r="10" spans="1:13" ht="21.75" customHeight="1">
      <c r="A10" s="5"/>
      <c r="B10" s="130" t="s">
        <v>4</v>
      </c>
      <c r="C10" s="216">
        <f>130062+10100+2000+1800</f>
        <v>143962</v>
      </c>
      <c r="D10" s="554">
        <f>+'ต.ค.-ธ.ค.'!D10</f>
        <v>18508</v>
      </c>
      <c r="E10" s="554">
        <f>+'ม.ค.-มี.ค.'!D10</f>
        <v>34990</v>
      </c>
      <c r="F10" s="554">
        <f>+'เม.ย.-มิ.ย.'!D10</f>
        <v>38742</v>
      </c>
      <c r="G10" s="554">
        <f>+ก.ค.!D10</f>
        <v>12914</v>
      </c>
      <c r="H10" s="554">
        <f>SUM(D10:G10)</f>
        <v>105154</v>
      </c>
      <c r="I10" s="555">
        <f t="shared" ref="I10:I19" si="0">+C10-H10</f>
        <v>38808</v>
      </c>
      <c r="K10" s="331"/>
      <c r="L10" s="247"/>
      <c r="M10" s="247"/>
    </row>
    <row r="11" spans="1:13" ht="21.75" customHeight="1">
      <c r="A11" s="5"/>
      <c r="B11" s="130" t="s">
        <v>221</v>
      </c>
      <c r="C11" s="216">
        <v>13680</v>
      </c>
      <c r="D11" s="554">
        <f>+'ต.ค.-ธ.ค.'!D11</f>
        <v>2280</v>
      </c>
      <c r="E11" s="554">
        <f>+'ม.ค.-มี.ค.'!D11</f>
        <v>3420</v>
      </c>
      <c r="F11" s="554">
        <f>+'เม.ย.-มิ.ย.'!D11</f>
        <v>3420</v>
      </c>
      <c r="G11" s="554">
        <f>+ก.ค.!D11</f>
        <v>1140</v>
      </c>
      <c r="H11" s="554">
        <f t="shared" ref="H11:H20" si="1">SUM(D11:G11)</f>
        <v>10260</v>
      </c>
      <c r="I11" s="556">
        <f t="shared" si="0"/>
        <v>3420</v>
      </c>
      <c r="K11" s="377"/>
      <c r="L11" s="247"/>
      <c r="M11" s="247"/>
    </row>
    <row r="12" spans="1:13" s="221" customFormat="1" ht="21.75" customHeight="1">
      <c r="A12" s="20"/>
      <c r="B12" s="130" t="s">
        <v>45</v>
      </c>
      <c r="C12" s="31">
        <v>6548400</v>
      </c>
      <c r="D12" s="554">
        <f>+'ต.ค.-ธ.ค.'!D12</f>
        <v>1601200</v>
      </c>
      <c r="E12" s="554">
        <f>+'ม.ค.-มี.ค.'!D12</f>
        <v>1591700</v>
      </c>
      <c r="F12" s="554">
        <f>+'เม.ย.-มิ.ย.'!D12</f>
        <v>1582600</v>
      </c>
      <c r="G12" s="554">
        <f>+ก.ค.!D12</f>
        <v>532900</v>
      </c>
      <c r="H12" s="554">
        <f t="shared" si="1"/>
        <v>5308400</v>
      </c>
      <c r="I12" s="357">
        <f t="shared" si="0"/>
        <v>1240000</v>
      </c>
      <c r="J12" s="233"/>
      <c r="K12" s="377"/>
      <c r="L12" s="247"/>
      <c r="M12" s="247"/>
    </row>
    <row r="13" spans="1:13" ht="21.75" customHeight="1">
      <c r="A13" s="8"/>
      <c r="B13" s="130" t="s">
        <v>75</v>
      </c>
      <c r="C13" s="216">
        <v>18000</v>
      </c>
      <c r="D13" s="554">
        <f>+'ต.ค.-ธ.ค.'!D13</f>
        <v>4500</v>
      </c>
      <c r="E13" s="554">
        <f>+'ม.ค.-มี.ค.'!D13</f>
        <v>4500</v>
      </c>
      <c r="F13" s="554">
        <f>+'เม.ย.-มิ.ย.'!D13</f>
        <v>4500</v>
      </c>
      <c r="G13" s="554">
        <f>+ก.ค.!D13</f>
        <v>1500</v>
      </c>
      <c r="H13" s="554">
        <f t="shared" si="1"/>
        <v>15000</v>
      </c>
      <c r="I13" s="556">
        <f t="shared" si="0"/>
        <v>3000</v>
      </c>
      <c r="K13" s="377"/>
      <c r="L13" s="247"/>
      <c r="M13" s="247"/>
    </row>
    <row r="14" spans="1:13" ht="21.75" customHeight="1">
      <c r="A14" s="8"/>
      <c r="B14" s="130" t="s">
        <v>222</v>
      </c>
      <c r="C14" s="216">
        <v>2620800</v>
      </c>
      <c r="D14" s="554">
        <f>+'ต.ค.-ธ.ค.'!D14</f>
        <v>590400</v>
      </c>
      <c r="E14" s="554">
        <f>+'ม.ค.-มี.ค.'!D14</f>
        <v>595200</v>
      </c>
      <c r="F14" s="554">
        <f>+'เม.ย.-มิ.ย.'!D14</f>
        <v>596000</v>
      </c>
      <c r="G14" s="554">
        <f>+ก.ค.!D14</f>
        <v>200000</v>
      </c>
      <c r="H14" s="554">
        <f t="shared" si="1"/>
        <v>1981600</v>
      </c>
      <c r="I14" s="556">
        <f t="shared" si="0"/>
        <v>639200</v>
      </c>
      <c r="K14" s="377"/>
      <c r="L14" s="247"/>
      <c r="M14" s="247"/>
    </row>
    <row r="15" spans="1:13" ht="21.75" customHeight="1">
      <c r="A15" s="9"/>
      <c r="B15" s="130" t="s">
        <v>209</v>
      </c>
      <c r="C15" s="216">
        <v>151291</v>
      </c>
      <c r="D15" s="554">
        <f>+'ต.ค.-ธ.ค.'!D15</f>
        <v>0</v>
      </c>
      <c r="E15" s="554">
        <f>+'ม.ค.-มี.ค.'!D15</f>
        <v>150410</v>
      </c>
      <c r="F15" s="554">
        <f>+'เม.ย.-มิ.ย.'!D15</f>
        <v>0</v>
      </c>
      <c r="G15" s="554">
        <f>+ก.ค.!D15</f>
        <v>0</v>
      </c>
      <c r="H15" s="554">
        <f t="shared" si="1"/>
        <v>150410</v>
      </c>
      <c r="I15" s="556">
        <f t="shared" si="0"/>
        <v>881</v>
      </c>
      <c r="K15" s="377"/>
      <c r="L15" s="247"/>
      <c r="M15" s="247"/>
    </row>
    <row r="16" spans="1:13" s="172" customFormat="1" ht="21.75" customHeight="1">
      <c r="A16" s="9"/>
      <c r="B16" s="130" t="s">
        <v>77</v>
      </c>
      <c r="C16" s="216">
        <v>29000</v>
      </c>
      <c r="D16" s="554">
        <f>+'ต.ค.-ธ.ค.'!D16</f>
        <v>28939.279999999999</v>
      </c>
      <c r="E16" s="554">
        <f>+'ม.ค.-มี.ค.'!D16</f>
        <v>0</v>
      </c>
      <c r="F16" s="554">
        <f>+'เม.ย.-มิ.ย.'!D16</f>
        <v>0</v>
      </c>
      <c r="G16" s="554">
        <f>+ก.ค.!D16</f>
        <v>0</v>
      </c>
      <c r="H16" s="554">
        <f t="shared" si="1"/>
        <v>28939.279999999999</v>
      </c>
      <c r="I16" s="556">
        <f t="shared" si="0"/>
        <v>60.720000000001164</v>
      </c>
      <c r="J16" s="233"/>
      <c r="K16" s="377"/>
      <c r="L16" s="247"/>
      <c r="M16" s="247"/>
    </row>
    <row r="17" spans="1:13" ht="21.75" customHeight="1">
      <c r="A17" s="9"/>
      <c r="B17" s="130" t="s">
        <v>78</v>
      </c>
      <c r="C17" s="216">
        <v>216399</v>
      </c>
      <c r="D17" s="554">
        <f>+'ต.ค.-ธ.ค.'!D17</f>
        <v>0</v>
      </c>
      <c r="E17" s="554">
        <f>+'ม.ค.-มี.ค.'!D17</f>
        <v>0</v>
      </c>
      <c r="F17" s="554">
        <f>+'เม.ย.-มิ.ย.'!D17</f>
        <v>216399</v>
      </c>
      <c r="G17" s="554">
        <f>+ก.ค.!D17</f>
        <v>0</v>
      </c>
      <c r="H17" s="554">
        <f t="shared" si="1"/>
        <v>216399</v>
      </c>
      <c r="I17" s="556">
        <f t="shared" si="0"/>
        <v>0</v>
      </c>
      <c r="K17" s="331"/>
      <c r="L17" s="247"/>
      <c r="M17" s="247"/>
    </row>
    <row r="18" spans="1:13" ht="21.75" customHeight="1">
      <c r="A18" s="9"/>
      <c r="B18" s="6" t="s">
        <v>220</v>
      </c>
      <c r="C18" s="285">
        <v>15000</v>
      </c>
      <c r="D18" s="554">
        <f>+'ต.ค.-ธ.ค.'!D18</f>
        <v>15000</v>
      </c>
      <c r="E18" s="554">
        <f>+'ม.ค.-มี.ค.'!D18</f>
        <v>0</v>
      </c>
      <c r="F18" s="554">
        <f>+'เม.ย.-มิ.ย.'!D18</f>
        <v>0</v>
      </c>
      <c r="G18" s="554">
        <f>+ก.ค.!D18</f>
        <v>0</v>
      </c>
      <c r="H18" s="554">
        <f t="shared" si="1"/>
        <v>15000</v>
      </c>
      <c r="I18" s="556">
        <f t="shared" si="0"/>
        <v>0</v>
      </c>
      <c r="K18" s="331"/>
      <c r="L18" s="247"/>
      <c r="M18" s="247"/>
    </row>
    <row r="19" spans="1:13" ht="21.75" customHeight="1">
      <c r="A19" s="9"/>
      <c r="B19" s="228" t="s">
        <v>81</v>
      </c>
      <c r="C19" s="285">
        <f>344150-20000+20000</f>
        <v>344150</v>
      </c>
      <c r="D19" s="554">
        <f>+'ต.ค.-ธ.ค.'!D19</f>
        <v>323840</v>
      </c>
      <c r="E19" s="554">
        <f>+'ม.ค.-มี.ค.'!D19</f>
        <v>0</v>
      </c>
      <c r="F19" s="554">
        <f>+'เม.ย.-มิ.ย.'!D19</f>
        <v>20310</v>
      </c>
      <c r="G19" s="554">
        <f>+ก.ค.!D19</f>
        <v>0</v>
      </c>
      <c r="H19" s="554">
        <f t="shared" si="1"/>
        <v>344150</v>
      </c>
      <c r="I19" s="556">
        <f t="shared" si="0"/>
        <v>0</v>
      </c>
    </row>
    <row r="20" spans="1:13" ht="21.75" customHeight="1">
      <c r="A20" s="9"/>
      <c r="B20" s="198" t="s">
        <v>424</v>
      </c>
      <c r="C20" s="290">
        <v>70650</v>
      </c>
      <c r="D20" s="557"/>
      <c r="E20" s="557"/>
      <c r="F20" s="554">
        <f>+'เม.ย.-มิ.ย.'!D20</f>
        <v>70650</v>
      </c>
      <c r="G20" s="554">
        <f>+ก.ค.!D20</f>
        <v>0</v>
      </c>
      <c r="H20" s="554">
        <f t="shared" si="1"/>
        <v>70650</v>
      </c>
      <c r="I20" s="556">
        <f>+C20-H20</f>
        <v>0</v>
      </c>
    </row>
    <row r="21" spans="1:13" s="221" customFormat="1" ht="21.75" customHeight="1" thickBot="1">
      <c r="A21" s="13"/>
      <c r="B21" s="14" t="s">
        <v>5</v>
      </c>
      <c r="C21" s="170">
        <f t="shared" ref="C21:I21" si="2">SUM(C10:C20)</f>
        <v>10171332</v>
      </c>
      <c r="D21" s="26">
        <f t="shared" si="2"/>
        <v>2584667.2799999998</v>
      </c>
      <c r="E21" s="26">
        <f t="shared" si="2"/>
        <v>2380220</v>
      </c>
      <c r="F21" s="26">
        <f t="shared" si="2"/>
        <v>2532621</v>
      </c>
      <c r="G21" s="26">
        <f t="shared" si="2"/>
        <v>748454</v>
      </c>
      <c r="H21" s="26">
        <f t="shared" si="2"/>
        <v>8245962.2800000003</v>
      </c>
      <c r="I21" s="139">
        <f t="shared" si="2"/>
        <v>1925369.72</v>
      </c>
      <c r="J21" s="233"/>
      <c r="K21" s="329"/>
      <c r="L21" s="330"/>
      <c r="M21" s="330"/>
    </row>
    <row r="22" spans="1:13" ht="21.75" customHeight="1" thickTop="1">
      <c r="A22" s="5" t="s">
        <v>82</v>
      </c>
      <c r="B22" s="6"/>
      <c r="C22" s="190"/>
      <c r="D22" s="554"/>
      <c r="E22" s="554"/>
      <c r="F22" s="554"/>
      <c r="G22" s="554"/>
      <c r="H22" s="554"/>
      <c r="I22" s="556">
        <f t="shared" ref="I22:I27" si="3">+C22-H22</f>
        <v>0</v>
      </c>
    </row>
    <row r="23" spans="1:13" ht="21.75" customHeight="1">
      <c r="A23" s="9"/>
      <c r="B23" s="130" t="s">
        <v>6</v>
      </c>
      <c r="C23" s="216">
        <f>695520-1000-10100</f>
        <v>684420</v>
      </c>
      <c r="D23" s="554">
        <f>+'ต.ค.-ธ.ค.'!E23</f>
        <v>173880</v>
      </c>
      <c r="E23" s="554">
        <f>+'ม.ค.-มี.ค.'!E23</f>
        <v>173880</v>
      </c>
      <c r="F23" s="554">
        <f>+'เม.ย.-มิ.ย.'!E23</f>
        <v>162617</v>
      </c>
      <c r="G23" s="554">
        <f>+ก.ค.!E23</f>
        <v>57960</v>
      </c>
      <c r="H23" s="554">
        <f>SUM(D23:G23)</f>
        <v>568337</v>
      </c>
      <c r="I23" s="556">
        <f>+C23-H23</f>
        <v>116083</v>
      </c>
    </row>
    <row r="24" spans="1:13" ht="21.75" customHeight="1">
      <c r="A24" s="9"/>
      <c r="B24" s="130" t="s">
        <v>83</v>
      </c>
      <c r="C24" s="216">
        <f>120000-200-2000</f>
        <v>117800</v>
      </c>
      <c r="D24" s="554">
        <f>+'ต.ค.-ธ.ค.'!E24</f>
        <v>30000</v>
      </c>
      <c r="E24" s="554">
        <f>+'ม.ค.-มี.ค.'!E24</f>
        <v>30000</v>
      </c>
      <c r="F24" s="554">
        <f>+'เม.ย.-มิ.ย.'!E24</f>
        <v>27774</v>
      </c>
      <c r="G24" s="554">
        <f>+ก.ค.!E24</f>
        <v>10000</v>
      </c>
      <c r="H24" s="554">
        <f>SUM(D24:G24)</f>
        <v>97774</v>
      </c>
      <c r="I24" s="556">
        <f t="shared" si="3"/>
        <v>20026</v>
      </c>
    </row>
    <row r="25" spans="1:13" s="172" customFormat="1" ht="21.75" customHeight="1">
      <c r="A25" s="9"/>
      <c r="B25" s="130" t="s">
        <v>84</v>
      </c>
      <c r="C25" s="216">
        <f>120000-2200</f>
        <v>117800</v>
      </c>
      <c r="D25" s="554">
        <f>+'ต.ค.-ธ.ค.'!E25</f>
        <v>30000</v>
      </c>
      <c r="E25" s="554">
        <f>+'ม.ค.-มี.ค.'!E25</f>
        <v>30000</v>
      </c>
      <c r="F25" s="554">
        <f>+'เม.ย.-มิ.ย.'!E25</f>
        <v>27774</v>
      </c>
      <c r="G25" s="554">
        <f>+ก.ค.!E25</f>
        <v>10000</v>
      </c>
      <c r="H25" s="554">
        <f>SUM(D25:G25)</f>
        <v>97774</v>
      </c>
      <c r="I25" s="556">
        <f t="shared" si="3"/>
        <v>20026</v>
      </c>
      <c r="J25" s="233"/>
      <c r="K25" s="329"/>
      <c r="L25" s="330"/>
      <c r="M25" s="330"/>
    </row>
    <row r="26" spans="1:13" ht="21.75" customHeight="1">
      <c r="A26" s="9"/>
      <c r="B26" s="130" t="s">
        <v>85</v>
      </c>
      <c r="C26" s="216">
        <v>198720</v>
      </c>
      <c r="D26" s="554">
        <f>+'ต.ค.-ธ.ค.'!E26</f>
        <v>49680</v>
      </c>
      <c r="E26" s="554">
        <f>+'ม.ค.-มี.ค.'!E26</f>
        <v>49680</v>
      </c>
      <c r="F26" s="554">
        <f>+'เม.ย.-มิ.ย.'!E26</f>
        <v>49680</v>
      </c>
      <c r="G26" s="554">
        <f>+ก.ค.!E26</f>
        <v>16560</v>
      </c>
      <c r="H26" s="554">
        <f>SUM(D26:G26)</f>
        <v>165600</v>
      </c>
      <c r="I26" s="556">
        <f t="shared" si="3"/>
        <v>33120</v>
      </c>
    </row>
    <row r="27" spans="1:13" ht="21.75" customHeight="1">
      <c r="A27" s="9"/>
      <c r="B27" s="6" t="s">
        <v>270</v>
      </c>
      <c r="C27" s="216">
        <f>1283280-10000-14000-48300-6800</f>
        <v>1204180</v>
      </c>
      <c r="D27" s="554">
        <f>+'ต.ค.-ธ.ค.'!E27</f>
        <v>314640</v>
      </c>
      <c r="E27" s="554">
        <f>+'ม.ค.-มี.ค.'!E27</f>
        <v>314640</v>
      </c>
      <c r="F27" s="554">
        <f>+'เม.ย.-มิ.ย.'!E27</f>
        <v>289202</v>
      </c>
      <c r="G27" s="554">
        <f>+ก.ค.!E27</f>
        <v>95220</v>
      </c>
      <c r="H27" s="554">
        <f>SUM(D27:G27)</f>
        <v>1013702</v>
      </c>
      <c r="I27" s="556">
        <f t="shared" si="3"/>
        <v>190478</v>
      </c>
    </row>
    <row r="28" spans="1:13" s="221" customFormat="1" ht="21.75" customHeight="1" thickBot="1">
      <c r="A28" s="15"/>
      <c r="B28" s="14" t="s">
        <v>5</v>
      </c>
      <c r="C28" s="170">
        <f t="shared" ref="C28:H28" si="4">SUM(C23:C27)</f>
        <v>2322920</v>
      </c>
      <c r="D28" s="26">
        <f t="shared" si="4"/>
        <v>598200</v>
      </c>
      <c r="E28" s="26">
        <f>SUM(E23:E27)</f>
        <v>598200</v>
      </c>
      <c r="F28" s="26">
        <f>SUM(F23:F27)</f>
        <v>557047</v>
      </c>
      <c r="G28" s="26">
        <f>SUM(G23:G27)</f>
        <v>189740</v>
      </c>
      <c r="H28" s="26">
        <f t="shared" si="4"/>
        <v>1943187</v>
      </c>
      <c r="I28" s="139">
        <f>SUM(I23:I27)</f>
        <v>379733</v>
      </c>
      <c r="J28" s="233"/>
      <c r="K28" s="329"/>
      <c r="L28" s="330"/>
      <c r="M28" s="330"/>
    </row>
    <row r="29" spans="1:13" ht="21.75" customHeight="1" thickTop="1">
      <c r="A29" s="5" t="s">
        <v>87</v>
      </c>
      <c r="B29" s="6"/>
      <c r="C29" s="190"/>
      <c r="D29" s="554"/>
      <c r="E29" s="554"/>
      <c r="F29" s="554"/>
      <c r="G29" s="554"/>
      <c r="H29" s="554"/>
      <c r="I29" s="556">
        <f t="shared" ref="I29:I37" si="5">+C29-H29</f>
        <v>0</v>
      </c>
    </row>
    <row r="30" spans="1:13" s="221" customFormat="1" ht="21.75" customHeight="1">
      <c r="A30" s="20"/>
      <c r="B30" s="130" t="s">
        <v>7</v>
      </c>
      <c r="C30" s="32">
        <f>3188820+1300000+884640+1648500-100000-22000-19000-60000-184500-25100-50000-100000-20000-50000-64500-70650-40000-53200-40000-15000-75000-5000-20000-21600-12000-15000-23000-33400-400-400-60000</f>
        <v>5842210</v>
      </c>
      <c r="D30" s="357">
        <f>+'ต.ค.-ธ.ค.'!E30+'ต.ค.-ธ.ค.'!F30+'ต.ค.-ธ.ค.'!H30+'ต.ค.-ธ.ค.'!M30</f>
        <v>1455873</v>
      </c>
      <c r="E30" s="357">
        <f>+'ม.ค.-มี.ค.'!E30+'ม.ค.-มี.ค.'!F30+'ม.ค.-มี.ค.'!H30+'ม.ค.-มี.ค.'!M30</f>
        <v>1405189</v>
      </c>
      <c r="F30" s="357">
        <f>+'เม.ย.-มิ.ย.'!E30+'เม.ย.-มิ.ย.'!F30+'เม.ย.-มิ.ย.'!H30+'เม.ย.-มิ.ย.'!M30</f>
        <v>1443120</v>
      </c>
      <c r="G30" s="357">
        <f>+ก.ค.!E30+ก.ค.!F30+ก.ค.!H30+ก.ค.!M30</f>
        <v>481040</v>
      </c>
      <c r="H30" s="357">
        <f>SUM(D30:G30)</f>
        <v>4785222</v>
      </c>
      <c r="I30" s="357">
        <f>+C30-H30</f>
        <v>1056988</v>
      </c>
      <c r="J30" s="233"/>
      <c r="K30" s="329"/>
      <c r="L30" s="330"/>
      <c r="M30" s="330"/>
    </row>
    <row r="31" spans="1:13" s="221" customFormat="1" ht="21.75" customHeight="1">
      <c r="A31" s="20"/>
      <c r="B31" s="130" t="s">
        <v>239</v>
      </c>
      <c r="C31" s="32">
        <v>1899600</v>
      </c>
      <c r="D31" s="357">
        <f>+'ต.ค.-ธ.ค.'!E31+'ต.ค.-ธ.ค.'!F31+'ต.ค.-ธ.ค.'!H31+'ต.ค.-ธ.ค.'!M31</f>
        <v>462780</v>
      </c>
      <c r="E31" s="357">
        <f>+'ม.ค.-มี.ค.'!E31+'ม.ค.-มี.ค.'!F31+'ม.ค.-มี.ค.'!H31+'ม.ค.-มี.ค.'!M31</f>
        <v>462780</v>
      </c>
      <c r="F31" s="357">
        <f>+'เม.ย.-มิ.ย.'!E31+'เม.ย.-มิ.ย.'!F31+'เม.ย.-มิ.ย.'!H31+'เม.ย.-มิ.ย.'!M31</f>
        <v>473760</v>
      </c>
      <c r="G31" s="357">
        <f>+ก.ค.!E31+ก.ค.!F31+ก.ค.!H31+ก.ค.!M31</f>
        <v>157920</v>
      </c>
      <c r="H31" s="357">
        <f t="shared" ref="H31:H37" si="6">SUM(D31:G31)</f>
        <v>1557240</v>
      </c>
      <c r="I31" s="357">
        <f t="shared" si="5"/>
        <v>342360</v>
      </c>
      <c r="J31" s="233"/>
      <c r="K31" s="329"/>
      <c r="L31" s="330"/>
      <c r="M31" s="330"/>
    </row>
    <row r="32" spans="1:13" s="221" customFormat="1" ht="21.75" customHeight="1">
      <c r="A32" s="20"/>
      <c r="B32" s="130" t="s">
        <v>47</v>
      </c>
      <c r="C32" s="32">
        <f>10580-5700+400</f>
        <v>5280</v>
      </c>
      <c r="D32" s="357">
        <f>+'ต.ค.-ธ.ค.'!E32+'ต.ค.-ธ.ค.'!F32+'ต.ค.-ธ.ค.'!H32+'ต.ค.-ธ.ค.'!M32</f>
        <v>1320</v>
      </c>
      <c r="E32" s="357">
        <f>+'ม.ค.-มี.ค.'!E32+'ม.ค.-มี.ค.'!F32+'ม.ค.-มี.ค.'!H32+'ม.ค.-มี.ค.'!M32</f>
        <v>1320</v>
      </c>
      <c r="F32" s="357">
        <f>+'เม.ย.-มิ.ย.'!E32+'เม.ย.-มิ.ย.'!F32+'เม.ย.-มิ.ย.'!H32+'เม.ย.-มิ.ย.'!M32</f>
        <v>1320</v>
      </c>
      <c r="G32" s="357">
        <f>+ก.ค.!E32+ก.ค.!F32+ก.ค.!H32+ก.ค.!M32</f>
        <v>440</v>
      </c>
      <c r="H32" s="357">
        <f t="shared" si="6"/>
        <v>4400</v>
      </c>
      <c r="I32" s="357">
        <f t="shared" si="5"/>
        <v>880</v>
      </c>
      <c r="J32" s="233"/>
      <c r="K32" s="331"/>
      <c r="L32" s="330"/>
      <c r="M32" s="330"/>
    </row>
    <row r="33" spans="1:13" s="221" customFormat="1" ht="21.75" customHeight="1">
      <c r="A33" s="20"/>
      <c r="B33" s="130" t="s">
        <v>8</v>
      </c>
      <c r="C33" s="32">
        <f>132000+42000+42000+42000-3000-1000-10000-10000</f>
        <v>234000</v>
      </c>
      <c r="D33" s="357">
        <f>+'ต.ค.-ธ.ค.'!E33+'ต.ค.-ธ.ค.'!F33+'ต.ค.-ธ.ค.'!H33+'ต.ค.-ธ.ค.'!M33</f>
        <v>57500</v>
      </c>
      <c r="E33" s="357">
        <f>+'ม.ค.-มี.ค.'!E33+'ม.ค.-มี.ค.'!F33+'ม.ค.-มี.ค.'!H33+'ม.ค.-มี.ค.'!M33</f>
        <v>54000</v>
      </c>
      <c r="F33" s="357">
        <f>+'เม.ย.-มิ.ย.'!E33+'เม.ย.-มิ.ย.'!F33+'เม.ย.-มิ.ย.'!H33+'เม.ย.-มิ.ย.'!M33</f>
        <v>54000</v>
      </c>
      <c r="G33" s="357">
        <f>+ก.ค.!E33+ก.ค.!F33+ก.ค.!H33+ก.ค.!M33</f>
        <v>18000</v>
      </c>
      <c r="H33" s="357">
        <f t="shared" si="6"/>
        <v>183500</v>
      </c>
      <c r="I33" s="357">
        <f t="shared" si="5"/>
        <v>50500</v>
      </c>
      <c r="J33" s="233"/>
      <c r="K33" s="329"/>
      <c r="L33" s="330"/>
      <c r="M33" s="330"/>
    </row>
    <row r="34" spans="1:13" s="221" customFormat="1" ht="21.75" customHeight="1">
      <c r="A34" s="9"/>
      <c r="B34" s="130" t="s">
        <v>186</v>
      </c>
      <c r="C34" s="31">
        <f>787000+589000+559480+350880+100000+184500+153000-9400+26040</f>
        <v>2740500</v>
      </c>
      <c r="D34" s="357">
        <f>+'ต.ค.-ธ.ค.'!E34+'ต.ค.-ธ.ค.'!F34+'ต.ค.-ธ.ค.'!H34+'ต.ค.-ธ.ค.'!M34</f>
        <v>524330</v>
      </c>
      <c r="E34" s="357">
        <f>+'ม.ค.-มี.ค.'!E34+'ม.ค.-มี.ค.'!F34+'ม.ค.-มี.ค.'!H34+'ม.ค.-มี.ค.'!M34</f>
        <v>676008</v>
      </c>
      <c r="F34" s="357">
        <f>+'เม.ย.-มิ.ย.'!E34+'เม.ย.-มิ.ย.'!F34+'เม.ย.-มิ.ย.'!H34+'เม.ย.-มิ.ย.'!M34</f>
        <v>712830</v>
      </c>
      <c r="G34" s="357">
        <f>+ก.ค.!E34+ก.ค.!F34+ก.ค.!H34+ก.ค.!M34</f>
        <v>237610</v>
      </c>
      <c r="H34" s="357">
        <f>SUM(D34:G34)</f>
        <v>2150778</v>
      </c>
      <c r="I34" s="357">
        <f t="shared" si="5"/>
        <v>589722</v>
      </c>
      <c r="J34" s="233"/>
      <c r="K34" s="329"/>
      <c r="L34" s="330"/>
      <c r="M34" s="330"/>
    </row>
    <row r="35" spans="1:13" s="221" customFormat="1" ht="21.75" customHeight="1">
      <c r="A35" s="9"/>
      <c r="B35" s="130" t="s">
        <v>269</v>
      </c>
      <c r="C35" s="288">
        <v>225600</v>
      </c>
      <c r="D35" s="357">
        <f>+'ต.ค.-ธ.ค.'!E35+'ต.ค.-ธ.ค.'!F35+'ต.ค.-ธ.ค.'!H35+'ต.ค.-ธ.ค.'!M35</f>
        <v>62910</v>
      </c>
      <c r="E35" s="357">
        <f>+'ม.ค.-มี.ค.'!E35+'ม.ค.-มี.ค.'!F35+'ม.ค.-มี.ค.'!H35+'ม.ค.-มี.ค.'!M35</f>
        <v>62910</v>
      </c>
      <c r="F35" s="357">
        <f>+'เม.ย.-มิ.ย.'!E35+'เม.ย.-มิ.ย.'!F35+'เม.ย.-มิ.ย.'!H35+'เม.ย.-มิ.ย.'!M35</f>
        <v>62910</v>
      </c>
      <c r="G35" s="357">
        <f>+ก.ค.!E35+ก.ค.!F35+ก.ค.!H35+ก.ค.!M35</f>
        <v>20970</v>
      </c>
      <c r="H35" s="357">
        <f t="shared" si="6"/>
        <v>209700</v>
      </c>
      <c r="I35" s="357">
        <f t="shared" si="5"/>
        <v>15900</v>
      </c>
      <c r="J35" s="233"/>
      <c r="K35" s="329"/>
      <c r="L35" s="330"/>
      <c r="M35" s="330"/>
    </row>
    <row r="36" spans="1:13" s="221" customFormat="1" ht="21.75" customHeight="1">
      <c r="A36" s="9"/>
      <c r="B36" s="130" t="s">
        <v>91</v>
      </c>
      <c r="C36" s="288">
        <f>76000+72000+84000+22000+25100+11000+300</f>
        <v>290400</v>
      </c>
      <c r="D36" s="357">
        <f>+'ต.ค.-ธ.ค.'!E36+'ต.ค.-ธ.ค.'!F36+'ต.ค.-ธ.ค.'!H36+'ต.ค.-ธ.ค.'!M36</f>
        <v>47550</v>
      </c>
      <c r="E36" s="357">
        <f>+'ม.ค.-มี.ค.'!E36+'ม.ค.-มี.ค.'!F36+'ม.ค.-มี.ค.'!H36+'ม.ค.-มี.ค.'!M36</f>
        <v>100375</v>
      </c>
      <c r="F36" s="357">
        <f>+'เม.ย.-มิ.ย.'!E36+'เม.ย.-มิ.ย.'!F36+'เม.ย.-มิ.ย.'!H36+'เม.ย.-มิ.ย.'!M36</f>
        <v>72045</v>
      </c>
      <c r="G36" s="357">
        <f>+ก.ค.!E36+ก.ค.!F36+ก.ค.!H36+ก.ค.!M36</f>
        <v>24015</v>
      </c>
      <c r="H36" s="357">
        <f t="shared" si="6"/>
        <v>243985</v>
      </c>
      <c r="I36" s="357">
        <f t="shared" si="5"/>
        <v>46415</v>
      </c>
      <c r="J36" s="233"/>
      <c r="K36" s="329"/>
      <c r="L36" s="330"/>
      <c r="M36" s="330"/>
    </row>
    <row r="37" spans="1:13" s="221" customFormat="1" ht="21.75" customHeight="1">
      <c r="A37" s="227"/>
      <c r="B37" s="228" t="s">
        <v>240</v>
      </c>
      <c r="C37" s="288">
        <f>48000-26040</f>
        <v>21960</v>
      </c>
      <c r="D37" s="357">
        <f>+'ต.ค.-ธ.ค.'!E37+'ต.ค.-ธ.ค.'!F37+'ต.ค.-ธ.ค.'!H37+'ต.ค.-ธ.ค.'!M37</f>
        <v>5490</v>
      </c>
      <c r="E37" s="357">
        <f>+'ม.ค.-มี.ค.'!E37+'ม.ค.-มี.ค.'!F37+'ม.ค.-มี.ค.'!H37+'ม.ค.-มี.ค.'!M37</f>
        <v>5490</v>
      </c>
      <c r="F37" s="357">
        <f>+'เม.ย.-มิ.ย.'!E37+'เม.ย.-มิ.ย.'!F37+'เม.ย.-มิ.ย.'!H37+'เม.ย.-มิ.ย.'!M37</f>
        <v>5490</v>
      </c>
      <c r="G37" s="357">
        <f>+ก.ค.!E37+ก.ค.!F37+ก.ค.!H37+ก.ค.!M37</f>
        <v>1830</v>
      </c>
      <c r="H37" s="357">
        <f t="shared" si="6"/>
        <v>18300</v>
      </c>
      <c r="I37" s="357">
        <f t="shared" si="5"/>
        <v>3660</v>
      </c>
      <c r="J37" s="233"/>
      <c r="K37" s="329"/>
      <c r="L37" s="330"/>
      <c r="M37" s="330"/>
    </row>
    <row r="38" spans="1:13" s="221" customFormat="1" ht="21.75" customHeight="1">
      <c r="A38" s="532"/>
      <c r="B38" s="130" t="s">
        <v>437</v>
      </c>
      <c r="C38" s="31">
        <v>35000</v>
      </c>
      <c r="D38" s="558"/>
      <c r="E38" s="558"/>
      <c r="F38" s="558"/>
      <c r="G38" s="558"/>
      <c r="H38" s="558"/>
      <c r="I38" s="357"/>
      <c r="J38" s="233"/>
      <c r="K38" s="329"/>
      <c r="L38" s="330"/>
      <c r="M38" s="330"/>
    </row>
    <row r="39" spans="1:13" s="221" customFormat="1" ht="21.75" customHeight="1" thickBot="1">
      <c r="A39" s="46"/>
      <c r="B39" s="47" t="s">
        <v>5</v>
      </c>
      <c r="C39" s="289">
        <f t="shared" ref="C39:I39" si="7">SUM(C30:C38)</f>
        <v>11294550</v>
      </c>
      <c r="D39" s="236">
        <f t="shared" si="7"/>
        <v>2617753</v>
      </c>
      <c r="E39" s="236">
        <f t="shared" si="7"/>
        <v>2768072</v>
      </c>
      <c r="F39" s="236">
        <f t="shared" si="7"/>
        <v>2825475</v>
      </c>
      <c r="G39" s="236">
        <f t="shared" si="7"/>
        <v>941825</v>
      </c>
      <c r="H39" s="236">
        <f t="shared" si="7"/>
        <v>9153125</v>
      </c>
      <c r="I39" s="237">
        <f t="shared" si="7"/>
        <v>2106425</v>
      </c>
      <c r="J39" s="233"/>
      <c r="K39" s="329"/>
      <c r="L39" s="330"/>
      <c r="M39" s="330"/>
    </row>
    <row r="40" spans="1:13" ht="21.75" customHeight="1" thickTop="1">
      <c r="A40" s="5" t="s">
        <v>98</v>
      </c>
      <c r="B40" s="6"/>
      <c r="C40" s="190"/>
      <c r="D40" s="559"/>
      <c r="E40" s="559"/>
      <c r="F40" s="559"/>
      <c r="G40" s="559"/>
      <c r="H40" s="559"/>
      <c r="I40" s="560"/>
    </row>
    <row r="41" spans="1:13" ht="21.75" customHeight="1">
      <c r="A41" s="9"/>
      <c r="B41" s="130" t="s">
        <v>93</v>
      </c>
      <c r="C41" s="216">
        <v>5000</v>
      </c>
      <c r="D41" s="554">
        <f>+'ต.ค.-ธ.ค.'!E41+'ต.ค.-ธ.ค.'!F41+'ต.ค.-ธ.ค.'!H41+'ต.ค.-ธ.ค.'!I41+'ต.ค.-ธ.ค.'!M41+'ต.ค.-ธ.ค.'!Q41+'ต.ค.-ธ.ค.'!S41</f>
        <v>0</v>
      </c>
      <c r="E41" s="554">
        <f>+'ม.ค.-มี.ค.'!E41+'ม.ค.-มี.ค.'!F41+'ม.ค.-มี.ค.'!H41+'ม.ค.-มี.ค.'!I41+'ม.ค.-มี.ค.'!K41+'ม.ค.-มี.ค.'!M41+'ม.ค.-มี.ค.'!N41</f>
        <v>0</v>
      </c>
      <c r="F41" s="554">
        <f>+'เม.ย.-มิ.ย.'!E41+'เม.ย.-มิ.ย.'!F41+'เม.ย.-มิ.ย.'!G41+'เม.ย.-มิ.ย.'!H41+'เม.ย.-มิ.ย.'!I41+'เม.ย.-มิ.ย.'!M41+'เม.ย.-มิ.ย.'!N41+'เม.ย.-มิ.ย.'!P41+'เม.ย.-มิ.ย.'!R41+'เม.ย.-มิ.ย.'!S41</f>
        <v>0</v>
      </c>
      <c r="G41" s="554">
        <f>+ก.ค.!E41+ก.ค.!F41+ก.ค.!H41+ก.ค.!I41+ก.ค.!M41+ก.ค.!N41+ก.ค.!P41+ก.ค.!S41+ก.ค.!T41</f>
        <v>2000</v>
      </c>
      <c r="H41" s="554">
        <f>SUM(D41:G41)</f>
        <v>2000</v>
      </c>
      <c r="I41" s="556">
        <f t="shared" ref="I41:I48" si="8">+C41-H41</f>
        <v>3000</v>
      </c>
    </row>
    <row r="42" spans="1:13" s="172" customFormat="1" ht="21.75" customHeight="1">
      <c r="A42" s="9"/>
      <c r="B42" s="130" t="s">
        <v>205</v>
      </c>
      <c r="C42" s="285">
        <v>10000</v>
      </c>
      <c r="D42" s="554">
        <f>+'ต.ค.-ธ.ค.'!E42+'ต.ค.-ธ.ค.'!F42+'ต.ค.-ธ.ค.'!H42+'ต.ค.-ธ.ค.'!I42+'ต.ค.-ธ.ค.'!M42+'ต.ค.-ธ.ค.'!Q42+'ต.ค.-ธ.ค.'!S42</f>
        <v>0</v>
      </c>
      <c r="E42" s="554">
        <f>+'ม.ค.-มี.ค.'!E42+'ม.ค.-มี.ค.'!F42+'ม.ค.-มี.ค.'!H42+'ม.ค.-มี.ค.'!I42+'ม.ค.-มี.ค.'!K42+'ม.ค.-มี.ค.'!M42+'ม.ค.-มี.ค.'!N42</f>
        <v>0</v>
      </c>
      <c r="F42" s="554">
        <f>+'เม.ย.-มิ.ย.'!E42+'เม.ย.-มิ.ย.'!F42+'เม.ย.-มิ.ย.'!G42+'เม.ย.-มิ.ย.'!H42+'เม.ย.-มิ.ย.'!I42+'เม.ย.-มิ.ย.'!M42+'เม.ย.-มิ.ย.'!N42+'เม.ย.-มิ.ย.'!P42+'เม.ย.-มิ.ย.'!R42+'เม.ย.-มิ.ย.'!S42</f>
        <v>0</v>
      </c>
      <c r="G42" s="554">
        <f>+ก.ค.!E42+ก.ค.!F42+ก.ค.!H42+ก.ค.!I42+ก.ค.!M42+ก.ค.!N42+ก.ค.!P42+ก.ค.!S42+ก.ค.!T42</f>
        <v>0</v>
      </c>
      <c r="H42" s="554">
        <f t="shared" ref="H42:H48" si="9">SUM(D42:G42)</f>
        <v>0</v>
      </c>
      <c r="I42" s="556">
        <f t="shared" si="8"/>
        <v>10000</v>
      </c>
      <c r="J42" s="233"/>
      <c r="K42" s="329"/>
      <c r="L42" s="330"/>
      <c r="M42" s="330"/>
    </row>
    <row r="43" spans="1:13" ht="21.75" customHeight="1">
      <c r="A43" s="9"/>
      <c r="B43" s="130" t="s">
        <v>94</v>
      </c>
      <c r="C43" s="285">
        <f>10000-10000</f>
        <v>0</v>
      </c>
      <c r="D43" s="554">
        <f>+'ต.ค.-ธ.ค.'!E43+'ต.ค.-ธ.ค.'!F43+'ต.ค.-ธ.ค.'!H43+'ต.ค.-ธ.ค.'!I43+'ต.ค.-ธ.ค.'!M43+'ต.ค.-ธ.ค.'!Q43+'ต.ค.-ธ.ค.'!S43</f>
        <v>0</v>
      </c>
      <c r="E43" s="554">
        <f>+'ม.ค.-มี.ค.'!E43+'ม.ค.-มี.ค.'!F43+'ม.ค.-มี.ค.'!H43+'ม.ค.-มี.ค.'!I43+'ม.ค.-มี.ค.'!K43+'ม.ค.-มี.ค.'!M43+'ม.ค.-มี.ค.'!N43</f>
        <v>0</v>
      </c>
      <c r="F43" s="554">
        <f>+'เม.ย.-มิ.ย.'!E43+'เม.ย.-มิ.ย.'!F43+'เม.ย.-มิ.ย.'!G43+'เม.ย.-มิ.ย.'!H43+'เม.ย.-มิ.ย.'!I43+'เม.ย.-มิ.ย.'!M43+'เม.ย.-มิ.ย.'!N43+'เม.ย.-มิ.ย.'!P43+'เม.ย.-มิ.ย.'!R43+'เม.ย.-มิ.ย.'!S43</f>
        <v>0</v>
      </c>
      <c r="G43" s="554">
        <f>+ก.ค.!E43+ก.ค.!F43+ก.ค.!H43+ก.ค.!I43+ก.ค.!M43+ก.ค.!N43+ก.ค.!P43+ก.ค.!S43+ก.ค.!T43</f>
        <v>0</v>
      </c>
      <c r="H43" s="554">
        <f t="shared" si="9"/>
        <v>0</v>
      </c>
      <c r="I43" s="556">
        <f t="shared" si="8"/>
        <v>0</v>
      </c>
      <c r="L43" s="337"/>
      <c r="M43" s="337"/>
    </row>
    <row r="44" spans="1:13" s="168" customFormat="1" ht="21" customHeight="1">
      <c r="A44" s="9"/>
      <c r="B44" s="130" t="s">
        <v>95</v>
      </c>
      <c r="C44" s="192">
        <v>5000</v>
      </c>
      <c r="D44" s="554">
        <f>+'ต.ค.-ธ.ค.'!E44+'ต.ค.-ธ.ค.'!F44+'ต.ค.-ธ.ค.'!H44+'ต.ค.-ธ.ค.'!I44+'ต.ค.-ธ.ค.'!M44+'ต.ค.-ธ.ค.'!Q44+'ต.ค.-ธ.ค.'!S44</f>
        <v>0</v>
      </c>
      <c r="E44" s="554">
        <f>+'ม.ค.-มี.ค.'!E44+'ม.ค.-มี.ค.'!F44+'ม.ค.-มี.ค.'!H44+'ม.ค.-มี.ค.'!I44+'ม.ค.-มี.ค.'!K44+'ม.ค.-มี.ค.'!M44+'ม.ค.-มี.ค.'!N44</f>
        <v>0</v>
      </c>
      <c r="F44" s="554">
        <f>+'เม.ย.-มิ.ย.'!E44+'เม.ย.-มิ.ย.'!F44+'เม.ย.-มิ.ย.'!G44+'เม.ย.-มิ.ย.'!H44+'เม.ย.-มิ.ย.'!I44+'เม.ย.-มิ.ย.'!M44+'เม.ย.-มิ.ย.'!N44+'เม.ย.-มิ.ย.'!P44+'เม.ย.-มิ.ย.'!R44+'เม.ย.-มิ.ย.'!S44</f>
        <v>0</v>
      </c>
      <c r="G44" s="554">
        <f>+ก.ค.!E44+ก.ค.!F44+ก.ค.!H44+ก.ค.!I44+ก.ค.!M44+ก.ค.!N44+ก.ค.!P44+ก.ค.!S44+ก.ค.!T44</f>
        <v>0</v>
      </c>
      <c r="H44" s="554">
        <f t="shared" si="9"/>
        <v>0</v>
      </c>
      <c r="I44" s="556">
        <f t="shared" si="8"/>
        <v>5000</v>
      </c>
      <c r="J44" s="233"/>
      <c r="K44" s="331"/>
      <c r="L44" s="338"/>
      <c r="M44" s="338"/>
    </row>
    <row r="45" spans="1:13" ht="21.75" customHeight="1">
      <c r="A45" s="9"/>
      <c r="B45" s="130" t="s">
        <v>96</v>
      </c>
      <c r="C45" s="192">
        <f>5000-3000</f>
        <v>2000</v>
      </c>
      <c r="D45" s="554">
        <f>+'ต.ค.-ธ.ค.'!E45+'ต.ค.-ธ.ค.'!F45+'ต.ค.-ธ.ค.'!H45+'ต.ค.-ธ.ค.'!I45+'ต.ค.-ธ.ค.'!M45+'ต.ค.-ธ.ค.'!Q45+'ต.ค.-ธ.ค.'!S45</f>
        <v>0</v>
      </c>
      <c r="E45" s="554">
        <f>+'ม.ค.-มี.ค.'!E45+'ม.ค.-มี.ค.'!F45+'ม.ค.-มี.ค.'!H45+'ม.ค.-มี.ค.'!I45+'ม.ค.-มี.ค.'!K45+'ม.ค.-มี.ค.'!M45+'ม.ค.-มี.ค.'!N45</f>
        <v>0</v>
      </c>
      <c r="F45" s="554">
        <f>+'เม.ย.-มิ.ย.'!E45+'เม.ย.-มิ.ย.'!F45+'เม.ย.-มิ.ย.'!G45+'เม.ย.-มิ.ย.'!H45+'เม.ย.-มิ.ย.'!I45+'เม.ย.-มิ.ย.'!M45+'เม.ย.-มิ.ย.'!N45+'เม.ย.-มิ.ย.'!P45+'เม.ย.-มิ.ย.'!R45+'เม.ย.-มิ.ย.'!S45</f>
        <v>0</v>
      </c>
      <c r="G45" s="554">
        <f>+ก.ค.!E45+ก.ค.!F45+ก.ค.!H45+ก.ค.!I45+ก.ค.!M45+ก.ค.!N45+ก.ค.!P45+ก.ค.!S45+ก.ค.!T45</f>
        <v>0</v>
      </c>
      <c r="H45" s="554">
        <f t="shared" si="9"/>
        <v>0</v>
      </c>
      <c r="I45" s="556">
        <f t="shared" si="8"/>
        <v>2000</v>
      </c>
      <c r="L45" s="337"/>
      <c r="M45" s="337"/>
    </row>
    <row r="46" spans="1:13" ht="21.75" customHeight="1">
      <c r="A46" s="9"/>
      <c r="B46" s="130" t="s">
        <v>10</v>
      </c>
      <c r="C46" s="216">
        <f>144000+36000+78000+78000-15500+1000</f>
        <v>321500</v>
      </c>
      <c r="D46" s="554">
        <f>+'ต.ค.-ธ.ค.'!E46+'ต.ค.-ธ.ค.'!F46+'ต.ค.-ธ.ค.'!H46+'ต.ค.-ธ.ค.'!I46+'ต.ค.-ธ.ค.'!M46+'ต.ค.-ธ.ค.'!Q46+'ต.ค.-ธ.ค.'!S46</f>
        <v>77500</v>
      </c>
      <c r="E46" s="554">
        <f>+'ม.ค.-มี.ค.'!E46+'ม.ค.-มี.ค.'!F46+'ม.ค.-มี.ค.'!H46+'ม.ค.-มี.ค.'!I46+'ม.ค.-มี.ค.'!K46+'ม.ค.-มี.ค.'!M46+'ม.ค.-มี.ค.'!N46</f>
        <v>78000</v>
      </c>
      <c r="F46" s="554">
        <f>+'เม.ย.-มิ.ย.'!E46+'เม.ย.-มิ.ย.'!F46+'เม.ย.-มิ.ย.'!G46+'เม.ย.-มิ.ย.'!H46+'เม.ย.-มิ.ย.'!I46+'เม.ย.-มิ.ย.'!M46+'เม.ย.-มิ.ย.'!N46+'เม.ย.-มิ.ย.'!P46+'เม.ย.-มิ.ย.'!R46+'เม.ย.-มิ.ย.'!S46</f>
        <v>78000</v>
      </c>
      <c r="G46" s="554">
        <f>+ก.ค.!E46+ก.ค.!F46+ก.ค.!H46+ก.ค.!I46+ก.ค.!M46+ก.ค.!N46+ก.ค.!P46+ก.ค.!S46+ก.ค.!T46</f>
        <v>26000</v>
      </c>
      <c r="H46" s="554">
        <f t="shared" si="9"/>
        <v>259500</v>
      </c>
      <c r="I46" s="556">
        <f t="shared" si="8"/>
        <v>62000</v>
      </c>
      <c r="M46" s="337"/>
    </row>
    <row r="47" spans="1:13" ht="21.75" customHeight="1">
      <c r="A47" s="9"/>
      <c r="B47" s="130" t="s">
        <v>9</v>
      </c>
      <c r="C47" s="216">
        <f>25000+10000+30000+20000</f>
        <v>85000</v>
      </c>
      <c r="D47" s="554">
        <f>+'ต.ค.-ธ.ค.'!E47+'ต.ค.-ธ.ค.'!F47+'ต.ค.-ธ.ค.'!H47+'ต.ค.-ธ.ค.'!I47+'ต.ค.-ธ.ค.'!M47+'ต.ค.-ธ.ค.'!Q47+'ต.ค.-ธ.ค.'!S47</f>
        <v>2800</v>
      </c>
      <c r="E47" s="554">
        <f>+'ม.ค.-มี.ค.'!E47+'ม.ค.-มี.ค.'!F47+'ม.ค.-มี.ค.'!H47+'ม.ค.-มี.ค.'!I47+'ม.ค.-มี.ค.'!K47+'ม.ค.-มี.ค.'!M47+'ม.ค.-มี.ค.'!N47</f>
        <v>36300</v>
      </c>
      <c r="F47" s="554">
        <f>+'เม.ย.-มิ.ย.'!E47+'เม.ย.-มิ.ย.'!F47+'เม.ย.-มิ.ย.'!G47+'เม.ย.-มิ.ย.'!H47+'เม.ย.-มิ.ย.'!I47+'เม.ย.-มิ.ย.'!M47+'เม.ย.-มิ.ย.'!N47+'เม.ย.-มิ.ย.'!P47+'เม.ย.-มิ.ย.'!R47+'เม.ย.-มิ.ย.'!S47</f>
        <v>4800</v>
      </c>
      <c r="G47" s="554">
        <f>+ก.ค.!E47+ก.ค.!F47+ก.ค.!H47+ก.ค.!I47+ก.ค.!M47+ก.ค.!N47+ก.ค.!P47+ก.ค.!S47+ก.ค.!T47</f>
        <v>7000</v>
      </c>
      <c r="H47" s="554">
        <f t="shared" si="9"/>
        <v>50900</v>
      </c>
      <c r="I47" s="556">
        <f t="shared" si="8"/>
        <v>34100</v>
      </c>
      <c r="M47" s="337"/>
    </row>
    <row r="48" spans="1:13" ht="21.75" customHeight="1">
      <c r="A48" s="227"/>
      <c r="B48" s="130" t="s">
        <v>241</v>
      </c>
      <c r="C48" s="192">
        <v>44200</v>
      </c>
      <c r="D48" s="554">
        <f>+'ต.ค.-ธ.ค.'!E48+'ต.ค.-ธ.ค.'!F48+'ต.ค.-ธ.ค.'!H48+'ต.ค.-ธ.ค.'!I48+'ต.ค.-ธ.ค.'!M48+'ต.ค.-ธ.ค.'!Q48+'ต.ค.-ธ.ค.'!S48</f>
        <v>0</v>
      </c>
      <c r="E48" s="554">
        <f>+'ม.ค.-มี.ค.'!E48+'ม.ค.-มี.ค.'!F48+'ม.ค.-มี.ค.'!H48+'ม.ค.-มี.ค.'!I48+'ม.ค.-มี.ค.'!K48+'ม.ค.-มี.ค.'!M48+'ม.ค.-มี.ค.'!N48</f>
        <v>0</v>
      </c>
      <c r="F48" s="554">
        <f>+'เม.ย.-มิ.ย.'!E48+'เม.ย.-มิ.ย.'!F48+'เม.ย.-มิ.ย.'!G48+'เม.ย.-มิ.ย.'!H48+'เม.ย.-มิ.ย.'!I48+'เม.ย.-มิ.ย.'!M48+'เม.ย.-มิ.ย.'!N48+'เม.ย.-มิ.ย.'!P48+'เม.ย.-มิ.ย.'!R48+'เม.ย.-มิ.ย.'!S48</f>
        <v>0</v>
      </c>
      <c r="G48" s="554">
        <f>+ก.ค.!E48+ก.ค.!F48+ก.ค.!H48+ก.ค.!I48+ก.ค.!M48+ก.ค.!N48+ก.ค.!P48+ก.ค.!S48+ก.ค.!T48</f>
        <v>0</v>
      </c>
      <c r="H48" s="554">
        <f t="shared" si="9"/>
        <v>0</v>
      </c>
      <c r="I48" s="556">
        <f t="shared" si="8"/>
        <v>44200</v>
      </c>
    </row>
    <row r="49" spans="1:13" ht="21.75" customHeight="1">
      <c r="A49" s="532"/>
      <c r="B49" s="130" t="s">
        <v>437</v>
      </c>
      <c r="C49" s="216">
        <v>35000</v>
      </c>
      <c r="D49" s="572"/>
      <c r="E49" s="572"/>
      <c r="F49" s="572"/>
      <c r="G49" s="572"/>
      <c r="H49" s="572"/>
      <c r="I49" s="556"/>
    </row>
    <row r="50" spans="1:13" s="221" customFormat="1" ht="21.75" customHeight="1" thickBot="1">
      <c r="A50" s="46"/>
      <c r="B50" s="47" t="s">
        <v>5</v>
      </c>
      <c r="C50" s="289">
        <f t="shared" ref="C50:I50" si="10">SUM(C41:C49)</f>
        <v>507700</v>
      </c>
      <c r="D50" s="289">
        <f t="shared" si="10"/>
        <v>80300</v>
      </c>
      <c r="E50" s="289">
        <f t="shared" si="10"/>
        <v>114300</v>
      </c>
      <c r="F50" s="289">
        <f t="shared" si="10"/>
        <v>82800</v>
      </c>
      <c r="G50" s="289">
        <f t="shared" si="10"/>
        <v>35000</v>
      </c>
      <c r="H50" s="289">
        <f t="shared" si="10"/>
        <v>312400</v>
      </c>
      <c r="I50" s="599">
        <f t="shared" si="10"/>
        <v>160300</v>
      </c>
      <c r="J50" s="233"/>
      <c r="K50" s="329"/>
      <c r="L50" s="330"/>
      <c r="M50" s="330"/>
    </row>
    <row r="51" spans="1:13" s="168" customFormat="1" ht="21.75" customHeight="1" thickTop="1">
      <c r="A51" s="5" t="s">
        <v>99</v>
      </c>
      <c r="B51" s="6"/>
      <c r="C51" s="190"/>
      <c r="D51" s="561"/>
      <c r="E51" s="561"/>
      <c r="F51" s="561"/>
      <c r="G51" s="561"/>
      <c r="H51" s="561"/>
      <c r="I51" s="555"/>
      <c r="J51" s="233"/>
      <c r="K51" s="331"/>
      <c r="L51" s="247"/>
      <c r="M51" s="247"/>
    </row>
    <row r="52" spans="1:13" ht="21.75" customHeight="1">
      <c r="A52" s="5"/>
      <c r="B52" s="130" t="s">
        <v>100</v>
      </c>
      <c r="C52" s="281">
        <f>15000+7000+20000+15000</f>
        <v>57000</v>
      </c>
      <c r="D52" s="554">
        <f>+'ต.ค.-ธ.ค.'!E52+'ต.ค.-ธ.ค.'!F52+'ต.ค.-ธ.ค.'!H52+'ต.ค.-ธ.ค.'!I52+'ต.ค.-ธ.ค.'!M52+'ต.ค.-ธ.ค.'!Q52+'ต.ค.-ธ.ค.'!S52</f>
        <v>0</v>
      </c>
      <c r="E52" s="554">
        <f>+'ม.ค.-มี.ค.'!D51+'ม.ค.-มี.ค.'!E51+'ม.ค.-มี.ค.'!F51+'ม.ค.-มี.ค.'!G51+'ม.ค.-มี.ค.'!H51+'ม.ค.-มี.ค.'!I51+'ม.ค.-มี.ค.'!J51+'ม.ค.-มี.ค.'!K51+'ม.ค.-มี.ค.'!L51+'ม.ค.-มี.ค.'!M51+'ม.ค.-มี.ค.'!N51+'ม.ค.-มี.ค.'!O51+'ม.ค.-มี.ค.'!P51+'ม.ค.-มี.ค.'!Q51+'ม.ค.-มี.ค.'!R51+'ม.ค.-มี.ค.'!S51+'ม.ค.-มี.ค.'!U51+'ม.ค.-มี.ค.'!V51</f>
        <v>7102</v>
      </c>
      <c r="F52" s="554">
        <f>+'เม.ย.-มิ.ย.'!E51+'เม.ย.-มิ.ย.'!F51+'เม.ย.-มิ.ย.'!G51+'เม.ย.-มิ.ย.'!H51+'เม.ย.-มิ.ย.'!I51+'เม.ย.-มิ.ย.'!M51+'เม.ย.-มิ.ย.'!N51+'เม.ย.-มิ.ย.'!P51+'เม.ย.-มิ.ย.'!R51+'เม.ย.-มิ.ย.'!S51</f>
        <v>29250</v>
      </c>
      <c r="G52" s="561">
        <f>+ก.ค.!E51+ก.ค.!F51+ก.ค.!H51+ก.ค.!I51+ก.ค.!M51+ก.ค.!N51+ก.ค.!P51+ก.ค.!S51+ก.ค.!T51</f>
        <v>3000</v>
      </c>
      <c r="H52" s="561">
        <f>SUM(D52:G52)</f>
        <v>39352</v>
      </c>
      <c r="I52" s="556">
        <f t="shared" ref="I52:I115" si="11">+C52-H52</f>
        <v>17648</v>
      </c>
    </row>
    <row r="53" spans="1:13" ht="21.75" customHeight="1">
      <c r="A53" s="5"/>
      <c r="B53" s="130" t="s">
        <v>226</v>
      </c>
      <c r="C53" s="281">
        <f>1044000+124000+384000+296000-47000+10000+156000+65000+50000+64500-15000+20000+48300+53200+5700+9400+10000+15500+10000+6400-20000+75000+5000+5000+30000+10000+5000+20000+10000+5000+5000+5000+5000+5000+5000+10000+20000+10000+23000+3000+15000+10000+7000+10000+10000+33400+400+15000+20000</f>
        <v>2666800</v>
      </c>
      <c r="D53" s="554">
        <f>+'ต.ค.-ธ.ค.'!E53+'ต.ค.-ธ.ค.'!F53+'ต.ค.-ธ.ค.'!H53+'ต.ค.-ธ.ค.'!I53+'ต.ค.-ธ.ค.'!M53+'ต.ค.-ธ.ค.'!Q53+'ต.ค.-ธ.ค.'!S53</f>
        <v>462503</v>
      </c>
      <c r="E53" s="554">
        <f>+'ม.ค.-มี.ค.'!D52+'ม.ค.-มี.ค.'!E52+'ม.ค.-มี.ค.'!F52+'ม.ค.-มี.ค.'!G52+'ม.ค.-มี.ค.'!H52+'ม.ค.-มี.ค.'!I52+'ม.ค.-มี.ค.'!J52+'ม.ค.-มี.ค.'!K52+'ม.ค.-มี.ค.'!L52+'ม.ค.-มี.ค.'!M52+'ม.ค.-มี.ค.'!N52+'ม.ค.-มี.ค.'!O52+'ม.ค.-มี.ค.'!P52+'ม.ค.-มี.ค.'!Q52+'ม.ค.-มี.ค.'!R52+'ม.ค.-มี.ค.'!S52+'ม.ค.-มี.ค.'!U52+'ม.ค.-มี.ค.'!V52</f>
        <v>683071</v>
      </c>
      <c r="F53" s="554">
        <f>+'เม.ย.-มิ.ย.'!E52+'เม.ย.-มิ.ย.'!F52+'เม.ย.-มิ.ย.'!G52+'เม.ย.-มิ.ย.'!H52+'เม.ย.-มิ.ย.'!I52+'เม.ย.-มิ.ย.'!M52+'เม.ย.-มิ.ย.'!N52+'เม.ย.-มิ.ย.'!P52+'เม.ย.-มิ.ย.'!R52+'เม.ย.-มิ.ย.'!S52</f>
        <v>659467</v>
      </c>
      <c r="G53" s="561">
        <f>+ก.ค.!E52+ก.ค.!F52+ก.ค.!H52+ก.ค.!I52+ก.ค.!M52+ก.ค.!N52+ก.ค.!P52+ก.ค.!S52+ก.ค.!T52</f>
        <v>227500</v>
      </c>
      <c r="H53" s="561">
        <f>SUM(D53:G53)</f>
        <v>2032541</v>
      </c>
      <c r="I53" s="556">
        <f t="shared" si="11"/>
        <v>634259</v>
      </c>
    </row>
    <row r="54" spans="1:13" ht="21.75" customHeight="1">
      <c r="A54" s="5"/>
      <c r="B54" s="130" t="s">
        <v>223</v>
      </c>
      <c r="C54" s="281">
        <v>200000</v>
      </c>
      <c r="D54" s="554">
        <f>+'ต.ค.-ธ.ค.'!E54+'ต.ค.-ธ.ค.'!F54+'ต.ค.-ธ.ค.'!H54+'ต.ค.-ธ.ค.'!I54+'ต.ค.-ธ.ค.'!M54+'ต.ค.-ธ.ค.'!Q54+'ต.ค.-ธ.ค.'!S54</f>
        <v>0</v>
      </c>
      <c r="E54" s="554">
        <f>+'ม.ค.-มี.ค.'!D53+'ม.ค.-มี.ค.'!E53+'ม.ค.-มี.ค.'!F53+'ม.ค.-มี.ค.'!G53+'ม.ค.-มี.ค.'!H53+'ม.ค.-มี.ค.'!I53+'ม.ค.-มี.ค.'!J53+'ม.ค.-มี.ค.'!K53+'ม.ค.-มี.ค.'!L53+'ม.ค.-มี.ค.'!M53+'ม.ค.-มี.ค.'!N53+'ม.ค.-มี.ค.'!O53+'ม.ค.-มี.ค.'!P53+'ม.ค.-มี.ค.'!Q53+'ม.ค.-มี.ค.'!R53+'ม.ค.-มี.ค.'!S53+'ม.ค.-มี.ค.'!U53+'ม.ค.-มี.ค.'!V53</f>
        <v>50000</v>
      </c>
      <c r="F54" s="554">
        <f>+'เม.ย.-มิ.ย.'!E53+'เม.ย.-มิ.ย.'!F53+'เม.ย.-มิ.ย.'!G53+'เม.ย.-มิ.ย.'!H53+'เม.ย.-มิ.ย.'!I53+'เม.ย.-มิ.ย.'!M53+'เม.ย.-มิ.ย.'!N53+'เม.ย.-มิ.ย.'!P53+'เม.ย.-มิ.ย.'!R53+'เม.ย.-มิ.ย.'!S53</f>
        <v>50000</v>
      </c>
      <c r="G54" s="561">
        <f>+ก.ค.!E53+ก.ค.!F53+ก.ค.!H53+ก.ค.!I53+ก.ค.!M53+ก.ค.!N53+ก.ค.!P53+ก.ค.!S53+ก.ค.!T53</f>
        <v>50000</v>
      </c>
      <c r="H54" s="561">
        <f t="shared" ref="H54:H117" si="12">SUM(D54:G54)</f>
        <v>150000</v>
      </c>
      <c r="I54" s="556">
        <f t="shared" si="11"/>
        <v>50000</v>
      </c>
    </row>
    <row r="55" spans="1:13" ht="21.75" customHeight="1">
      <c r="A55" s="5"/>
      <c r="B55" s="130" t="s">
        <v>224</v>
      </c>
      <c r="C55" s="281">
        <v>20000</v>
      </c>
      <c r="D55" s="554">
        <f>+'ต.ค.-ธ.ค.'!E55+'ต.ค.-ธ.ค.'!F55+'ต.ค.-ธ.ค.'!H55+'ต.ค.-ธ.ค.'!I55+'ต.ค.-ธ.ค.'!M55+'ต.ค.-ธ.ค.'!Q55+'ต.ค.-ธ.ค.'!S55</f>
        <v>0</v>
      </c>
      <c r="E55" s="554">
        <f>+'ม.ค.-มี.ค.'!D54+'ม.ค.-มี.ค.'!E54+'ม.ค.-มี.ค.'!F54+'ม.ค.-มี.ค.'!G54+'ม.ค.-มี.ค.'!H54+'ม.ค.-มี.ค.'!I54+'ม.ค.-มี.ค.'!J54+'ม.ค.-มี.ค.'!K54+'ม.ค.-มี.ค.'!L54+'ม.ค.-มี.ค.'!M54+'ม.ค.-มี.ค.'!N54+'ม.ค.-มี.ค.'!O54+'ม.ค.-มี.ค.'!P54+'ม.ค.-มี.ค.'!Q54+'ม.ค.-มี.ค.'!R54+'ม.ค.-มี.ค.'!S54+'ม.ค.-มี.ค.'!U54+'ม.ค.-มี.ค.'!V54</f>
        <v>0</v>
      </c>
      <c r="F55" s="554">
        <f>+'เม.ย.-มิ.ย.'!E54+'เม.ย.-มิ.ย.'!F54+'เม.ย.-มิ.ย.'!G54+'เม.ย.-มิ.ย.'!H54+'เม.ย.-มิ.ย.'!I54+'เม.ย.-มิ.ย.'!M54+'เม.ย.-มิ.ย.'!N54+'เม.ย.-มิ.ย.'!P54+'เม.ย.-มิ.ย.'!R54+'เม.ย.-มิ.ย.'!S54</f>
        <v>0</v>
      </c>
      <c r="G55" s="561">
        <f>+ก.ค.!E54+ก.ค.!F54+ก.ค.!H54+ก.ค.!I54+ก.ค.!M54+ก.ค.!N54+ก.ค.!P54+ก.ค.!S54+ก.ค.!T54</f>
        <v>0</v>
      </c>
      <c r="H55" s="561">
        <f t="shared" si="12"/>
        <v>0</v>
      </c>
      <c r="I55" s="556">
        <f t="shared" si="11"/>
        <v>20000</v>
      </c>
    </row>
    <row r="56" spans="1:13" ht="21.75" customHeight="1">
      <c r="A56" s="5"/>
      <c r="B56" s="130" t="s">
        <v>225</v>
      </c>
      <c r="C56" s="281">
        <f>10000+14000-1300-300-1800</f>
        <v>20600</v>
      </c>
      <c r="D56" s="554">
        <f>+'ต.ค.-ธ.ค.'!E56+'ต.ค.-ธ.ค.'!F56+'ต.ค.-ธ.ค.'!H56+'ต.ค.-ธ.ค.'!I56+'ต.ค.-ธ.ค.'!M56+'ต.ค.-ธ.ค.'!Q56+'ต.ค.-ธ.ค.'!S56</f>
        <v>4810</v>
      </c>
      <c r="E56" s="554">
        <f>+'ม.ค.-มี.ค.'!D55+'ม.ค.-มี.ค.'!E55+'ม.ค.-มี.ค.'!F55+'ม.ค.-มี.ค.'!G55+'ม.ค.-มี.ค.'!H55+'ม.ค.-มี.ค.'!I55+'ม.ค.-มี.ค.'!J55+'ม.ค.-มี.ค.'!K55+'ม.ค.-มี.ค.'!L55+'ม.ค.-มี.ค.'!M55+'ม.ค.-มี.ค.'!N55+'ม.ค.-มี.ค.'!O55+'ม.ค.-มี.ค.'!P55+'ม.ค.-มี.ค.'!Q55+'ม.ค.-มี.ค.'!R55+'ม.ค.-มี.ค.'!S55+'ม.ค.-มี.ค.'!U55+'ม.ค.-มี.ค.'!V55</f>
        <v>7450</v>
      </c>
      <c r="F56" s="554">
        <f>+'เม.ย.-มิ.ย.'!E55+'เม.ย.-มิ.ย.'!F55+'เม.ย.-มิ.ย.'!G55+'เม.ย.-มิ.ย.'!H55+'เม.ย.-มิ.ย.'!I55+'เม.ย.-มิ.ย.'!M55+'เม.ย.-มิ.ย.'!N55+'เม.ย.-มิ.ย.'!P55+'เม.ย.-มิ.ย.'!R55+'เม.ย.-มิ.ย.'!S55</f>
        <v>8250</v>
      </c>
      <c r="G56" s="561">
        <f>+ก.ค.!E55+ก.ค.!F55+ก.ค.!H55+ก.ค.!I55+ก.ค.!M55+ก.ค.!N55+ก.ค.!P55+ก.ค.!S55+ก.ค.!T55</f>
        <v>0</v>
      </c>
      <c r="H56" s="561">
        <f>SUM(D56:G56)</f>
        <v>20510</v>
      </c>
      <c r="I56" s="556">
        <f t="shared" si="11"/>
        <v>90</v>
      </c>
    </row>
    <row r="57" spans="1:13" ht="21.75" customHeight="1">
      <c r="A57" s="5"/>
      <c r="B57" s="130" t="s">
        <v>227</v>
      </c>
      <c r="C57" s="281">
        <v>40000</v>
      </c>
      <c r="D57" s="554">
        <f>+'ต.ค.-ธ.ค.'!E57+'ต.ค.-ธ.ค.'!F57+'ต.ค.-ธ.ค.'!H57+'ต.ค.-ธ.ค.'!I57+'ต.ค.-ธ.ค.'!M57+'ต.ค.-ธ.ค.'!Q57+'ต.ค.-ธ.ค.'!S57</f>
        <v>0</v>
      </c>
      <c r="E57" s="554">
        <f>+'ม.ค.-มี.ค.'!D56+'ม.ค.-มี.ค.'!E56+'ม.ค.-มี.ค.'!F56+'ม.ค.-มี.ค.'!G56+'ม.ค.-มี.ค.'!H56+'ม.ค.-มี.ค.'!I56+'ม.ค.-มี.ค.'!J56+'ม.ค.-มี.ค.'!K56+'ม.ค.-มี.ค.'!L56+'ม.ค.-มี.ค.'!M56+'ม.ค.-มี.ค.'!N56+'ม.ค.-มี.ค.'!O56+'ม.ค.-มี.ค.'!P56+'ม.ค.-มี.ค.'!Q56+'ม.ค.-มี.ค.'!R56+'ม.ค.-มี.ค.'!S56+'ม.ค.-มี.ค.'!U56+'ม.ค.-มี.ค.'!V56</f>
        <v>0</v>
      </c>
      <c r="F57" s="554">
        <f>+'เม.ย.-มิ.ย.'!E56+'เม.ย.-มิ.ย.'!F56+'เม.ย.-มิ.ย.'!G56+'เม.ย.-มิ.ย.'!H56+'เม.ย.-มิ.ย.'!I56+'เม.ย.-มิ.ย.'!M56+'เม.ย.-มิ.ย.'!N56+'เม.ย.-มิ.ย.'!P56+'เม.ย.-มิ.ย.'!R56+'เม.ย.-มิ.ย.'!S56</f>
        <v>0</v>
      </c>
      <c r="G57" s="561">
        <f>+ก.ค.!E56+ก.ค.!F56+ก.ค.!H56+ก.ค.!I56+ก.ค.!M56+ก.ค.!N56+ก.ค.!P56+ก.ค.!S56+ก.ค.!T56</f>
        <v>0</v>
      </c>
      <c r="H57" s="561">
        <f t="shared" si="12"/>
        <v>0</v>
      </c>
      <c r="I57" s="556">
        <f t="shared" si="11"/>
        <v>40000</v>
      </c>
    </row>
    <row r="58" spans="1:13" ht="21.75" customHeight="1">
      <c r="A58" s="5"/>
      <c r="B58" s="130" t="s">
        <v>228</v>
      </c>
      <c r="C58" s="281">
        <v>9000</v>
      </c>
      <c r="D58" s="554">
        <f>+'ต.ค.-ธ.ค.'!E58+'ต.ค.-ธ.ค.'!F58+'ต.ค.-ธ.ค.'!H58+'ต.ค.-ธ.ค.'!I58+'ต.ค.-ธ.ค.'!M58+'ต.ค.-ธ.ค.'!Q58+'ต.ค.-ธ.ค.'!S58</f>
        <v>0</v>
      </c>
      <c r="E58" s="554">
        <f>+'ม.ค.-มี.ค.'!D57+'ม.ค.-มี.ค.'!E57+'ม.ค.-มี.ค.'!F57+'ม.ค.-มี.ค.'!G57+'ม.ค.-มี.ค.'!H57+'ม.ค.-มี.ค.'!I57+'ม.ค.-มี.ค.'!J57+'ม.ค.-มี.ค.'!K57+'ม.ค.-มี.ค.'!L57+'ม.ค.-มี.ค.'!M57+'ม.ค.-มี.ค.'!N57+'ม.ค.-มี.ค.'!O57+'ม.ค.-มี.ค.'!P57+'ม.ค.-มี.ค.'!Q57+'ม.ค.-มี.ค.'!R57+'ม.ค.-มี.ค.'!S57+'ม.ค.-มี.ค.'!U57+'ม.ค.-มี.ค.'!V57</f>
        <v>0</v>
      </c>
      <c r="F58" s="554">
        <f>+'เม.ย.-มิ.ย.'!E57+'เม.ย.-มิ.ย.'!F57+'เม.ย.-มิ.ย.'!G57+'เม.ย.-มิ.ย.'!H57+'เม.ย.-มิ.ย.'!I57+'เม.ย.-มิ.ย.'!M57+'เม.ย.-มิ.ย.'!N57+'เม.ย.-มิ.ย.'!P57+'เม.ย.-มิ.ย.'!R57+'เม.ย.-มิ.ย.'!S57</f>
        <v>0</v>
      </c>
      <c r="G58" s="561">
        <f>+ก.ค.!E57+ก.ค.!F57+ก.ค.!H57+ก.ค.!I57+ก.ค.!M57+ก.ค.!N57+ก.ค.!P57+ก.ค.!S57+ก.ค.!T57</f>
        <v>0</v>
      </c>
      <c r="H58" s="561">
        <f t="shared" si="12"/>
        <v>0</v>
      </c>
      <c r="I58" s="556">
        <f t="shared" si="11"/>
        <v>9000</v>
      </c>
    </row>
    <row r="59" spans="1:13" s="168" customFormat="1" ht="21.75" customHeight="1">
      <c r="A59" s="5"/>
      <c r="B59" s="130" t="s">
        <v>11</v>
      </c>
      <c r="C59" s="281">
        <f>10000+20000+5000+5000-3000</f>
        <v>37000</v>
      </c>
      <c r="D59" s="554">
        <f>+'ต.ค.-ธ.ค.'!E59+'ต.ค.-ธ.ค.'!F59+'ต.ค.-ธ.ค.'!H59+'ต.ค.-ธ.ค.'!I59+'ต.ค.-ธ.ค.'!M59+'ต.ค.-ธ.ค.'!Q59+'ต.ค.-ธ.ค.'!S59</f>
        <v>1902</v>
      </c>
      <c r="E59" s="554">
        <f>+'ม.ค.-มี.ค.'!D58+'ม.ค.-มี.ค.'!E58+'ม.ค.-มี.ค.'!F58+'ม.ค.-มี.ค.'!G58+'ม.ค.-มี.ค.'!H58+'ม.ค.-มี.ค.'!I58+'ม.ค.-มี.ค.'!J58+'ม.ค.-มี.ค.'!K58+'ม.ค.-มี.ค.'!L58+'ม.ค.-มี.ค.'!M58+'ม.ค.-มี.ค.'!N58+'ม.ค.-มี.ค.'!O58+'ม.ค.-มี.ค.'!P58+'ม.ค.-มี.ค.'!Q58+'ม.ค.-มี.ค.'!R58+'ม.ค.-มี.ค.'!S58+'ม.ค.-มี.ค.'!U58+'ม.ค.-มี.ค.'!V58</f>
        <v>10967</v>
      </c>
      <c r="F59" s="554">
        <f>+'เม.ย.-มิ.ย.'!E58+'เม.ย.-มิ.ย.'!F58+'เม.ย.-มิ.ย.'!G58+'เม.ย.-มิ.ย.'!H58+'เม.ย.-มิ.ย.'!I58+'เม.ย.-มิ.ย.'!M58+'เม.ย.-มิ.ย.'!N58+'เม.ย.-มิ.ย.'!P58+'เม.ย.-มิ.ย.'!R58+'เม.ย.-มิ.ย.'!S58</f>
        <v>2980</v>
      </c>
      <c r="G59" s="561">
        <f>+ก.ค.!E58+ก.ค.!F58+ก.ค.!H58+ก.ค.!I58+ก.ค.!M58+ก.ค.!N58+ก.ค.!P58+ก.ค.!S58+ก.ค.!T58</f>
        <v>2210</v>
      </c>
      <c r="H59" s="561">
        <f t="shared" si="12"/>
        <v>18059</v>
      </c>
      <c r="I59" s="555">
        <f t="shared" si="11"/>
        <v>18941</v>
      </c>
      <c r="J59" s="233"/>
      <c r="K59" s="331"/>
      <c r="L59" s="247"/>
      <c r="M59" s="247"/>
    </row>
    <row r="60" spans="1:13" ht="21.75" customHeight="1">
      <c r="A60" s="5"/>
      <c r="B60" s="130" t="s">
        <v>229</v>
      </c>
      <c r="C60" s="281">
        <f>10000+5000+3000+5000+3000</f>
        <v>26000</v>
      </c>
      <c r="D60" s="554">
        <f>+'ต.ค.-ธ.ค.'!E60+'ต.ค.-ธ.ค.'!F60+'ต.ค.-ธ.ค.'!H60+'ต.ค.-ธ.ค.'!I60+'ต.ค.-ธ.ค.'!M60+'ต.ค.-ธ.ค.'!Q60+'ต.ค.-ธ.ค.'!S60</f>
        <v>1047</v>
      </c>
      <c r="E60" s="554">
        <f>+'ม.ค.-มี.ค.'!D59+'ม.ค.-มี.ค.'!E59+'ม.ค.-มี.ค.'!F59+'ม.ค.-มี.ค.'!G59+'ม.ค.-มี.ค.'!H59+'ม.ค.-มี.ค.'!I59+'ม.ค.-มี.ค.'!J59+'ม.ค.-มี.ค.'!K59+'ม.ค.-มี.ค.'!L59+'ม.ค.-มี.ค.'!M59+'ม.ค.-มี.ค.'!N59+'ม.ค.-มี.ค.'!O59+'ม.ค.-มี.ค.'!P59+'ม.ค.-มี.ค.'!Q59+'ม.ค.-มี.ค.'!R59+'ม.ค.-มี.ค.'!S59+'ม.ค.-มี.ค.'!U59+'ม.ค.-มี.ค.'!V59</f>
        <v>3450</v>
      </c>
      <c r="F60" s="554">
        <f>+'เม.ย.-มิ.ย.'!E59+'เม.ย.-มิ.ย.'!F59+'เม.ย.-มิ.ย.'!G59+'เม.ย.-มิ.ย.'!H59+'เม.ย.-มิ.ย.'!I59+'เม.ย.-มิ.ย.'!M59+'เม.ย.-มิ.ย.'!N59+'เม.ย.-มิ.ย.'!P59+'เม.ย.-มิ.ย.'!R59+'เม.ย.-มิ.ย.'!S59</f>
        <v>2835</v>
      </c>
      <c r="G60" s="561">
        <f>+ก.ค.!E59+ก.ค.!F59+ก.ค.!H59+ก.ค.!I59+ก.ค.!M59+ก.ค.!N59+ก.ค.!P59+ก.ค.!S59+ก.ค.!T59</f>
        <v>400</v>
      </c>
      <c r="H60" s="561">
        <f t="shared" si="12"/>
        <v>7732</v>
      </c>
      <c r="I60" s="556">
        <f t="shared" si="11"/>
        <v>18268</v>
      </c>
      <c r="J60" s="248"/>
    </row>
    <row r="61" spans="1:13" s="168" customFormat="1" ht="21.75" customHeight="1">
      <c r="A61" s="169"/>
      <c r="B61" s="185" t="s">
        <v>230</v>
      </c>
      <c r="C61" s="281">
        <f>20000+60000</f>
        <v>80000</v>
      </c>
      <c r="D61" s="561">
        <f>+'ต.ค.-ธ.ค.'!E61+'ต.ค.-ธ.ค.'!F61+'ต.ค.-ธ.ค.'!H61+'ต.ค.-ธ.ค.'!I61+'ต.ค.-ธ.ค.'!M61+'ต.ค.-ธ.ค.'!Q61+'ต.ค.-ธ.ค.'!S61</f>
        <v>61400</v>
      </c>
      <c r="E61" s="561">
        <f>+'ม.ค.-มี.ค.'!D60+'ม.ค.-มี.ค.'!E60+'ม.ค.-มี.ค.'!F60+'ม.ค.-มี.ค.'!G60+'ม.ค.-มี.ค.'!H60+'ม.ค.-มี.ค.'!I60+'ม.ค.-มี.ค.'!J60+'ม.ค.-มี.ค.'!K60+'ม.ค.-มี.ค.'!L60+'ม.ค.-มี.ค.'!M60+'ม.ค.-มี.ค.'!N60+'ม.ค.-มี.ค.'!O60+'ม.ค.-มี.ค.'!P60+'ม.ค.-มี.ค.'!Q60+'ม.ค.-มี.ค.'!R60+'ม.ค.-มี.ค.'!S60+'ม.ค.-มี.ค.'!U60+'ม.ค.-มี.ค.'!V60</f>
        <v>0</v>
      </c>
      <c r="F61" s="561">
        <f>+'เม.ย.-มิ.ย.'!E60+'เม.ย.-มิ.ย.'!F60+'เม.ย.-มิ.ย.'!G60+'เม.ย.-มิ.ย.'!H60+'เม.ย.-มิ.ย.'!I60+'เม.ย.-มิ.ย.'!M60+'เม.ย.-มิ.ย.'!N60+'เม.ย.-มิ.ย.'!P60+'เม.ย.-มิ.ย.'!R60+'เม.ย.-มิ.ย.'!S60</f>
        <v>0</v>
      </c>
      <c r="G61" s="561">
        <f>+ก.ค.!E60+ก.ค.!F60+ก.ค.!H60+ก.ค.!I60+ก.ค.!M60+ก.ค.!N60+ก.ค.!P60+ก.ค.!S60+ก.ค.!T60</f>
        <v>0</v>
      </c>
      <c r="H61" s="561">
        <f t="shared" si="12"/>
        <v>61400</v>
      </c>
      <c r="I61" s="555">
        <f t="shared" si="11"/>
        <v>18600</v>
      </c>
      <c r="J61" s="233"/>
      <c r="K61" s="331"/>
      <c r="L61" s="247"/>
      <c r="M61" s="247"/>
    </row>
    <row r="62" spans="1:13" ht="21.75" customHeight="1">
      <c r="A62" s="9"/>
      <c r="B62" s="130" t="s">
        <v>50</v>
      </c>
      <c r="C62" s="280">
        <f>10000-10000</f>
        <v>0</v>
      </c>
      <c r="D62" s="554">
        <f>+'ต.ค.-ธ.ค.'!E62+'ต.ค.-ธ.ค.'!F62+'ต.ค.-ธ.ค.'!H62+'ต.ค.-ธ.ค.'!I62+'ต.ค.-ธ.ค.'!M62+'ต.ค.-ธ.ค.'!Q62+'ต.ค.-ธ.ค.'!S62</f>
        <v>0</v>
      </c>
      <c r="E62" s="554">
        <f>+'ม.ค.-มี.ค.'!D61+'ม.ค.-มี.ค.'!E61+'ม.ค.-มี.ค.'!F61+'ม.ค.-มี.ค.'!G61+'ม.ค.-มี.ค.'!H61+'ม.ค.-มี.ค.'!I61+'ม.ค.-มี.ค.'!J61+'ม.ค.-มี.ค.'!K61+'ม.ค.-มี.ค.'!L61+'ม.ค.-มี.ค.'!M61+'ม.ค.-มี.ค.'!N61+'ม.ค.-มี.ค.'!O61+'ม.ค.-มี.ค.'!P61+'ม.ค.-มี.ค.'!Q61+'ม.ค.-มี.ค.'!R61+'ม.ค.-มี.ค.'!S61+'ม.ค.-มี.ค.'!U61+'ม.ค.-มี.ค.'!V61</f>
        <v>0</v>
      </c>
      <c r="F62" s="554">
        <f>+'เม.ย.-มิ.ย.'!E61+'เม.ย.-มิ.ย.'!F61+'เม.ย.-มิ.ย.'!G61+'เม.ย.-มิ.ย.'!H61+'เม.ย.-มิ.ย.'!I61+'เม.ย.-มิ.ย.'!M61+'เม.ย.-มิ.ย.'!N61+'เม.ย.-มิ.ย.'!P61+'เม.ย.-มิ.ย.'!R61+'เม.ย.-มิ.ย.'!S61</f>
        <v>0</v>
      </c>
      <c r="G62" s="561">
        <f>+ก.ค.!E61+ก.ค.!F61+ก.ค.!H61+ก.ค.!I61+ก.ค.!M61+ก.ค.!N61+ก.ค.!P61+ก.ค.!S61+ก.ค.!T61</f>
        <v>0</v>
      </c>
      <c r="H62" s="561">
        <f t="shared" si="12"/>
        <v>0</v>
      </c>
      <c r="I62" s="556">
        <f t="shared" si="11"/>
        <v>0</v>
      </c>
    </row>
    <row r="63" spans="1:13" ht="21.75" customHeight="1">
      <c r="A63" s="9"/>
      <c r="B63" s="130" t="s">
        <v>103</v>
      </c>
      <c r="C63" s="280">
        <f>10000-10000</f>
        <v>0</v>
      </c>
      <c r="D63" s="554">
        <f>+'ต.ค.-ธ.ค.'!E63+'ต.ค.-ธ.ค.'!F63+'ต.ค.-ธ.ค.'!H63+'ต.ค.-ธ.ค.'!I63+'ต.ค.-ธ.ค.'!M63+'ต.ค.-ธ.ค.'!Q63+'ต.ค.-ธ.ค.'!S63</f>
        <v>0</v>
      </c>
      <c r="E63" s="554">
        <f>+'ม.ค.-มี.ค.'!D62+'ม.ค.-มี.ค.'!E62+'ม.ค.-มี.ค.'!F62+'ม.ค.-มี.ค.'!G62+'ม.ค.-มี.ค.'!H62+'ม.ค.-มี.ค.'!I62+'ม.ค.-มี.ค.'!J62+'ม.ค.-มี.ค.'!K62+'ม.ค.-มี.ค.'!L62+'ม.ค.-มี.ค.'!M62+'ม.ค.-มี.ค.'!N62+'ม.ค.-มี.ค.'!O62+'ม.ค.-มี.ค.'!P62+'ม.ค.-มี.ค.'!Q62+'ม.ค.-มี.ค.'!R62+'ม.ค.-มี.ค.'!S62+'ม.ค.-มี.ค.'!U62+'ม.ค.-มี.ค.'!V62</f>
        <v>0</v>
      </c>
      <c r="F63" s="554">
        <f>+'เม.ย.-มิ.ย.'!E62+'เม.ย.-มิ.ย.'!F62+'เม.ย.-มิ.ย.'!G62+'เม.ย.-มิ.ย.'!H62+'เม.ย.-มิ.ย.'!I62+'เม.ย.-มิ.ย.'!M62+'เม.ย.-มิ.ย.'!N62+'เม.ย.-มิ.ย.'!P62+'เม.ย.-มิ.ย.'!R62+'เม.ย.-มิ.ย.'!S62</f>
        <v>0</v>
      </c>
      <c r="G63" s="561">
        <f>+ก.ค.!E62+ก.ค.!F62+ก.ค.!H62+ก.ค.!I62+ก.ค.!M62+ก.ค.!N62+ก.ค.!P62+ก.ค.!S62+ก.ค.!T62</f>
        <v>0</v>
      </c>
      <c r="H63" s="561">
        <f t="shared" si="12"/>
        <v>0</v>
      </c>
      <c r="I63" s="556">
        <f t="shared" si="11"/>
        <v>0</v>
      </c>
    </row>
    <row r="64" spans="1:13" ht="21.75" customHeight="1">
      <c r="A64" s="9"/>
      <c r="B64" s="187" t="s">
        <v>106</v>
      </c>
      <c r="C64" s="283">
        <f>200000+30000+30000+80000+19000+1000+10000+2500+2500+2500+2500+20000+15000+5000+14000+3000+7000</f>
        <v>444000</v>
      </c>
      <c r="D64" s="554">
        <f>+'ต.ค.-ธ.ค.'!E64+'ต.ค.-ธ.ค.'!F64+'ต.ค.-ธ.ค.'!H64+'ต.ค.-ธ.ค.'!I64+'ต.ค.-ธ.ค.'!M64+'ต.ค.-ธ.ค.'!Q64+'ต.ค.-ธ.ค.'!S64</f>
        <v>95072</v>
      </c>
      <c r="E64" s="554">
        <f>+'ม.ค.-มี.ค.'!D63+'ม.ค.-มี.ค.'!E63+'ม.ค.-มี.ค.'!F63+'ม.ค.-มี.ค.'!G63+'ม.ค.-มี.ค.'!H63+'ม.ค.-มี.ค.'!I63+'ม.ค.-มี.ค.'!J63+'ม.ค.-มี.ค.'!K63+'ม.ค.-มี.ค.'!L63+'ม.ค.-มี.ค.'!M63+'ม.ค.-มี.ค.'!N63+'ม.ค.-มี.ค.'!O63+'ม.ค.-มี.ค.'!P63+'ม.ค.-มี.ค.'!Q63+'ม.ค.-มี.ค.'!R63+'ม.ค.-มี.ค.'!S63+'ม.ค.-มี.ค.'!U63+'ม.ค.-มี.ค.'!V63</f>
        <v>69998</v>
      </c>
      <c r="F64" s="554">
        <f>+'เม.ย.-มิ.ย.'!E63+'เม.ย.-มิ.ย.'!F63+'เม.ย.-มิ.ย.'!G63+'เม.ย.-มิ.ย.'!H63+'เม.ย.-มิ.ย.'!I63+'เม.ย.-มิ.ย.'!M63+'เม.ย.-มิ.ย.'!N63+'เม.ย.-มิ.ย.'!P63+'เม.ย.-มิ.ย.'!R63+'เม.ย.-มิ.ย.'!S63</f>
        <v>174929</v>
      </c>
      <c r="G64" s="561">
        <f>+ก.ค.!E63+ก.ค.!F63+ก.ค.!H63+ก.ค.!I63+ก.ค.!M63+ก.ค.!N63+ก.ค.!P63+ก.ค.!S63+ก.ค.!T63</f>
        <v>45533</v>
      </c>
      <c r="H64" s="561">
        <f>SUM(D64:G64)</f>
        <v>385532</v>
      </c>
      <c r="I64" s="556">
        <f t="shared" si="11"/>
        <v>58468</v>
      </c>
    </row>
    <row r="65" spans="1:13" ht="21.75" customHeight="1">
      <c r="A65" s="9"/>
      <c r="B65" s="187" t="s">
        <v>231</v>
      </c>
      <c r="C65" s="283">
        <f>5000+8900-5000</f>
        <v>8900</v>
      </c>
      <c r="D65" s="554">
        <f>+'ต.ค.-ธ.ค.'!E65+'ต.ค.-ธ.ค.'!F65+'ต.ค.-ธ.ค.'!H65+'ต.ค.-ธ.ค.'!I65+'ต.ค.-ธ.ค.'!M65+'ต.ค.-ธ.ค.'!Q65+'ต.ค.-ธ.ค.'!S65</f>
        <v>7000</v>
      </c>
      <c r="E65" s="554">
        <f>+'ม.ค.-มี.ค.'!D64+'ม.ค.-มี.ค.'!E64+'ม.ค.-มี.ค.'!F64+'ม.ค.-มี.ค.'!G64+'ม.ค.-มี.ค.'!H64+'ม.ค.-มี.ค.'!I64+'ม.ค.-มี.ค.'!J64+'ม.ค.-มี.ค.'!K64+'ม.ค.-มี.ค.'!L64+'ม.ค.-มี.ค.'!M64+'ม.ค.-มี.ค.'!N64+'ม.ค.-มี.ค.'!O64+'ม.ค.-มี.ค.'!P64+'ม.ค.-มี.ค.'!Q64+'ม.ค.-มี.ค.'!R64+'ม.ค.-มี.ค.'!S64+'ม.ค.-มี.ค.'!U64+'ม.ค.-มี.ค.'!V64</f>
        <v>0</v>
      </c>
      <c r="F65" s="554">
        <f>+'เม.ย.-มิ.ย.'!E64+'เม.ย.-มิ.ย.'!F64+'เม.ย.-มิ.ย.'!G64+'เม.ย.-มิ.ย.'!H64+'เม.ย.-มิ.ย.'!I64+'เม.ย.-มิ.ย.'!M64+'เม.ย.-มิ.ย.'!N64+'เม.ย.-มิ.ย.'!P64+'เม.ย.-มิ.ย.'!R64+'เม.ย.-มิ.ย.'!S64</f>
        <v>0</v>
      </c>
      <c r="G65" s="561">
        <f>+ก.ค.!E64+ก.ค.!F64+ก.ค.!H64+ก.ค.!I64+ก.ค.!M64+ก.ค.!N64+ก.ค.!P64+ก.ค.!S64+ก.ค.!T64</f>
        <v>1600</v>
      </c>
      <c r="H65" s="561">
        <f t="shared" si="12"/>
        <v>8600</v>
      </c>
      <c r="I65" s="556">
        <f t="shared" si="11"/>
        <v>300</v>
      </c>
    </row>
    <row r="66" spans="1:13" ht="21.75" customHeight="1">
      <c r="A66" s="9"/>
      <c r="B66" s="187" t="s">
        <v>204</v>
      </c>
      <c r="C66" s="283">
        <v>5000</v>
      </c>
      <c r="D66" s="554">
        <f>+'ต.ค.-ธ.ค.'!E66+'ต.ค.-ธ.ค.'!F66+'ต.ค.-ธ.ค.'!H66+'ต.ค.-ธ.ค.'!I66+'ต.ค.-ธ.ค.'!M66+'ต.ค.-ธ.ค.'!Q66+'ต.ค.-ธ.ค.'!S66</f>
        <v>0</v>
      </c>
      <c r="E66" s="554">
        <f>+'ม.ค.-มี.ค.'!D65+'ม.ค.-มี.ค.'!E65+'ม.ค.-มี.ค.'!F65+'ม.ค.-มี.ค.'!G65+'ม.ค.-มี.ค.'!H65+'ม.ค.-มี.ค.'!I65+'ม.ค.-มี.ค.'!J65+'ม.ค.-มี.ค.'!K65+'ม.ค.-มี.ค.'!L65+'ม.ค.-มี.ค.'!M65+'ม.ค.-มี.ค.'!N65+'ม.ค.-มี.ค.'!O65+'ม.ค.-มี.ค.'!P65+'ม.ค.-มี.ค.'!Q65+'ม.ค.-มี.ค.'!R65+'ม.ค.-มี.ค.'!S65+'ม.ค.-มี.ค.'!U65+'ม.ค.-มี.ค.'!V65</f>
        <v>0</v>
      </c>
      <c r="F66" s="554">
        <f>+'เม.ย.-มิ.ย.'!E65+'เม.ย.-มิ.ย.'!F65+'เม.ย.-มิ.ย.'!G65+'เม.ย.-มิ.ย.'!H65+'เม.ย.-มิ.ย.'!I65+'เม.ย.-มิ.ย.'!M65+'เม.ย.-มิ.ย.'!N65+'เม.ย.-มิ.ย.'!P65+'เม.ย.-มิ.ย.'!R65+'เม.ย.-มิ.ย.'!S65</f>
        <v>0</v>
      </c>
      <c r="G66" s="561">
        <f>+ก.ค.!E65+ก.ค.!F65+ก.ค.!H65+ก.ค.!I65+ก.ค.!M65+ก.ค.!N65+ก.ค.!P65+ก.ค.!S65+ก.ค.!T65</f>
        <v>0</v>
      </c>
      <c r="H66" s="561">
        <f t="shared" si="12"/>
        <v>0</v>
      </c>
      <c r="I66" s="556">
        <f t="shared" si="11"/>
        <v>5000</v>
      </c>
    </row>
    <row r="67" spans="1:13" ht="21.75" customHeight="1">
      <c r="A67" s="9"/>
      <c r="B67" s="187" t="s">
        <v>232</v>
      </c>
      <c r="C67" s="283">
        <f>120000+100000-6400</f>
        <v>213600</v>
      </c>
      <c r="D67" s="554">
        <f>+'ต.ค.-ธ.ค.'!E67+'ต.ค.-ธ.ค.'!F67+'ต.ค.-ธ.ค.'!H67+'ต.ค.-ธ.ค.'!I67+'ต.ค.-ธ.ค.'!M67+'ต.ค.-ธ.ค.'!Q67+'ต.ค.-ธ.ค.'!S67</f>
        <v>0</v>
      </c>
      <c r="E67" s="554">
        <f>+'ม.ค.-มี.ค.'!D66+'ม.ค.-มี.ค.'!E66+'ม.ค.-มี.ค.'!F66+'ม.ค.-มี.ค.'!G66+'ม.ค.-มี.ค.'!H66+'ม.ค.-มี.ค.'!I66+'ม.ค.-มี.ค.'!J66+'ม.ค.-มี.ค.'!K66+'ม.ค.-มี.ค.'!L66+'ม.ค.-มี.ค.'!M66+'ม.ค.-มี.ค.'!N66+'ม.ค.-มี.ค.'!O66+'ม.ค.-มี.ค.'!P66+'ม.ค.-มี.ค.'!Q66+'ม.ค.-มี.ค.'!R66+'ม.ค.-มี.ค.'!S66+'ม.ค.-มี.ค.'!U66+'ม.ค.-มี.ค.'!V66</f>
        <v>157600</v>
      </c>
      <c r="F67" s="554">
        <f>+'เม.ย.-มิ.ย.'!E66+'เม.ย.-มิ.ย.'!F66+'เม.ย.-มิ.ย.'!G66+'เม.ย.-มิ.ย.'!H66+'เม.ย.-มิ.ย.'!I66+'เม.ย.-มิ.ย.'!M66+'เม.ย.-มิ.ย.'!N66+'เม.ย.-มิ.ย.'!P66+'เม.ย.-มิ.ย.'!R66+'เม.ย.-มิ.ย.'!S66</f>
        <v>56000</v>
      </c>
      <c r="G67" s="561">
        <f>+ก.ค.!E66+ก.ค.!F66+ก.ค.!H66+ก.ค.!I66+ก.ค.!M66+ก.ค.!N66+ก.ค.!P66+ก.ค.!S66+ก.ค.!T66</f>
        <v>0</v>
      </c>
      <c r="H67" s="561">
        <f t="shared" si="12"/>
        <v>213600</v>
      </c>
      <c r="I67" s="556">
        <f t="shared" si="11"/>
        <v>0</v>
      </c>
    </row>
    <row r="68" spans="1:13" ht="23.25" customHeight="1">
      <c r="A68" s="9"/>
      <c r="B68" s="187" t="s">
        <v>233</v>
      </c>
      <c r="C68" s="283">
        <f>125000-8900-16100-100000</f>
        <v>0</v>
      </c>
      <c r="D68" s="554">
        <f>+'ต.ค.-ธ.ค.'!E68+'ต.ค.-ธ.ค.'!F68+'ต.ค.-ธ.ค.'!H68+'ต.ค.-ธ.ค.'!I68+'ต.ค.-ธ.ค.'!M68+'ต.ค.-ธ.ค.'!Q68+'ต.ค.-ธ.ค.'!S68</f>
        <v>0</v>
      </c>
      <c r="E68" s="554">
        <f>+'ม.ค.-มี.ค.'!D67+'ม.ค.-มี.ค.'!E67+'ม.ค.-มี.ค.'!F67+'ม.ค.-มี.ค.'!G67+'ม.ค.-มี.ค.'!H67+'ม.ค.-มี.ค.'!I67+'ม.ค.-มี.ค.'!J67+'ม.ค.-มี.ค.'!K67+'ม.ค.-มี.ค.'!L67+'ม.ค.-มี.ค.'!M67+'ม.ค.-มี.ค.'!N67+'ม.ค.-มี.ค.'!O67+'ม.ค.-มี.ค.'!P67+'ม.ค.-มี.ค.'!Q67+'ม.ค.-มี.ค.'!R67+'ม.ค.-มี.ค.'!S67+'ม.ค.-มี.ค.'!U67+'ม.ค.-มี.ค.'!V67</f>
        <v>0</v>
      </c>
      <c r="F68" s="554">
        <f>+'เม.ย.-มิ.ย.'!E67+'เม.ย.-มิ.ย.'!F67+'เม.ย.-มิ.ย.'!G67+'เม.ย.-มิ.ย.'!H67+'เม.ย.-มิ.ย.'!I67+'เม.ย.-มิ.ย.'!M67+'เม.ย.-มิ.ย.'!N67+'เม.ย.-มิ.ย.'!P67+'เม.ย.-มิ.ย.'!R67+'เม.ย.-มิ.ย.'!S67</f>
        <v>0</v>
      </c>
      <c r="G68" s="561">
        <f>+ก.ค.!E67+ก.ค.!F67+ก.ค.!H67+ก.ค.!I67+ก.ค.!M67+ก.ค.!N67+ก.ค.!P67+ก.ค.!S67+ก.ค.!T67</f>
        <v>0</v>
      </c>
      <c r="H68" s="561">
        <f t="shared" si="12"/>
        <v>0</v>
      </c>
      <c r="I68" s="556">
        <f t="shared" si="11"/>
        <v>0</v>
      </c>
    </row>
    <row r="69" spans="1:13" ht="21.75" customHeight="1">
      <c r="A69" s="9"/>
      <c r="B69" s="187" t="s">
        <v>234</v>
      </c>
      <c r="C69" s="283">
        <f>5000-5000</f>
        <v>0</v>
      </c>
      <c r="D69" s="554">
        <f>+'ต.ค.-ธ.ค.'!E69+'ต.ค.-ธ.ค.'!F69+'ต.ค.-ธ.ค.'!H69+'ต.ค.-ธ.ค.'!I69+'ต.ค.-ธ.ค.'!M69+'ต.ค.-ธ.ค.'!Q69+'ต.ค.-ธ.ค.'!S69</f>
        <v>0</v>
      </c>
      <c r="E69" s="554">
        <f>+'ม.ค.-มี.ค.'!D68+'ม.ค.-มี.ค.'!E68+'ม.ค.-มี.ค.'!F68+'ม.ค.-มี.ค.'!G68+'ม.ค.-มี.ค.'!H68+'ม.ค.-มี.ค.'!I68+'ม.ค.-มี.ค.'!J68+'ม.ค.-มี.ค.'!K68+'ม.ค.-มี.ค.'!L68+'ม.ค.-มี.ค.'!M68+'ม.ค.-มี.ค.'!N68+'ม.ค.-มี.ค.'!O68+'ม.ค.-มี.ค.'!P68+'ม.ค.-มี.ค.'!Q68+'ม.ค.-มี.ค.'!R68+'ม.ค.-มี.ค.'!S68+'ม.ค.-มี.ค.'!U68+'ม.ค.-มี.ค.'!V68</f>
        <v>0</v>
      </c>
      <c r="F69" s="554">
        <f>+'เม.ย.-มิ.ย.'!E68+'เม.ย.-มิ.ย.'!F68+'เม.ย.-มิ.ย.'!G68+'เม.ย.-มิ.ย.'!H68+'เม.ย.-มิ.ย.'!I68+'เม.ย.-มิ.ย.'!M68+'เม.ย.-มิ.ย.'!N68+'เม.ย.-มิ.ย.'!P68+'เม.ย.-มิ.ย.'!R68+'เม.ย.-มิ.ย.'!S68</f>
        <v>0</v>
      </c>
      <c r="G69" s="561">
        <f>+ก.ค.!E68+ก.ค.!F68+ก.ค.!H68+ก.ค.!I68+ก.ค.!M68+ก.ค.!N68+ก.ค.!P68+ก.ค.!S68+ก.ค.!T68</f>
        <v>0</v>
      </c>
      <c r="H69" s="561">
        <f t="shared" si="12"/>
        <v>0</v>
      </c>
      <c r="I69" s="556">
        <f t="shared" si="11"/>
        <v>0</v>
      </c>
    </row>
    <row r="70" spans="1:13" ht="21.75" customHeight="1">
      <c r="A70" s="9"/>
      <c r="B70" s="187" t="s">
        <v>235</v>
      </c>
      <c r="C70" s="283">
        <f>90000-30000</f>
        <v>60000</v>
      </c>
      <c r="D70" s="554">
        <f>+'ต.ค.-ธ.ค.'!E70+'ต.ค.-ธ.ค.'!F70+'ต.ค.-ธ.ค.'!H70+'ต.ค.-ธ.ค.'!I70+'ต.ค.-ธ.ค.'!M70+'ต.ค.-ธ.ค.'!Q70+'ต.ค.-ธ.ค.'!S70</f>
        <v>0</v>
      </c>
      <c r="E70" s="554">
        <f>+'ม.ค.-มี.ค.'!D69+'ม.ค.-มี.ค.'!E69+'ม.ค.-มี.ค.'!F69+'ม.ค.-มี.ค.'!G69+'ม.ค.-มี.ค.'!H69+'ม.ค.-มี.ค.'!I69+'ม.ค.-มี.ค.'!J69+'ม.ค.-มี.ค.'!K69+'ม.ค.-มี.ค.'!L69+'ม.ค.-มี.ค.'!M69+'ม.ค.-มี.ค.'!N69+'ม.ค.-มี.ค.'!O69+'ม.ค.-มี.ค.'!P69+'ม.ค.-มี.ค.'!Q69+'ม.ค.-มี.ค.'!R69+'ม.ค.-มี.ค.'!S69+'ม.ค.-มี.ค.'!U69+'ม.ค.-มี.ค.'!V69</f>
        <v>0</v>
      </c>
      <c r="F70" s="554">
        <f>+'เม.ย.-มิ.ย.'!E69+'เม.ย.-มิ.ย.'!F69+'เม.ย.-มิ.ย.'!G69+'เม.ย.-มิ.ย.'!H69+'เม.ย.-มิ.ย.'!I69+'เม.ย.-มิ.ย.'!M69+'เม.ย.-มิ.ย.'!N69+'เม.ย.-มิ.ย.'!P69+'เม.ย.-มิ.ย.'!R69+'เม.ย.-มิ.ย.'!S69</f>
        <v>59500</v>
      </c>
      <c r="G70" s="561">
        <f>+ก.ค.!E69+ก.ค.!F69+ก.ค.!H69+ก.ค.!I69+ก.ค.!M69+ก.ค.!N69+ก.ค.!P69+ก.ค.!S69+ก.ค.!T69</f>
        <v>0</v>
      </c>
      <c r="H70" s="561">
        <f t="shared" si="12"/>
        <v>59500</v>
      </c>
      <c r="I70" s="556">
        <f t="shared" si="11"/>
        <v>500</v>
      </c>
    </row>
    <row r="71" spans="1:13" ht="21.75" customHeight="1">
      <c r="A71" s="9"/>
      <c r="B71" s="187" t="s">
        <v>236</v>
      </c>
      <c r="C71" s="283">
        <f>5000-5000</f>
        <v>0</v>
      </c>
      <c r="D71" s="554">
        <f>+'ต.ค.-ธ.ค.'!E71+'ต.ค.-ธ.ค.'!F71+'ต.ค.-ธ.ค.'!H71+'ต.ค.-ธ.ค.'!I71+'ต.ค.-ธ.ค.'!M71+'ต.ค.-ธ.ค.'!Q71+'ต.ค.-ธ.ค.'!S71</f>
        <v>0</v>
      </c>
      <c r="E71" s="554">
        <f>+'ม.ค.-มี.ค.'!D70+'ม.ค.-มี.ค.'!E70+'ม.ค.-มี.ค.'!F70+'ม.ค.-มี.ค.'!G70+'ม.ค.-มี.ค.'!H70+'ม.ค.-มี.ค.'!I70+'ม.ค.-มี.ค.'!J70+'ม.ค.-มี.ค.'!K70+'ม.ค.-มี.ค.'!L70+'ม.ค.-มี.ค.'!M70+'ม.ค.-มี.ค.'!N70+'ม.ค.-มี.ค.'!O70+'ม.ค.-มี.ค.'!P70+'ม.ค.-มี.ค.'!Q70+'ม.ค.-มี.ค.'!R70+'ม.ค.-มี.ค.'!S70+'ม.ค.-มี.ค.'!U70+'ม.ค.-มี.ค.'!V70</f>
        <v>0</v>
      </c>
      <c r="F71" s="554">
        <f>+'เม.ย.-มิ.ย.'!E70+'เม.ย.-มิ.ย.'!F70+'เม.ย.-มิ.ย.'!G70+'เม.ย.-มิ.ย.'!H70+'เม.ย.-มิ.ย.'!I70+'เม.ย.-มิ.ย.'!M70+'เม.ย.-มิ.ย.'!N70+'เม.ย.-มิ.ย.'!P70+'เม.ย.-มิ.ย.'!R70+'เม.ย.-มิ.ย.'!S70</f>
        <v>0</v>
      </c>
      <c r="G71" s="561">
        <f>+ก.ค.!E70+ก.ค.!F70+ก.ค.!H70+ก.ค.!I70+ก.ค.!M70+ก.ค.!N70+ก.ค.!P70+ก.ค.!S70+ก.ค.!T70</f>
        <v>0</v>
      </c>
      <c r="H71" s="561">
        <f t="shared" si="12"/>
        <v>0</v>
      </c>
      <c r="I71" s="556">
        <f t="shared" si="11"/>
        <v>0</v>
      </c>
    </row>
    <row r="72" spans="1:13" ht="21.75" customHeight="1">
      <c r="A72" s="9"/>
      <c r="B72" s="187" t="s">
        <v>237</v>
      </c>
      <c r="C72" s="283">
        <f>5000-5000</f>
        <v>0</v>
      </c>
      <c r="D72" s="554">
        <f>+'ต.ค.-ธ.ค.'!E72+'ต.ค.-ธ.ค.'!F72+'ต.ค.-ธ.ค.'!H72+'ต.ค.-ธ.ค.'!I72+'ต.ค.-ธ.ค.'!M72+'ต.ค.-ธ.ค.'!Q72+'ต.ค.-ธ.ค.'!S72</f>
        <v>0</v>
      </c>
      <c r="E72" s="554">
        <f>+'ม.ค.-มี.ค.'!D71+'ม.ค.-มี.ค.'!E71+'ม.ค.-มี.ค.'!F71+'ม.ค.-มี.ค.'!G71+'ม.ค.-มี.ค.'!H71+'ม.ค.-มี.ค.'!I71+'ม.ค.-มี.ค.'!J71+'ม.ค.-มี.ค.'!K71+'ม.ค.-มี.ค.'!L71+'ม.ค.-มี.ค.'!M71+'ม.ค.-มี.ค.'!N71+'ม.ค.-มี.ค.'!O71+'ม.ค.-มี.ค.'!P71+'ม.ค.-มี.ค.'!Q71+'ม.ค.-มี.ค.'!R71+'ม.ค.-มี.ค.'!S71+'ม.ค.-มี.ค.'!U71+'ม.ค.-มี.ค.'!V71</f>
        <v>0</v>
      </c>
      <c r="F72" s="554">
        <f>+'เม.ย.-มิ.ย.'!E71+'เม.ย.-มิ.ย.'!F71+'เม.ย.-มิ.ย.'!G71+'เม.ย.-มิ.ย.'!H71+'เม.ย.-มิ.ย.'!I71+'เม.ย.-มิ.ย.'!M71+'เม.ย.-มิ.ย.'!N71+'เม.ย.-มิ.ย.'!P71+'เม.ย.-มิ.ย.'!R71+'เม.ย.-มิ.ย.'!S71</f>
        <v>0</v>
      </c>
      <c r="G72" s="561">
        <f>+ก.ค.!E71+ก.ค.!F71+ก.ค.!H71+ก.ค.!I71+ก.ค.!M71+ก.ค.!N71+ก.ค.!P71+ก.ค.!S71+ก.ค.!T71</f>
        <v>0</v>
      </c>
      <c r="H72" s="561">
        <f t="shared" si="12"/>
        <v>0</v>
      </c>
      <c r="I72" s="556">
        <f t="shared" si="11"/>
        <v>0</v>
      </c>
    </row>
    <row r="73" spans="1:13" s="168" customFormat="1" ht="21.75" customHeight="1">
      <c r="A73" s="165"/>
      <c r="B73" s="226" t="s">
        <v>277</v>
      </c>
      <c r="C73" s="279">
        <f>5000-5000</f>
        <v>0</v>
      </c>
      <c r="D73" s="554">
        <f>+'ต.ค.-ธ.ค.'!E73+'ต.ค.-ธ.ค.'!F73+'ต.ค.-ธ.ค.'!H73+'ต.ค.-ธ.ค.'!I73+'ต.ค.-ธ.ค.'!M73+'ต.ค.-ธ.ค.'!Q73+'ต.ค.-ธ.ค.'!S73</f>
        <v>0</v>
      </c>
      <c r="E73" s="554">
        <f>+'ม.ค.-มี.ค.'!D72+'ม.ค.-มี.ค.'!E72+'ม.ค.-มี.ค.'!F72+'ม.ค.-มี.ค.'!G72+'ม.ค.-มี.ค.'!H72+'ม.ค.-มี.ค.'!I72+'ม.ค.-มี.ค.'!J72+'ม.ค.-มี.ค.'!K72+'ม.ค.-มี.ค.'!L72+'ม.ค.-มี.ค.'!M72+'ม.ค.-มี.ค.'!N72+'ม.ค.-มี.ค.'!O72+'ม.ค.-มี.ค.'!P72+'ม.ค.-มี.ค.'!Q72+'ม.ค.-มี.ค.'!R72+'ม.ค.-มี.ค.'!S72+'ม.ค.-มี.ค.'!U72+'ม.ค.-มี.ค.'!V72</f>
        <v>0</v>
      </c>
      <c r="F73" s="554">
        <f>+'เม.ย.-มิ.ย.'!E72+'เม.ย.-มิ.ย.'!F72+'เม.ย.-มิ.ย.'!G72+'เม.ย.-มิ.ย.'!H72+'เม.ย.-มิ.ย.'!I72+'เม.ย.-มิ.ย.'!M72+'เม.ย.-มิ.ย.'!N72+'เม.ย.-มิ.ย.'!P72+'เม.ย.-มิ.ย.'!R72+'เม.ย.-มิ.ย.'!S72</f>
        <v>0</v>
      </c>
      <c r="G73" s="561">
        <f>+ก.ค.!E72+ก.ค.!F72+ก.ค.!H72+ก.ค.!I72+ก.ค.!M72+ก.ค.!N72+ก.ค.!P72+ก.ค.!S72+ก.ค.!T72</f>
        <v>0</v>
      </c>
      <c r="H73" s="561">
        <f t="shared" si="12"/>
        <v>0</v>
      </c>
      <c r="I73" s="556">
        <f t="shared" si="11"/>
        <v>0</v>
      </c>
      <c r="J73" s="242"/>
      <c r="K73" s="331"/>
      <c r="L73" s="247"/>
      <c r="M73" s="247"/>
    </row>
    <row r="74" spans="1:13" s="168" customFormat="1" ht="21.75" customHeight="1">
      <c r="A74" s="165"/>
      <c r="B74" s="226" t="s">
        <v>107</v>
      </c>
      <c r="C74" s="279">
        <f>10000-7000-3000</f>
        <v>0</v>
      </c>
      <c r="D74" s="554">
        <f>+'ต.ค.-ธ.ค.'!E74+'ต.ค.-ธ.ค.'!F74+'ต.ค.-ธ.ค.'!H74+'ต.ค.-ธ.ค.'!I74+'ต.ค.-ธ.ค.'!M74+'ต.ค.-ธ.ค.'!Q74+'ต.ค.-ธ.ค.'!S74</f>
        <v>0</v>
      </c>
      <c r="E74" s="554">
        <f>+'ม.ค.-มี.ค.'!D73+'ม.ค.-มี.ค.'!E73+'ม.ค.-มี.ค.'!F73+'ม.ค.-มี.ค.'!G73+'ม.ค.-มี.ค.'!H73+'ม.ค.-มี.ค.'!I73+'ม.ค.-มี.ค.'!J73+'ม.ค.-มี.ค.'!K73+'ม.ค.-มี.ค.'!L73+'ม.ค.-มี.ค.'!M73+'ม.ค.-มี.ค.'!N73+'ม.ค.-มี.ค.'!O73+'ม.ค.-มี.ค.'!P73+'ม.ค.-มี.ค.'!Q73+'ม.ค.-มี.ค.'!R73+'ม.ค.-มี.ค.'!S73+'ม.ค.-มี.ค.'!U73+'ม.ค.-มี.ค.'!V73</f>
        <v>0</v>
      </c>
      <c r="F74" s="554">
        <f>+'เม.ย.-มิ.ย.'!E73+'เม.ย.-มิ.ย.'!F73+'เม.ย.-มิ.ย.'!G73+'เม.ย.-มิ.ย.'!H73+'เม.ย.-มิ.ย.'!I73+'เม.ย.-มิ.ย.'!M73+'เม.ย.-มิ.ย.'!N73+'เม.ย.-มิ.ย.'!P73+'เม.ย.-มิ.ย.'!R73+'เม.ย.-มิ.ย.'!S73</f>
        <v>0</v>
      </c>
      <c r="G74" s="561">
        <f>+ก.ค.!E73+ก.ค.!F73+ก.ค.!H73+ก.ค.!I73+ก.ค.!M73+ก.ค.!N73+ก.ค.!P73+ก.ค.!S73+ก.ค.!T73</f>
        <v>0</v>
      </c>
      <c r="H74" s="561">
        <f t="shared" si="12"/>
        <v>0</v>
      </c>
      <c r="I74" s="556">
        <f t="shared" si="11"/>
        <v>0</v>
      </c>
      <c r="J74" s="242"/>
      <c r="K74" s="331"/>
      <c r="L74" s="247"/>
      <c r="M74" s="247"/>
    </row>
    <row r="75" spans="1:13" ht="21.75" customHeight="1">
      <c r="A75" s="9"/>
      <c r="B75" s="226" t="s">
        <v>278</v>
      </c>
      <c r="C75" s="279">
        <f>10000-10000</f>
        <v>0</v>
      </c>
      <c r="D75" s="554">
        <f>+'ต.ค.-ธ.ค.'!E75+'ต.ค.-ธ.ค.'!F75+'ต.ค.-ธ.ค.'!H75+'ต.ค.-ธ.ค.'!I75+'ต.ค.-ธ.ค.'!M75+'ต.ค.-ธ.ค.'!Q75+'ต.ค.-ธ.ค.'!S75</f>
        <v>0</v>
      </c>
      <c r="E75" s="554">
        <f>+'ม.ค.-มี.ค.'!D74+'ม.ค.-มี.ค.'!E74+'ม.ค.-มี.ค.'!F74+'ม.ค.-มี.ค.'!G74+'ม.ค.-มี.ค.'!H74+'ม.ค.-มี.ค.'!I74+'ม.ค.-มี.ค.'!J74+'ม.ค.-มี.ค.'!K74+'ม.ค.-มี.ค.'!L74+'ม.ค.-มี.ค.'!M74+'ม.ค.-มี.ค.'!N74+'ม.ค.-มี.ค.'!O74+'ม.ค.-มี.ค.'!P74+'ม.ค.-มี.ค.'!Q74+'ม.ค.-มี.ค.'!R74+'ม.ค.-มี.ค.'!S74+'ม.ค.-มี.ค.'!U74+'ม.ค.-มี.ค.'!V74</f>
        <v>0</v>
      </c>
      <c r="F75" s="554">
        <f>+'เม.ย.-มิ.ย.'!E74+'เม.ย.-มิ.ย.'!F74+'เม.ย.-มิ.ย.'!G74+'เม.ย.-มิ.ย.'!H74+'เม.ย.-มิ.ย.'!I74+'เม.ย.-มิ.ย.'!M74+'เม.ย.-มิ.ย.'!N74+'เม.ย.-มิ.ย.'!P74+'เม.ย.-มิ.ย.'!R74+'เม.ย.-มิ.ย.'!S74</f>
        <v>0</v>
      </c>
      <c r="G75" s="561">
        <f>+ก.ค.!E74+ก.ค.!F74+ก.ค.!H74+ก.ค.!I74+ก.ค.!M74+ก.ค.!N74+ก.ค.!P74+ก.ค.!S74+ก.ค.!T74</f>
        <v>0</v>
      </c>
      <c r="H75" s="561">
        <f t="shared" si="12"/>
        <v>0</v>
      </c>
      <c r="I75" s="556">
        <f t="shared" si="11"/>
        <v>0</v>
      </c>
    </row>
    <row r="76" spans="1:13" s="168" customFormat="1" ht="21.75" customHeight="1">
      <c r="A76" s="165"/>
      <c r="B76" s="226" t="s">
        <v>279</v>
      </c>
      <c r="C76" s="279">
        <f>10000-5000</f>
        <v>5000</v>
      </c>
      <c r="D76" s="554">
        <f>+'ต.ค.-ธ.ค.'!E76+'ต.ค.-ธ.ค.'!F76+'ต.ค.-ธ.ค.'!H76+'ต.ค.-ธ.ค.'!I76+'ต.ค.-ธ.ค.'!M76+'ต.ค.-ธ.ค.'!Q76+'ต.ค.-ธ.ค.'!S76</f>
        <v>0</v>
      </c>
      <c r="E76" s="554">
        <f>+'ม.ค.-มี.ค.'!D75+'ม.ค.-มี.ค.'!E75+'ม.ค.-มี.ค.'!F75+'ม.ค.-มี.ค.'!G75+'ม.ค.-มี.ค.'!H75+'ม.ค.-มี.ค.'!I75+'ม.ค.-มี.ค.'!J75+'ม.ค.-มี.ค.'!K75+'ม.ค.-มี.ค.'!L75+'ม.ค.-มี.ค.'!M75+'ม.ค.-มี.ค.'!N75+'ม.ค.-มี.ค.'!O75+'ม.ค.-มี.ค.'!P75+'ม.ค.-มี.ค.'!Q75+'ม.ค.-มี.ค.'!R75+'ม.ค.-มี.ค.'!S75+'ม.ค.-มี.ค.'!U75+'ม.ค.-มี.ค.'!V75</f>
        <v>0</v>
      </c>
      <c r="F76" s="554">
        <f>+'เม.ย.-มิ.ย.'!E75+'เม.ย.-มิ.ย.'!F75+'เม.ย.-มิ.ย.'!G75+'เม.ย.-มิ.ย.'!H75+'เม.ย.-มิ.ย.'!I75+'เม.ย.-มิ.ย.'!M75+'เม.ย.-มิ.ย.'!N75+'เม.ย.-มิ.ย.'!P75+'เม.ย.-มิ.ย.'!R75+'เม.ย.-มิ.ย.'!S75</f>
        <v>0</v>
      </c>
      <c r="G76" s="561">
        <f>+ก.ค.!E75+ก.ค.!F75+ก.ค.!H75+ก.ค.!I75+ก.ค.!M75+ก.ค.!N75+ก.ค.!P75+ก.ค.!S75+ก.ค.!T75</f>
        <v>0</v>
      </c>
      <c r="H76" s="561">
        <f t="shared" si="12"/>
        <v>0</v>
      </c>
      <c r="I76" s="556">
        <f t="shared" si="11"/>
        <v>5000</v>
      </c>
      <c r="J76" s="233"/>
      <c r="K76" s="331"/>
      <c r="L76" s="247"/>
      <c r="M76" s="247"/>
    </row>
    <row r="77" spans="1:13" ht="21.75" customHeight="1">
      <c r="A77" s="9"/>
      <c r="B77" s="226" t="s">
        <v>280</v>
      </c>
      <c r="C77" s="279">
        <f>10000-5000</f>
        <v>5000</v>
      </c>
      <c r="D77" s="554">
        <f>+'ต.ค.-ธ.ค.'!E77+'ต.ค.-ธ.ค.'!F77+'ต.ค.-ธ.ค.'!H77+'ต.ค.-ธ.ค.'!I77+'ต.ค.-ธ.ค.'!M77+'ต.ค.-ธ.ค.'!Q77+'ต.ค.-ธ.ค.'!S77</f>
        <v>0</v>
      </c>
      <c r="E77" s="554">
        <f>+'ม.ค.-มี.ค.'!D76+'ม.ค.-มี.ค.'!E76+'ม.ค.-มี.ค.'!F76+'ม.ค.-มี.ค.'!G76+'ม.ค.-มี.ค.'!H76+'ม.ค.-มี.ค.'!I76+'ม.ค.-มี.ค.'!J76+'ม.ค.-มี.ค.'!K76+'ม.ค.-มี.ค.'!L76+'ม.ค.-มี.ค.'!M76+'ม.ค.-มี.ค.'!N76+'ม.ค.-มี.ค.'!O76+'ม.ค.-มี.ค.'!P76+'ม.ค.-มี.ค.'!Q76+'ม.ค.-มี.ค.'!R76+'ม.ค.-มี.ค.'!S76+'ม.ค.-มี.ค.'!U76+'ม.ค.-มี.ค.'!V76</f>
        <v>0</v>
      </c>
      <c r="F77" s="554">
        <f>+'เม.ย.-มิ.ย.'!E76+'เม.ย.-มิ.ย.'!F76+'เม.ย.-มิ.ย.'!G76+'เม.ย.-มิ.ย.'!H76+'เม.ย.-มิ.ย.'!I76+'เม.ย.-มิ.ย.'!M76+'เม.ย.-มิ.ย.'!N76+'เม.ย.-มิ.ย.'!P76+'เม.ย.-มิ.ย.'!R76+'เม.ย.-มิ.ย.'!S76</f>
        <v>0</v>
      </c>
      <c r="G77" s="561">
        <f>+ก.ค.!E76+ก.ค.!F76+ก.ค.!H76+ก.ค.!I76+ก.ค.!M76+ก.ค.!N76+ก.ค.!P76+ก.ค.!S76+ก.ค.!T76</f>
        <v>0</v>
      </c>
      <c r="H77" s="561">
        <f t="shared" si="12"/>
        <v>0</v>
      </c>
      <c r="I77" s="556">
        <f t="shared" si="11"/>
        <v>5000</v>
      </c>
      <c r="J77" s="244"/>
    </row>
    <row r="78" spans="1:13" ht="21.75" customHeight="1">
      <c r="A78" s="9"/>
      <c r="B78" s="226" t="s">
        <v>281</v>
      </c>
      <c r="C78" s="279">
        <f>5000-5000</f>
        <v>0</v>
      </c>
      <c r="D78" s="554">
        <f>+'ต.ค.-ธ.ค.'!E78+'ต.ค.-ธ.ค.'!F78+'ต.ค.-ธ.ค.'!H78+'ต.ค.-ธ.ค.'!I78+'ต.ค.-ธ.ค.'!M78+'ต.ค.-ธ.ค.'!Q78+'ต.ค.-ธ.ค.'!S78</f>
        <v>0</v>
      </c>
      <c r="E78" s="554">
        <f>+'ม.ค.-มี.ค.'!D77+'ม.ค.-มี.ค.'!E77+'ม.ค.-มี.ค.'!F77+'ม.ค.-มี.ค.'!G77+'ม.ค.-มี.ค.'!H77+'ม.ค.-มี.ค.'!I77+'ม.ค.-มี.ค.'!J77+'ม.ค.-มี.ค.'!K77+'ม.ค.-มี.ค.'!L77+'ม.ค.-มี.ค.'!M77+'ม.ค.-มี.ค.'!N77+'ม.ค.-มี.ค.'!O77+'ม.ค.-มี.ค.'!P77+'ม.ค.-มี.ค.'!Q77+'ม.ค.-มี.ค.'!R77+'ม.ค.-มี.ค.'!S77+'ม.ค.-มี.ค.'!U77+'ม.ค.-มี.ค.'!V77</f>
        <v>0</v>
      </c>
      <c r="F78" s="554">
        <f>+'เม.ย.-มิ.ย.'!E77+'เม.ย.-มิ.ย.'!F77+'เม.ย.-มิ.ย.'!G77+'เม.ย.-มิ.ย.'!H77+'เม.ย.-มิ.ย.'!I77+'เม.ย.-มิ.ย.'!M77+'เม.ย.-มิ.ย.'!N77+'เม.ย.-มิ.ย.'!P77+'เม.ย.-มิ.ย.'!R77+'เม.ย.-มิ.ย.'!S77</f>
        <v>0</v>
      </c>
      <c r="G78" s="561">
        <f>+ก.ค.!E77+ก.ค.!F77+ก.ค.!H77+ก.ค.!I77+ก.ค.!M77+ก.ค.!N77+ก.ค.!P77+ก.ค.!S77+ก.ค.!T77</f>
        <v>0</v>
      </c>
      <c r="H78" s="561">
        <f t="shared" si="12"/>
        <v>0</v>
      </c>
      <c r="I78" s="556">
        <f t="shared" si="11"/>
        <v>0</v>
      </c>
    </row>
    <row r="79" spans="1:13" ht="21.75" customHeight="1">
      <c r="A79" s="9"/>
      <c r="B79" s="226" t="s">
        <v>282</v>
      </c>
      <c r="C79" s="279">
        <v>5000</v>
      </c>
      <c r="D79" s="554">
        <f>+'ต.ค.-ธ.ค.'!E79+'ต.ค.-ธ.ค.'!F79+'ต.ค.-ธ.ค.'!H79+'ต.ค.-ธ.ค.'!I79+'ต.ค.-ธ.ค.'!M79+'ต.ค.-ธ.ค.'!Q79+'ต.ค.-ธ.ค.'!S79</f>
        <v>0</v>
      </c>
      <c r="E79" s="554">
        <f>+'ม.ค.-มี.ค.'!D78+'ม.ค.-มี.ค.'!E78+'ม.ค.-มี.ค.'!F78+'ม.ค.-มี.ค.'!G78+'ม.ค.-มี.ค.'!H78+'ม.ค.-มี.ค.'!I78+'ม.ค.-มี.ค.'!J78+'ม.ค.-มี.ค.'!K78+'ม.ค.-มี.ค.'!L78+'ม.ค.-มี.ค.'!M78+'ม.ค.-มี.ค.'!N78+'ม.ค.-มี.ค.'!O78+'ม.ค.-มี.ค.'!P78+'ม.ค.-มี.ค.'!Q78+'ม.ค.-มี.ค.'!R78+'ม.ค.-มี.ค.'!S78+'ม.ค.-มี.ค.'!U78+'ม.ค.-มี.ค.'!V78</f>
        <v>0</v>
      </c>
      <c r="F79" s="554">
        <f>+'เม.ย.-มิ.ย.'!E78+'เม.ย.-มิ.ย.'!F78+'เม.ย.-มิ.ย.'!G78+'เม.ย.-มิ.ย.'!H78+'เม.ย.-มิ.ย.'!I78+'เม.ย.-มิ.ย.'!M78+'เม.ย.-มิ.ย.'!N78+'เม.ย.-มิ.ย.'!P78+'เม.ย.-มิ.ย.'!R78+'เม.ย.-มิ.ย.'!S78</f>
        <v>0</v>
      </c>
      <c r="G79" s="561">
        <f>+ก.ค.!E78+ก.ค.!F78+ก.ค.!H78+ก.ค.!I78+ก.ค.!M78+ก.ค.!N78+ก.ค.!P78+ก.ค.!S78+ก.ค.!T78</f>
        <v>0</v>
      </c>
      <c r="H79" s="561">
        <f t="shared" si="12"/>
        <v>0</v>
      </c>
      <c r="I79" s="556">
        <f t="shared" si="11"/>
        <v>5000</v>
      </c>
    </row>
    <row r="80" spans="1:13" ht="21.75" customHeight="1">
      <c r="A80" s="9"/>
      <c r="B80" s="226" t="s">
        <v>238</v>
      </c>
      <c r="C80" s="279">
        <f>70000+40000+10000+20000+30000+10000+10000+12000+5000+5000</f>
        <v>212000</v>
      </c>
      <c r="D80" s="554">
        <f>+'ต.ค.-ธ.ค.'!E80+'ต.ค.-ธ.ค.'!F80+'ต.ค.-ธ.ค.'!H80+'ต.ค.-ธ.ค.'!I80+'ต.ค.-ธ.ค.'!M80+'ต.ค.-ธ.ค.'!Q80+'ต.ค.-ธ.ค.'!S80</f>
        <v>75076</v>
      </c>
      <c r="E80" s="554">
        <f>+'ม.ค.-มี.ค.'!D79+'ม.ค.-มี.ค.'!E79+'ม.ค.-มี.ค.'!F79+'ม.ค.-มี.ค.'!G79+'ม.ค.-มี.ค.'!H79+'ม.ค.-มี.ค.'!I79+'ม.ค.-มี.ค.'!J79+'ม.ค.-มี.ค.'!K79+'ม.ค.-มี.ค.'!L79+'ม.ค.-มี.ค.'!M79+'ม.ค.-มี.ค.'!N79+'ม.ค.-มี.ค.'!O79+'ม.ค.-มี.ค.'!P79+'ม.ค.-มี.ค.'!Q79+'ม.ค.-มี.ค.'!R79+'ม.ค.-มี.ค.'!S79+'ม.ค.-มี.ค.'!U79+'ม.ค.-มี.ค.'!V79</f>
        <v>16140</v>
      </c>
      <c r="F80" s="554">
        <f>+'เม.ย.-มิ.ย.'!E79+'เม.ย.-มิ.ย.'!F79+'เม.ย.-มิ.ย.'!G79+'เม.ย.-มิ.ย.'!H79+'เม.ย.-มิ.ย.'!I79+'เม.ย.-มิ.ย.'!M79+'เม.ย.-มิ.ย.'!N79+'เม.ย.-มิ.ย.'!P79+'เม.ย.-มิ.ย.'!R79+'เม.ย.-มิ.ย.'!S79</f>
        <v>39627.040000000001</v>
      </c>
      <c r="G80" s="561">
        <f>+ก.ค.!E79+ก.ค.!F79+ก.ค.!H79+ก.ค.!I79+ก.ค.!M79+ก.ค.!N79+ก.ค.!P79+ก.ค.!S79+ก.ค.!T79</f>
        <v>16041</v>
      </c>
      <c r="H80" s="561">
        <f t="shared" si="12"/>
        <v>146884.04</v>
      </c>
      <c r="I80" s="556">
        <f t="shared" si="11"/>
        <v>65115.959999999992</v>
      </c>
    </row>
    <row r="81" spans="1:9" ht="21.75" customHeight="1">
      <c r="A81" s="9"/>
      <c r="B81" s="226" t="s">
        <v>121</v>
      </c>
      <c r="C81" s="279">
        <f>100000+47000+3000-140000+40000</f>
        <v>50000</v>
      </c>
      <c r="D81" s="554">
        <f>+'ต.ค.-ธ.ค.'!E81+'ต.ค.-ธ.ค.'!F81+'ต.ค.-ธ.ค.'!H81+'ต.ค.-ธ.ค.'!I81+'ต.ค.-ธ.ค.'!M81+'ต.ค.-ธ.ค.'!Q81+'ต.ค.-ธ.ค.'!S81</f>
        <v>0</v>
      </c>
      <c r="E81" s="554">
        <f>+'ม.ค.-มี.ค.'!D80+'ม.ค.-มี.ค.'!E80+'ม.ค.-มี.ค.'!F80+'ม.ค.-มี.ค.'!G80+'ม.ค.-มี.ค.'!H80+'ม.ค.-มี.ค.'!I80+'ม.ค.-มี.ค.'!J80+'ม.ค.-มี.ค.'!K80+'ม.ค.-มี.ค.'!L80+'ม.ค.-มี.ค.'!M80+'ม.ค.-มี.ค.'!N80+'ม.ค.-มี.ค.'!O80+'ม.ค.-มี.ค.'!P80+'ม.ค.-มี.ค.'!Q80+'ม.ค.-มี.ค.'!R80+'ม.ค.-มี.ค.'!S80+'ม.ค.-มี.ค.'!U80+'ม.ค.-มี.ค.'!V80</f>
        <v>0</v>
      </c>
      <c r="F81" s="554">
        <f>+'เม.ย.-มิ.ย.'!E80+'เม.ย.-มิ.ย.'!F80+'เม.ย.-มิ.ย.'!G80+'เม.ย.-มิ.ย.'!H80+'เม.ย.-มิ.ย.'!I80+'เม.ย.-มิ.ย.'!M80+'เม.ย.-มิ.ย.'!N80+'เม.ย.-มิ.ย.'!P80+'เม.ย.-มิ.ย.'!R80+'เม.ย.-มิ.ย.'!S80</f>
        <v>23586</v>
      </c>
      <c r="G81" s="561">
        <f>+ก.ค.!E80+ก.ค.!F80+ก.ค.!H80+ก.ค.!I80+ก.ค.!M80+ก.ค.!N80+ก.ค.!P80+ก.ค.!S80+ก.ค.!T80</f>
        <v>0</v>
      </c>
      <c r="H81" s="561">
        <f t="shared" si="12"/>
        <v>23586</v>
      </c>
      <c r="I81" s="556">
        <f t="shared" si="11"/>
        <v>26414</v>
      </c>
    </row>
    <row r="82" spans="1:9" ht="21.75" customHeight="1">
      <c r="A82" s="9"/>
      <c r="B82" s="226" t="s">
        <v>295</v>
      </c>
      <c r="C82" s="279">
        <f>40000+50000+21600</f>
        <v>111600</v>
      </c>
      <c r="D82" s="554">
        <f>+'ต.ค.-ธ.ค.'!E82+'ต.ค.-ธ.ค.'!F82+'ต.ค.-ธ.ค.'!H82+'ต.ค.-ธ.ค.'!I82+'ต.ค.-ธ.ค.'!M82+'ต.ค.-ธ.ค.'!Q82+'ต.ค.-ธ.ค.'!S82</f>
        <v>0</v>
      </c>
      <c r="E82" s="554">
        <f>+'ม.ค.-มี.ค.'!D81+'ม.ค.-มี.ค.'!E81+'ม.ค.-มี.ค.'!F81+'ม.ค.-มี.ค.'!G81+'ม.ค.-มี.ค.'!H81+'ม.ค.-มี.ค.'!I81+'ม.ค.-มี.ค.'!J81+'ม.ค.-มี.ค.'!K81+'ม.ค.-มี.ค.'!L81+'ม.ค.-มี.ค.'!M81+'ม.ค.-มี.ค.'!N81+'ม.ค.-มี.ค.'!O81+'ม.ค.-มี.ค.'!P81+'ม.ค.-มี.ค.'!Q81+'ม.ค.-มี.ค.'!R81+'ม.ค.-มี.ค.'!S81+'ม.ค.-มี.ค.'!U81+'ม.ค.-มี.ค.'!V81</f>
        <v>81290</v>
      </c>
      <c r="F82" s="554">
        <f>+'เม.ย.-มิ.ย.'!E81+'เม.ย.-มิ.ย.'!F81+'เม.ย.-มิ.ย.'!G81+'เม.ย.-มิ.ย.'!H81+'เม.ย.-มิ.ย.'!I81+'เม.ย.-มิ.ย.'!M81+'เม.ย.-มิ.ย.'!N81+'เม.ย.-มิ.ย.'!P81+'เม.ย.-มิ.ย.'!R81+'เม.ย.-มิ.ย.'!S81</f>
        <v>4918</v>
      </c>
      <c r="G82" s="561">
        <f>+ก.ค.!E81+ก.ค.!F81+ก.ค.!H81+ก.ค.!I81+ก.ค.!M81+ก.ค.!N81+ก.ค.!P81+ก.ค.!S81+ก.ค.!T81</f>
        <v>0</v>
      </c>
      <c r="H82" s="561">
        <f t="shared" si="12"/>
        <v>86208</v>
      </c>
      <c r="I82" s="556">
        <f t="shared" si="11"/>
        <v>25392</v>
      </c>
    </row>
    <row r="83" spans="1:9" ht="21.75" customHeight="1">
      <c r="A83" s="9"/>
      <c r="B83" s="226" t="s">
        <v>296</v>
      </c>
      <c r="C83" s="279">
        <v>30000</v>
      </c>
      <c r="D83" s="554">
        <f>+'ต.ค.-ธ.ค.'!E83+'ต.ค.-ธ.ค.'!F83+'ต.ค.-ธ.ค.'!H83+'ต.ค.-ธ.ค.'!I83+'ต.ค.-ธ.ค.'!M83+'ต.ค.-ธ.ค.'!Q83+'ต.ค.-ธ.ค.'!S83</f>
        <v>0</v>
      </c>
      <c r="E83" s="554">
        <f>+'ม.ค.-มี.ค.'!D82+'ม.ค.-มี.ค.'!E82+'ม.ค.-มี.ค.'!F82+'ม.ค.-มี.ค.'!G82+'ม.ค.-มี.ค.'!H82+'ม.ค.-มี.ค.'!I82+'ม.ค.-มี.ค.'!J82+'ม.ค.-มี.ค.'!K82+'ม.ค.-มี.ค.'!L82+'ม.ค.-มี.ค.'!M82+'ม.ค.-มี.ค.'!N82+'ม.ค.-มี.ค.'!O82+'ม.ค.-มี.ค.'!P82+'ม.ค.-มี.ค.'!Q82+'ม.ค.-มี.ค.'!R82+'ม.ค.-มี.ค.'!S82+'ม.ค.-มี.ค.'!U82+'ม.ค.-มี.ค.'!V82</f>
        <v>14920</v>
      </c>
      <c r="F83" s="554">
        <f>+'เม.ย.-มิ.ย.'!E82+'เม.ย.-มิ.ย.'!F82+'เม.ย.-มิ.ย.'!G82+'เม.ย.-มิ.ย.'!H82+'เม.ย.-มิ.ย.'!I82+'เม.ย.-มิ.ย.'!M82+'เม.ย.-มิ.ย.'!N82+'เม.ย.-มิ.ย.'!P82+'เม.ย.-มิ.ย.'!R82+'เม.ย.-มิ.ย.'!S82</f>
        <v>14770</v>
      </c>
      <c r="G83" s="561">
        <f>+ก.ค.!E82+ก.ค.!F82+ก.ค.!H82+ก.ค.!I82+ก.ค.!M82+ก.ค.!N82+ก.ค.!P82+ก.ค.!S82+ก.ค.!T82</f>
        <v>0</v>
      </c>
      <c r="H83" s="561">
        <f t="shared" si="12"/>
        <v>29690</v>
      </c>
      <c r="I83" s="556">
        <f t="shared" si="11"/>
        <v>310</v>
      </c>
    </row>
    <row r="84" spans="1:9" ht="21.75" customHeight="1">
      <c r="A84" s="9"/>
      <c r="B84" s="226" t="s">
        <v>210</v>
      </c>
      <c r="C84" s="279">
        <f>10000-10000</f>
        <v>0</v>
      </c>
      <c r="D84" s="554">
        <f>+'ต.ค.-ธ.ค.'!E84+'ต.ค.-ธ.ค.'!F84+'ต.ค.-ธ.ค.'!H84+'ต.ค.-ธ.ค.'!I84+'ต.ค.-ธ.ค.'!M84+'ต.ค.-ธ.ค.'!Q84+'ต.ค.-ธ.ค.'!S84</f>
        <v>0</v>
      </c>
      <c r="E84" s="554">
        <f>+'ม.ค.-มี.ค.'!D83+'ม.ค.-มี.ค.'!E83+'ม.ค.-มี.ค.'!F83+'ม.ค.-มี.ค.'!G83+'ม.ค.-มี.ค.'!H83+'ม.ค.-มี.ค.'!I83+'ม.ค.-มี.ค.'!J83+'ม.ค.-มี.ค.'!K83+'ม.ค.-มี.ค.'!L83+'ม.ค.-มี.ค.'!M83+'ม.ค.-มี.ค.'!N83+'ม.ค.-มี.ค.'!O83+'ม.ค.-มี.ค.'!P83+'ม.ค.-มี.ค.'!Q83+'ม.ค.-มี.ค.'!R83+'ม.ค.-มี.ค.'!S83+'ม.ค.-มี.ค.'!U83+'ม.ค.-มี.ค.'!V83</f>
        <v>0</v>
      </c>
      <c r="F84" s="554">
        <f>+'เม.ย.-มิ.ย.'!E83+'เม.ย.-มิ.ย.'!F83+'เม.ย.-มิ.ย.'!G83+'เม.ย.-มิ.ย.'!H83+'เม.ย.-มิ.ย.'!I83+'เม.ย.-มิ.ย.'!M83+'เม.ย.-มิ.ย.'!N83+'เม.ย.-มิ.ย.'!P83+'เม.ย.-มิ.ย.'!R83+'เม.ย.-มิ.ย.'!S83</f>
        <v>0</v>
      </c>
      <c r="G84" s="561">
        <f>+ก.ค.!E83+ก.ค.!F83+ก.ค.!H83+ก.ค.!I83+ก.ค.!M83+ก.ค.!N83+ก.ค.!P83+ก.ค.!S83+ก.ค.!T83</f>
        <v>0</v>
      </c>
      <c r="H84" s="561">
        <f t="shared" si="12"/>
        <v>0</v>
      </c>
      <c r="I84" s="556">
        <f t="shared" si="11"/>
        <v>0</v>
      </c>
    </row>
    <row r="85" spans="1:9" ht="21.75" customHeight="1">
      <c r="A85" s="9"/>
      <c r="B85" s="187" t="s">
        <v>297</v>
      </c>
      <c r="C85" s="279">
        <f>20000-20000</f>
        <v>0</v>
      </c>
      <c r="D85" s="554">
        <f>+'ต.ค.-ธ.ค.'!E85+'ต.ค.-ธ.ค.'!F85+'ต.ค.-ธ.ค.'!H85+'ต.ค.-ธ.ค.'!I85+'ต.ค.-ธ.ค.'!M85+'ต.ค.-ธ.ค.'!Q85+'ต.ค.-ธ.ค.'!S85</f>
        <v>0</v>
      </c>
      <c r="E85" s="554">
        <f>+'ม.ค.-มี.ค.'!D84+'ม.ค.-มี.ค.'!E84+'ม.ค.-มี.ค.'!F84+'ม.ค.-มี.ค.'!G84+'ม.ค.-มี.ค.'!H84+'ม.ค.-มี.ค.'!I84+'ม.ค.-มี.ค.'!J84+'ม.ค.-มี.ค.'!K84+'ม.ค.-มี.ค.'!L84+'ม.ค.-มี.ค.'!M84+'ม.ค.-มี.ค.'!N84+'ม.ค.-มี.ค.'!O84+'ม.ค.-มี.ค.'!P84+'ม.ค.-มี.ค.'!Q84+'ม.ค.-มี.ค.'!R84+'ม.ค.-มี.ค.'!S84+'ม.ค.-มี.ค.'!U84+'ม.ค.-มี.ค.'!V84</f>
        <v>0</v>
      </c>
      <c r="F85" s="554">
        <f>+'เม.ย.-มิ.ย.'!E84+'เม.ย.-มิ.ย.'!F84+'เม.ย.-มิ.ย.'!G84+'เม.ย.-มิ.ย.'!H84+'เม.ย.-มิ.ย.'!I84+'เม.ย.-มิ.ย.'!M84+'เม.ย.-มิ.ย.'!N84+'เม.ย.-มิ.ย.'!P84+'เม.ย.-มิ.ย.'!R84+'เม.ย.-มิ.ย.'!S84</f>
        <v>0</v>
      </c>
      <c r="G85" s="561">
        <f>+ก.ค.!E84+ก.ค.!F84+ก.ค.!H84+ก.ค.!I84+ก.ค.!M84+ก.ค.!N84+ก.ค.!P84+ก.ค.!S84+ก.ค.!T84</f>
        <v>0</v>
      </c>
      <c r="H85" s="561">
        <f t="shared" si="12"/>
        <v>0</v>
      </c>
      <c r="I85" s="556">
        <f t="shared" si="11"/>
        <v>0</v>
      </c>
    </row>
    <row r="86" spans="1:9" ht="21.75" customHeight="1">
      <c r="A86" s="9"/>
      <c r="B86" s="187" t="s">
        <v>298</v>
      </c>
      <c r="C86" s="279">
        <v>20000</v>
      </c>
      <c r="D86" s="554">
        <f>+'ต.ค.-ธ.ค.'!E86+'ต.ค.-ธ.ค.'!F86+'ต.ค.-ธ.ค.'!H86+'ต.ค.-ธ.ค.'!I86+'ต.ค.-ธ.ค.'!M86+'ต.ค.-ธ.ค.'!Q86+'ต.ค.-ธ.ค.'!S86</f>
        <v>0</v>
      </c>
      <c r="E86" s="554">
        <f>+'ม.ค.-มี.ค.'!D85+'ม.ค.-มี.ค.'!E85+'ม.ค.-มี.ค.'!F85+'ม.ค.-มี.ค.'!G85+'ม.ค.-มี.ค.'!H85+'ม.ค.-มี.ค.'!I85+'ม.ค.-มี.ค.'!J85+'ม.ค.-มี.ค.'!K85+'ม.ค.-มี.ค.'!L85+'ม.ค.-มี.ค.'!M85+'ม.ค.-มี.ค.'!N85+'ม.ค.-มี.ค.'!O85+'ม.ค.-มี.ค.'!P85+'ม.ค.-มี.ค.'!Q85+'ม.ค.-มี.ค.'!R85+'ม.ค.-มี.ค.'!S85+'ม.ค.-มี.ค.'!U85+'ม.ค.-มี.ค.'!V85</f>
        <v>0</v>
      </c>
      <c r="F86" s="554">
        <f>+'เม.ย.-มิ.ย.'!E85+'เม.ย.-มิ.ย.'!F85+'เม.ย.-มิ.ย.'!G85+'เม.ย.-มิ.ย.'!H85+'เม.ย.-มิ.ย.'!I85+'เม.ย.-มิ.ย.'!M85+'เม.ย.-มิ.ย.'!N85+'เม.ย.-มิ.ย.'!P85+'เม.ย.-มิ.ย.'!R85+'เม.ย.-มิ.ย.'!S85</f>
        <v>0</v>
      </c>
      <c r="G86" s="561">
        <f>+ก.ค.!E85+ก.ค.!F85+ก.ค.!H85+ก.ค.!I85+ก.ค.!M85+ก.ค.!N85+ก.ค.!P85+ก.ค.!S85+ก.ค.!T85</f>
        <v>0</v>
      </c>
      <c r="H86" s="561">
        <f t="shared" si="12"/>
        <v>0</v>
      </c>
      <c r="I86" s="556">
        <f t="shared" si="11"/>
        <v>20000</v>
      </c>
    </row>
    <row r="87" spans="1:9" ht="21.75" customHeight="1">
      <c r="A87" s="9"/>
      <c r="B87" s="187" t="s">
        <v>299</v>
      </c>
      <c r="C87" s="279">
        <v>15000</v>
      </c>
      <c r="D87" s="554">
        <f>+'ต.ค.-ธ.ค.'!E87+'ต.ค.-ธ.ค.'!F87+'ต.ค.-ธ.ค.'!H87+'ต.ค.-ธ.ค.'!I87+'ต.ค.-ธ.ค.'!M87+'ต.ค.-ธ.ค.'!Q87+'ต.ค.-ธ.ค.'!S87</f>
        <v>0</v>
      </c>
      <c r="E87" s="554">
        <f>+'ม.ค.-มี.ค.'!D86+'ม.ค.-มี.ค.'!E86+'ม.ค.-มี.ค.'!F86+'ม.ค.-มี.ค.'!G86+'ม.ค.-มี.ค.'!H86+'ม.ค.-มี.ค.'!I86+'ม.ค.-มี.ค.'!J86+'ม.ค.-มี.ค.'!K86+'ม.ค.-มี.ค.'!L86+'ม.ค.-มี.ค.'!M86+'ม.ค.-มี.ค.'!N86+'ม.ค.-มี.ค.'!O86+'ม.ค.-มี.ค.'!P86+'ม.ค.-มี.ค.'!Q86+'ม.ค.-มี.ค.'!R86+'ม.ค.-มี.ค.'!S86+'ม.ค.-มี.ค.'!U86+'ม.ค.-มี.ค.'!V86</f>
        <v>0</v>
      </c>
      <c r="F87" s="554">
        <f>+'เม.ย.-มิ.ย.'!E86+'เม.ย.-มิ.ย.'!F86+'เม.ย.-มิ.ย.'!G86+'เม.ย.-มิ.ย.'!H86+'เม.ย.-มิ.ย.'!I86+'เม.ย.-มิ.ย.'!M86+'เม.ย.-มิ.ย.'!N86+'เม.ย.-มิ.ย.'!P86+'เม.ย.-มิ.ย.'!R86+'เม.ย.-มิ.ย.'!S86</f>
        <v>15000</v>
      </c>
      <c r="G87" s="561">
        <f>+ก.ค.!E86+ก.ค.!F86+ก.ค.!H86+ก.ค.!I86+ก.ค.!M86+ก.ค.!N86+ก.ค.!P86+ก.ค.!S86+ก.ค.!T86</f>
        <v>0</v>
      </c>
      <c r="H87" s="561">
        <f t="shared" si="12"/>
        <v>15000</v>
      </c>
      <c r="I87" s="556">
        <f t="shared" si="11"/>
        <v>0</v>
      </c>
    </row>
    <row r="88" spans="1:9" ht="21.75" customHeight="1">
      <c r="A88" s="9"/>
      <c r="B88" s="187" t="s">
        <v>300</v>
      </c>
      <c r="C88" s="279">
        <v>10000</v>
      </c>
      <c r="D88" s="554">
        <f>+'ต.ค.-ธ.ค.'!E88+'ต.ค.-ธ.ค.'!F88+'ต.ค.-ธ.ค.'!H88+'ต.ค.-ธ.ค.'!I88+'ต.ค.-ธ.ค.'!M88+'ต.ค.-ธ.ค.'!Q88+'ต.ค.-ธ.ค.'!S88</f>
        <v>10000</v>
      </c>
      <c r="E88" s="554">
        <f>+'ม.ค.-มี.ค.'!D87+'ม.ค.-มี.ค.'!E87+'ม.ค.-มี.ค.'!F87+'ม.ค.-มี.ค.'!G87+'ม.ค.-มี.ค.'!H87+'ม.ค.-มี.ค.'!I87+'ม.ค.-มี.ค.'!J87+'ม.ค.-มี.ค.'!K87+'ม.ค.-มี.ค.'!L87+'ม.ค.-มี.ค.'!M87+'ม.ค.-มี.ค.'!N87+'ม.ค.-มี.ค.'!O87+'ม.ค.-มี.ค.'!P87+'ม.ค.-มี.ค.'!Q87+'ม.ค.-มี.ค.'!R87+'ม.ค.-มี.ค.'!S87+'ม.ค.-มี.ค.'!U87+'ม.ค.-มี.ค.'!V87</f>
        <v>0</v>
      </c>
      <c r="F88" s="554">
        <f>+'เม.ย.-มิ.ย.'!E87+'เม.ย.-มิ.ย.'!F87+'เม.ย.-มิ.ย.'!G87+'เม.ย.-มิ.ย.'!H87+'เม.ย.-มิ.ย.'!I87+'เม.ย.-มิ.ย.'!M87+'เม.ย.-มิ.ย.'!N87+'เม.ย.-มิ.ย.'!P87+'เม.ย.-มิ.ย.'!R87+'เม.ย.-มิ.ย.'!S87</f>
        <v>0</v>
      </c>
      <c r="G88" s="561">
        <f>+ก.ค.!E87+ก.ค.!F87+ก.ค.!H87+ก.ค.!I87+ก.ค.!M87+ก.ค.!N87+ก.ค.!P87+ก.ค.!S87+ก.ค.!T87</f>
        <v>0</v>
      </c>
      <c r="H88" s="561">
        <f t="shared" si="12"/>
        <v>10000</v>
      </c>
      <c r="I88" s="556">
        <f t="shared" si="11"/>
        <v>0</v>
      </c>
    </row>
    <row r="89" spans="1:9" ht="21.75" customHeight="1">
      <c r="A89" s="9"/>
      <c r="B89" s="187" t="s">
        <v>301</v>
      </c>
      <c r="C89" s="279">
        <v>345100</v>
      </c>
      <c r="D89" s="554">
        <f>+'ต.ค.-ธ.ค.'!E89+'ต.ค.-ธ.ค.'!F89+'ต.ค.-ธ.ค.'!H89+'ต.ค.-ธ.ค.'!I89+'ต.ค.-ธ.ค.'!M89+'ต.ค.-ธ.ค.'!Q89+'ต.ค.-ธ.ค.'!S89</f>
        <v>345100</v>
      </c>
      <c r="E89" s="554">
        <f>+'ม.ค.-มี.ค.'!D88+'ม.ค.-มี.ค.'!E88+'ม.ค.-มี.ค.'!F88+'ม.ค.-มี.ค.'!G88+'ม.ค.-มี.ค.'!H88+'ม.ค.-มี.ค.'!I88+'ม.ค.-มี.ค.'!J88+'ม.ค.-มี.ค.'!K88+'ม.ค.-มี.ค.'!L88+'ม.ค.-มี.ค.'!M88+'ม.ค.-มี.ค.'!N88+'ม.ค.-มี.ค.'!O88+'ม.ค.-มี.ค.'!P88+'ม.ค.-มี.ค.'!Q88+'ม.ค.-มี.ค.'!R88+'ม.ค.-มี.ค.'!S88+'ม.ค.-มี.ค.'!U88+'ม.ค.-มี.ค.'!V88</f>
        <v>0</v>
      </c>
      <c r="F89" s="554">
        <f>+'เม.ย.-มิ.ย.'!E88+'เม.ย.-มิ.ย.'!F88+'เม.ย.-มิ.ย.'!G88+'เม.ย.-มิ.ย.'!H88+'เม.ย.-มิ.ย.'!I88+'เม.ย.-มิ.ย.'!M88+'เม.ย.-มิ.ย.'!N88+'เม.ย.-มิ.ย.'!P88+'เม.ย.-มิ.ย.'!R88+'เม.ย.-มิ.ย.'!S88</f>
        <v>0</v>
      </c>
      <c r="G89" s="561">
        <f>+ก.ค.!E88+ก.ค.!F88+ก.ค.!H88+ก.ค.!I88+ก.ค.!M88+ก.ค.!N88+ก.ค.!P88+ก.ค.!S88+ก.ค.!T88</f>
        <v>0</v>
      </c>
      <c r="H89" s="561">
        <f t="shared" si="12"/>
        <v>345100</v>
      </c>
      <c r="I89" s="556">
        <f t="shared" si="11"/>
        <v>0</v>
      </c>
    </row>
    <row r="90" spans="1:9" ht="21.75" customHeight="1">
      <c r="A90" s="9"/>
      <c r="B90" s="187" t="s">
        <v>242</v>
      </c>
      <c r="C90" s="279">
        <v>40000</v>
      </c>
      <c r="D90" s="554">
        <f>+'ต.ค.-ธ.ค.'!E90+'ต.ค.-ธ.ค.'!F90+'ต.ค.-ธ.ค.'!H90+'ต.ค.-ธ.ค.'!I90+'ต.ค.-ธ.ค.'!M90+'ต.ค.-ธ.ค.'!Q90+'ต.ค.-ธ.ค.'!S90</f>
        <v>0</v>
      </c>
      <c r="E90" s="554">
        <f>+'ม.ค.-มี.ค.'!D89+'ม.ค.-มี.ค.'!E89+'ม.ค.-มี.ค.'!F89+'ม.ค.-มี.ค.'!G89+'ม.ค.-มี.ค.'!H89+'ม.ค.-มี.ค.'!I89+'ม.ค.-มี.ค.'!J89+'ม.ค.-มี.ค.'!K89+'ม.ค.-มี.ค.'!L89+'ม.ค.-มี.ค.'!M89+'ม.ค.-มี.ค.'!N89+'ม.ค.-มี.ค.'!O89+'ม.ค.-มี.ค.'!P89+'ม.ค.-มี.ค.'!Q89+'ม.ค.-มี.ค.'!R89+'ม.ค.-มี.ค.'!S89+'ม.ค.-มี.ค.'!U89+'ม.ค.-มี.ค.'!V89</f>
        <v>40000</v>
      </c>
      <c r="F90" s="554">
        <f>+'เม.ย.-มิ.ย.'!E89+'เม.ย.-มิ.ย.'!F89+'เม.ย.-มิ.ย.'!G89+'เม.ย.-มิ.ย.'!H89+'เม.ย.-มิ.ย.'!I89+'เม.ย.-มิ.ย.'!M89+'เม.ย.-มิ.ย.'!N89+'เม.ย.-มิ.ย.'!P89+'เม.ย.-มิ.ย.'!R89+'เม.ย.-มิ.ย.'!S89</f>
        <v>0</v>
      </c>
      <c r="G90" s="561">
        <f>+ก.ค.!E89+ก.ค.!F89+ก.ค.!H89+ก.ค.!I89+ก.ค.!M89+ก.ค.!N89+ก.ค.!P89+ก.ค.!S89+ก.ค.!T89</f>
        <v>0</v>
      </c>
      <c r="H90" s="561">
        <f t="shared" si="12"/>
        <v>40000</v>
      </c>
      <c r="I90" s="556">
        <f t="shared" si="11"/>
        <v>0</v>
      </c>
    </row>
    <row r="91" spans="1:9" ht="21.75" customHeight="1">
      <c r="A91" s="9"/>
      <c r="B91" s="187" t="s">
        <v>307</v>
      </c>
      <c r="C91" s="279">
        <f>10000-10000</f>
        <v>0</v>
      </c>
      <c r="D91" s="554">
        <f>+'ต.ค.-ธ.ค.'!E91+'ต.ค.-ธ.ค.'!F91+'ต.ค.-ธ.ค.'!H91+'ต.ค.-ธ.ค.'!I91+'ต.ค.-ธ.ค.'!M91+'ต.ค.-ธ.ค.'!Q91+'ต.ค.-ธ.ค.'!S91</f>
        <v>0</v>
      </c>
      <c r="E91" s="554">
        <f>+'ม.ค.-มี.ค.'!D90+'ม.ค.-มี.ค.'!E90+'ม.ค.-มี.ค.'!F90+'ม.ค.-มี.ค.'!G90+'ม.ค.-มี.ค.'!H90+'ม.ค.-มี.ค.'!I90+'ม.ค.-มี.ค.'!J90+'ม.ค.-มี.ค.'!K90+'ม.ค.-มี.ค.'!L90+'ม.ค.-มี.ค.'!M90+'ม.ค.-มี.ค.'!N90+'ม.ค.-มี.ค.'!O90+'ม.ค.-มี.ค.'!P90+'ม.ค.-มี.ค.'!Q90+'ม.ค.-มี.ค.'!R90+'ม.ค.-มี.ค.'!S90+'ม.ค.-มี.ค.'!U90+'ม.ค.-มี.ค.'!V90</f>
        <v>0</v>
      </c>
      <c r="F91" s="554">
        <f>+'เม.ย.-มิ.ย.'!E90+'เม.ย.-มิ.ย.'!F90+'เม.ย.-มิ.ย.'!G90+'เม.ย.-มิ.ย.'!H90+'เม.ย.-มิ.ย.'!I90+'เม.ย.-มิ.ย.'!M90+'เม.ย.-มิ.ย.'!N90+'เม.ย.-มิ.ย.'!P90+'เม.ย.-มิ.ย.'!R90+'เม.ย.-มิ.ย.'!S90</f>
        <v>0</v>
      </c>
      <c r="G91" s="561">
        <f>+ก.ค.!E90+ก.ค.!F90+ก.ค.!H90+ก.ค.!I90+ก.ค.!M90+ก.ค.!N90+ก.ค.!P90+ก.ค.!S90+ก.ค.!T90</f>
        <v>0</v>
      </c>
      <c r="H91" s="561">
        <f t="shared" si="12"/>
        <v>0</v>
      </c>
      <c r="I91" s="556">
        <f t="shared" si="11"/>
        <v>0</v>
      </c>
    </row>
    <row r="92" spans="1:9" ht="21.75" customHeight="1">
      <c r="A92" s="9"/>
      <c r="B92" s="187" t="s">
        <v>134</v>
      </c>
      <c r="C92" s="279">
        <f>15000-10000</f>
        <v>5000</v>
      </c>
      <c r="D92" s="554">
        <f>+'ต.ค.-ธ.ค.'!E92+'ต.ค.-ธ.ค.'!F92+'ต.ค.-ธ.ค.'!H92+'ต.ค.-ธ.ค.'!I92+'ต.ค.-ธ.ค.'!M92+'ต.ค.-ธ.ค.'!Q92+'ต.ค.-ธ.ค.'!S92</f>
        <v>0</v>
      </c>
      <c r="E92" s="554">
        <f>+'ม.ค.-มี.ค.'!D91+'ม.ค.-มี.ค.'!E91+'ม.ค.-มี.ค.'!F91+'ม.ค.-มี.ค.'!G91+'ม.ค.-มี.ค.'!H91+'ม.ค.-มี.ค.'!I91+'ม.ค.-มี.ค.'!J91+'ม.ค.-มี.ค.'!K91+'ม.ค.-มี.ค.'!L91+'ม.ค.-มี.ค.'!M91+'ม.ค.-มี.ค.'!N91+'ม.ค.-มี.ค.'!O91+'ม.ค.-มี.ค.'!P91+'ม.ค.-มี.ค.'!Q91+'ม.ค.-มี.ค.'!R91+'ม.ค.-มี.ค.'!S91+'ม.ค.-มี.ค.'!U91+'ม.ค.-มี.ค.'!V91</f>
        <v>0</v>
      </c>
      <c r="F92" s="554">
        <f>+'เม.ย.-มิ.ย.'!E91+'เม.ย.-มิ.ย.'!F91+'เม.ย.-มิ.ย.'!G91+'เม.ย.-มิ.ย.'!H91+'เม.ย.-มิ.ย.'!I91+'เม.ย.-มิ.ย.'!M91+'เม.ย.-มิ.ย.'!N91+'เม.ย.-มิ.ย.'!P91+'เม.ย.-มิ.ย.'!R91+'เม.ย.-มิ.ย.'!S91</f>
        <v>5000</v>
      </c>
      <c r="G92" s="561">
        <f>+ก.ค.!E91+ก.ค.!F91+ก.ค.!H91+ก.ค.!I91+ก.ค.!M91+ก.ค.!N91+ก.ค.!P91+ก.ค.!S91+ก.ค.!T91</f>
        <v>0</v>
      </c>
      <c r="H92" s="561">
        <f t="shared" si="12"/>
        <v>5000</v>
      </c>
      <c r="I92" s="556">
        <f t="shared" si="11"/>
        <v>0</v>
      </c>
    </row>
    <row r="93" spans="1:9" ht="21.75" customHeight="1">
      <c r="A93" s="9"/>
      <c r="B93" s="187" t="s">
        <v>308</v>
      </c>
      <c r="C93" s="279">
        <f>2500-2500</f>
        <v>0</v>
      </c>
      <c r="D93" s="554">
        <f>+'ต.ค.-ธ.ค.'!E93+'ต.ค.-ธ.ค.'!F93+'ต.ค.-ธ.ค.'!H93+'ต.ค.-ธ.ค.'!I93+'ต.ค.-ธ.ค.'!M93+'ต.ค.-ธ.ค.'!Q93+'ต.ค.-ธ.ค.'!S93</f>
        <v>0</v>
      </c>
      <c r="E93" s="554">
        <f>+'ม.ค.-มี.ค.'!D92+'ม.ค.-มี.ค.'!E92+'ม.ค.-มี.ค.'!F92+'ม.ค.-มี.ค.'!G92+'ม.ค.-มี.ค.'!H92+'ม.ค.-มี.ค.'!I92+'ม.ค.-มี.ค.'!J92+'ม.ค.-มี.ค.'!K92+'ม.ค.-มี.ค.'!L92+'ม.ค.-มี.ค.'!M92+'ม.ค.-มี.ค.'!N92+'ม.ค.-มี.ค.'!O92+'ม.ค.-มี.ค.'!P92+'ม.ค.-มี.ค.'!Q92+'ม.ค.-มี.ค.'!R92+'ม.ค.-มี.ค.'!S92+'ม.ค.-มี.ค.'!U92+'ม.ค.-มี.ค.'!V92</f>
        <v>0</v>
      </c>
      <c r="F93" s="554">
        <f>+'เม.ย.-มิ.ย.'!E92+'เม.ย.-มิ.ย.'!F92+'เม.ย.-มิ.ย.'!G92+'เม.ย.-มิ.ย.'!H92+'เม.ย.-มิ.ย.'!I92+'เม.ย.-มิ.ย.'!M92+'เม.ย.-มิ.ย.'!N92+'เม.ย.-มิ.ย.'!P92+'เม.ย.-มิ.ย.'!R92+'เม.ย.-มิ.ย.'!S92</f>
        <v>0</v>
      </c>
      <c r="G93" s="561">
        <f>+ก.ค.!E92+ก.ค.!F92+ก.ค.!H92+ก.ค.!I92+ก.ค.!M92+ก.ค.!N92+ก.ค.!P92+ก.ค.!S92+ก.ค.!T92</f>
        <v>0</v>
      </c>
      <c r="H93" s="561">
        <f t="shared" si="12"/>
        <v>0</v>
      </c>
      <c r="I93" s="556">
        <f t="shared" si="11"/>
        <v>0</v>
      </c>
    </row>
    <row r="94" spans="1:9" ht="21.75" customHeight="1">
      <c r="A94" s="9"/>
      <c r="B94" s="187" t="s">
        <v>309</v>
      </c>
      <c r="C94" s="279">
        <f>2500-2500</f>
        <v>0</v>
      </c>
      <c r="D94" s="554">
        <f>+'ต.ค.-ธ.ค.'!E94+'ต.ค.-ธ.ค.'!F94+'ต.ค.-ธ.ค.'!H94+'ต.ค.-ธ.ค.'!I94+'ต.ค.-ธ.ค.'!M94+'ต.ค.-ธ.ค.'!Q94+'ต.ค.-ธ.ค.'!S94</f>
        <v>0</v>
      </c>
      <c r="E94" s="554">
        <f>+'ม.ค.-มี.ค.'!D93+'ม.ค.-มี.ค.'!E93+'ม.ค.-มี.ค.'!F93+'ม.ค.-มี.ค.'!G93+'ม.ค.-มี.ค.'!H93+'ม.ค.-มี.ค.'!I93+'ม.ค.-มี.ค.'!J93+'ม.ค.-มี.ค.'!K93+'ม.ค.-มี.ค.'!L93+'ม.ค.-มี.ค.'!M93+'ม.ค.-มี.ค.'!N93+'ม.ค.-มี.ค.'!O93+'ม.ค.-มี.ค.'!P93+'ม.ค.-มี.ค.'!Q93+'ม.ค.-มี.ค.'!R93+'ม.ค.-มี.ค.'!S93+'ม.ค.-มี.ค.'!U93+'ม.ค.-มี.ค.'!V93</f>
        <v>0</v>
      </c>
      <c r="F94" s="554">
        <f>+'เม.ย.-มิ.ย.'!E93+'เม.ย.-มิ.ย.'!F93+'เม.ย.-มิ.ย.'!G93+'เม.ย.-มิ.ย.'!H93+'เม.ย.-มิ.ย.'!I93+'เม.ย.-มิ.ย.'!M93+'เม.ย.-มิ.ย.'!N93+'เม.ย.-มิ.ย.'!P93+'เม.ย.-มิ.ย.'!R93+'เม.ย.-มิ.ย.'!S93</f>
        <v>0</v>
      </c>
      <c r="G94" s="561">
        <f>+ก.ค.!E93+ก.ค.!F93+ก.ค.!H93+ก.ค.!I93+ก.ค.!M93+ก.ค.!N93+ก.ค.!P93+ก.ค.!S93+ก.ค.!T93</f>
        <v>0</v>
      </c>
      <c r="H94" s="561">
        <f t="shared" si="12"/>
        <v>0</v>
      </c>
      <c r="I94" s="556">
        <f t="shared" si="11"/>
        <v>0</v>
      </c>
    </row>
    <row r="95" spans="1:9" ht="21.75" customHeight="1">
      <c r="A95" s="9"/>
      <c r="B95" s="187" t="s">
        <v>310</v>
      </c>
      <c r="C95" s="279">
        <f>2500-2500</f>
        <v>0</v>
      </c>
      <c r="D95" s="554">
        <f>+'ต.ค.-ธ.ค.'!E95+'ต.ค.-ธ.ค.'!F95+'ต.ค.-ธ.ค.'!H95+'ต.ค.-ธ.ค.'!I95+'ต.ค.-ธ.ค.'!M95+'ต.ค.-ธ.ค.'!Q95+'ต.ค.-ธ.ค.'!S95</f>
        <v>0</v>
      </c>
      <c r="E95" s="554">
        <f>+'ม.ค.-มี.ค.'!D94+'ม.ค.-มี.ค.'!E94+'ม.ค.-มี.ค.'!F94+'ม.ค.-มี.ค.'!G94+'ม.ค.-มี.ค.'!H94+'ม.ค.-มี.ค.'!I94+'ม.ค.-มี.ค.'!J94+'ม.ค.-มี.ค.'!K94+'ม.ค.-มี.ค.'!L94+'ม.ค.-มี.ค.'!M94+'ม.ค.-มี.ค.'!N94+'ม.ค.-มี.ค.'!O94+'ม.ค.-มี.ค.'!P94+'ม.ค.-มี.ค.'!Q94+'ม.ค.-มี.ค.'!R94+'ม.ค.-มี.ค.'!S94+'ม.ค.-มี.ค.'!U94+'ม.ค.-มี.ค.'!V94</f>
        <v>0</v>
      </c>
      <c r="F95" s="554">
        <f>+'เม.ย.-มิ.ย.'!E94+'เม.ย.-มิ.ย.'!F94+'เม.ย.-มิ.ย.'!G94+'เม.ย.-มิ.ย.'!H94+'เม.ย.-มิ.ย.'!I94+'เม.ย.-มิ.ย.'!M94+'เม.ย.-มิ.ย.'!N94+'เม.ย.-มิ.ย.'!P94+'เม.ย.-มิ.ย.'!R94+'เม.ย.-มิ.ย.'!S94</f>
        <v>0</v>
      </c>
      <c r="G95" s="561">
        <f>+ก.ค.!E94+ก.ค.!F94+ก.ค.!H94+ก.ค.!I94+ก.ค.!M94+ก.ค.!N94+ก.ค.!P94+ก.ค.!S94+ก.ค.!T94</f>
        <v>0</v>
      </c>
      <c r="H95" s="561">
        <f t="shared" si="12"/>
        <v>0</v>
      </c>
      <c r="I95" s="556">
        <f t="shared" si="11"/>
        <v>0</v>
      </c>
    </row>
    <row r="96" spans="1:9" ht="21.75" customHeight="1">
      <c r="A96" s="9"/>
      <c r="B96" s="187" t="s">
        <v>311</v>
      </c>
      <c r="C96" s="279">
        <f>2500-2500</f>
        <v>0</v>
      </c>
      <c r="D96" s="554">
        <f>+'ต.ค.-ธ.ค.'!E96+'ต.ค.-ธ.ค.'!F96+'ต.ค.-ธ.ค.'!H96+'ต.ค.-ธ.ค.'!I96+'ต.ค.-ธ.ค.'!M96+'ต.ค.-ธ.ค.'!Q96+'ต.ค.-ธ.ค.'!S96</f>
        <v>0</v>
      </c>
      <c r="E96" s="554">
        <f>+'ม.ค.-มี.ค.'!D95+'ม.ค.-มี.ค.'!E95+'ม.ค.-มี.ค.'!F95+'ม.ค.-มี.ค.'!G95+'ม.ค.-มี.ค.'!H95+'ม.ค.-มี.ค.'!I95+'ม.ค.-มี.ค.'!J95+'ม.ค.-มี.ค.'!K95+'ม.ค.-มี.ค.'!L95+'ม.ค.-มี.ค.'!M95+'ม.ค.-มี.ค.'!N95+'ม.ค.-มี.ค.'!O95+'ม.ค.-มี.ค.'!P95+'ม.ค.-มี.ค.'!Q95+'ม.ค.-มี.ค.'!R95+'ม.ค.-มี.ค.'!S95+'ม.ค.-มี.ค.'!U95+'ม.ค.-มี.ค.'!V95</f>
        <v>0</v>
      </c>
      <c r="F96" s="554">
        <f>+'เม.ย.-มิ.ย.'!E95+'เม.ย.-มิ.ย.'!F95+'เม.ย.-มิ.ย.'!G95+'เม.ย.-มิ.ย.'!H95+'เม.ย.-มิ.ย.'!I95+'เม.ย.-มิ.ย.'!M95+'เม.ย.-มิ.ย.'!N95+'เม.ย.-มิ.ย.'!P95+'เม.ย.-มิ.ย.'!R95+'เม.ย.-มิ.ย.'!S95</f>
        <v>0</v>
      </c>
      <c r="G96" s="561">
        <f>+ก.ค.!E95+ก.ค.!F95+ก.ค.!H95+ก.ค.!I95+ก.ค.!M95+ก.ค.!N95+ก.ค.!P95+ก.ค.!S95+ก.ค.!T95</f>
        <v>0</v>
      </c>
      <c r="H96" s="561">
        <f t="shared" si="12"/>
        <v>0</v>
      </c>
      <c r="I96" s="556">
        <f t="shared" si="11"/>
        <v>0</v>
      </c>
    </row>
    <row r="97" spans="1:13" ht="21.75" customHeight="1">
      <c r="A97" s="9"/>
      <c r="B97" s="187" t="s">
        <v>243</v>
      </c>
      <c r="C97" s="279">
        <v>2000</v>
      </c>
      <c r="D97" s="554">
        <f>+'ต.ค.-ธ.ค.'!E97+'ต.ค.-ธ.ค.'!F97+'ต.ค.-ธ.ค.'!H97+'ต.ค.-ธ.ค.'!I97+'ต.ค.-ธ.ค.'!M97+'ต.ค.-ธ.ค.'!Q97+'ต.ค.-ธ.ค.'!S97</f>
        <v>0</v>
      </c>
      <c r="E97" s="554">
        <f>+'ม.ค.-มี.ค.'!D96+'ม.ค.-มี.ค.'!E96+'ม.ค.-มี.ค.'!F96+'ม.ค.-มี.ค.'!G96+'ม.ค.-มี.ค.'!H96+'ม.ค.-มี.ค.'!I96+'ม.ค.-มี.ค.'!J96+'ม.ค.-มี.ค.'!K96+'ม.ค.-มี.ค.'!L96+'ม.ค.-มี.ค.'!M96+'ม.ค.-มี.ค.'!N96+'ม.ค.-มี.ค.'!O96+'ม.ค.-มี.ค.'!P96+'ม.ค.-มี.ค.'!Q96+'ม.ค.-มี.ค.'!R96+'ม.ค.-มี.ค.'!S96+'ม.ค.-มี.ค.'!U96+'ม.ค.-มี.ค.'!V96</f>
        <v>2000</v>
      </c>
      <c r="F97" s="554">
        <f>+'เม.ย.-มิ.ย.'!E96+'เม.ย.-มิ.ย.'!F96+'เม.ย.-มิ.ย.'!G96+'เม.ย.-มิ.ย.'!H96+'เม.ย.-มิ.ย.'!I96+'เม.ย.-มิ.ย.'!M96+'เม.ย.-มิ.ย.'!N96+'เม.ย.-มิ.ย.'!P96+'เม.ย.-มิ.ย.'!R96+'เม.ย.-มิ.ย.'!S96</f>
        <v>0</v>
      </c>
      <c r="G97" s="561">
        <f>+ก.ค.!E96+ก.ค.!F96+ก.ค.!H96+ก.ค.!I96+ก.ค.!M96+ก.ค.!N96+ก.ค.!P96+ก.ค.!S96+ก.ค.!T96</f>
        <v>0</v>
      </c>
      <c r="H97" s="561">
        <f t="shared" si="12"/>
        <v>2000</v>
      </c>
      <c r="I97" s="556">
        <f t="shared" si="11"/>
        <v>0</v>
      </c>
    </row>
    <row r="98" spans="1:13" ht="21.75" customHeight="1">
      <c r="A98" s="9"/>
      <c r="B98" s="187" t="s">
        <v>248</v>
      </c>
      <c r="C98" s="279">
        <v>2000</v>
      </c>
      <c r="D98" s="554">
        <f>+'ต.ค.-ธ.ค.'!E98+'ต.ค.-ธ.ค.'!F98+'ต.ค.-ธ.ค.'!H98+'ต.ค.-ธ.ค.'!I98+'ต.ค.-ธ.ค.'!M98+'ต.ค.-ธ.ค.'!Q98+'ต.ค.-ธ.ค.'!S98</f>
        <v>0</v>
      </c>
      <c r="E98" s="554">
        <f>+'ม.ค.-มี.ค.'!D97+'ม.ค.-มี.ค.'!E97+'ม.ค.-มี.ค.'!F97+'ม.ค.-มี.ค.'!G97+'ม.ค.-มี.ค.'!H97+'ม.ค.-มี.ค.'!I97+'ม.ค.-มี.ค.'!J97+'ม.ค.-มี.ค.'!K97+'ม.ค.-มี.ค.'!L97+'ม.ค.-มี.ค.'!M97+'ม.ค.-มี.ค.'!N97+'ม.ค.-มี.ค.'!O97+'ม.ค.-มี.ค.'!P97+'ม.ค.-มี.ค.'!Q97+'ม.ค.-มี.ค.'!R97+'ม.ค.-มี.ค.'!S97+'ม.ค.-มี.ค.'!U97+'ม.ค.-มี.ค.'!V97</f>
        <v>2000</v>
      </c>
      <c r="F98" s="554">
        <f>+'เม.ย.-มิ.ย.'!E97+'เม.ย.-มิ.ย.'!F97+'เม.ย.-มิ.ย.'!G97+'เม.ย.-มิ.ย.'!H97+'เม.ย.-มิ.ย.'!I97+'เม.ย.-มิ.ย.'!M97+'เม.ย.-มิ.ย.'!N97+'เม.ย.-มิ.ย.'!P97+'เม.ย.-มิ.ย.'!R97+'เม.ย.-มิ.ย.'!S97</f>
        <v>0</v>
      </c>
      <c r="G98" s="561">
        <f>+ก.ค.!E97+ก.ค.!F97+ก.ค.!H97+ก.ค.!I97+ก.ค.!M97+ก.ค.!N97+ก.ค.!P97+ก.ค.!S97+ก.ค.!T97</f>
        <v>0</v>
      </c>
      <c r="H98" s="561">
        <f t="shared" si="12"/>
        <v>2000</v>
      </c>
      <c r="I98" s="556">
        <f t="shared" si="11"/>
        <v>0</v>
      </c>
    </row>
    <row r="99" spans="1:13" s="168" customFormat="1" ht="21.75" customHeight="1">
      <c r="A99" s="9"/>
      <c r="B99" s="187" t="s">
        <v>244</v>
      </c>
      <c r="C99" s="279">
        <v>2000</v>
      </c>
      <c r="D99" s="554">
        <f>+'ต.ค.-ธ.ค.'!E99+'ต.ค.-ธ.ค.'!F99+'ต.ค.-ธ.ค.'!H99+'ต.ค.-ธ.ค.'!I99+'ต.ค.-ธ.ค.'!M99+'ต.ค.-ธ.ค.'!Q99+'ต.ค.-ธ.ค.'!S99</f>
        <v>0</v>
      </c>
      <c r="E99" s="554">
        <f>+'ม.ค.-มี.ค.'!D98+'ม.ค.-มี.ค.'!E98+'ม.ค.-มี.ค.'!F98+'ม.ค.-มี.ค.'!G98+'ม.ค.-มี.ค.'!H98+'ม.ค.-มี.ค.'!I98+'ม.ค.-มี.ค.'!J98+'ม.ค.-มี.ค.'!K98+'ม.ค.-มี.ค.'!L98+'ม.ค.-มี.ค.'!M98+'ม.ค.-มี.ค.'!N98+'ม.ค.-มี.ค.'!O98+'ม.ค.-มี.ค.'!P98+'ม.ค.-มี.ค.'!Q98+'ม.ค.-มี.ค.'!R98+'ม.ค.-มี.ค.'!S98+'ม.ค.-มี.ค.'!U98+'ม.ค.-มี.ค.'!V98</f>
        <v>1995</v>
      </c>
      <c r="F99" s="554">
        <f>+'เม.ย.-มิ.ย.'!E98+'เม.ย.-มิ.ย.'!F98+'เม.ย.-มิ.ย.'!G98+'เม.ย.-มิ.ย.'!H98+'เม.ย.-มิ.ย.'!I98+'เม.ย.-มิ.ย.'!M98+'เม.ย.-มิ.ย.'!N98+'เม.ย.-มิ.ย.'!P98+'เม.ย.-มิ.ย.'!R98+'เม.ย.-มิ.ย.'!S98</f>
        <v>0</v>
      </c>
      <c r="G99" s="561">
        <f>+ก.ค.!E98+ก.ค.!F98+ก.ค.!H98+ก.ค.!I98+ก.ค.!M98+ก.ค.!N98+ก.ค.!P98+ก.ค.!S98+ก.ค.!T98</f>
        <v>0</v>
      </c>
      <c r="H99" s="561">
        <f t="shared" si="12"/>
        <v>1995</v>
      </c>
      <c r="I99" s="556">
        <f t="shared" si="11"/>
        <v>5</v>
      </c>
      <c r="J99" s="233"/>
      <c r="K99" s="331"/>
      <c r="L99" s="247"/>
      <c r="M99" s="247"/>
    </row>
    <row r="100" spans="1:13" ht="21.75" customHeight="1">
      <c r="A100" s="9"/>
      <c r="B100" s="187" t="s">
        <v>245</v>
      </c>
      <c r="C100" s="279">
        <v>2000</v>
      </c>
      <c r="D100" s="554">
        <f>+'ต.ค.-ธ.ค.'!E100+'ต.ค.-ธ.ค.'!F100+'ต.ค.-ธ.ค.'!H100+'ต.ค.-ธ.ค.'!I100+'ต.ค.-ธ.ค.'!M100+'ต.ค.-ธ.ค.'!Q100+'ต.ค.-ธ.ค.'!S100</f>
        <v>0</v>
      </c>
      <c r="E100" s="554">
        <f>+'ม.ค.-มี.ค.'!D99+'ม.ค.-มี.ค.'!E99+'ม.ค.-มี.ค.'!F99+'ม.ค.-มี.ค.'!G99+'ม.ค.-มี.ค.'!H99+'ม.ค.-มี.ค.'!I99+'ม.ค.-มี.ค.'!J99+'ม.ค.-มี.ค.'!K99+'ม.ค.-มี.ค.'!L99+'ม.ค.-มี.ค.'!M99+'ม.ค.-มี.ค.'!N99+'ม.ค.-มี.ค.'!O99+'ม.ค.-มี.ค.'!P99+'ม.ค.-มี.ค.'!Q99+'ม.ค.-มี.ค.'!R99+'ม.ค.-มี.ค.'!S99+'ม.ค.-มี.ค.'!U99+'ม.ค.-มี.ค.'!V99</f>
        <v>2000</v>
      </c>
      <c r="F100" s="554">
        <f>+'เม.ย.-มิ.ย.'!E99+'เม.ย.-มิ.ย.'!F99+'เม.ย.-มิ.ย.'!G99+'เม.ย.-มิ.ย.'!H99+'เม.ย.-มิ.ย.'!I99+'เม.ย.-มิ.ย.'!M99+'เม.ย.-มิ.ย.'!N99+'เม.ย.-มิ.ย.'!P99+'เม.ย.-มิ.ย.'!R99+'เม.ย.-มิ.ย.'!S99</f>
        <v>0</v>
      </c>
      <c r="G100" s="561">
        <f>+ก.ค.!E99+ก.ค.!F99+ก.ค.!H99+ก.ค.!I99+ก.ค.!M99+ก.ค.!N99+ก.ค.!P99+ก.ค.!S99+ก.ค.!T99</f>
        <v>0</v>
      </c>
      <c r="H100" s="561">
        <f t="shared" si="12"/>
        <v>2000</v>
      </c>
      <c r="I100" s="556">
        <f t="shared" si="11"/>
        <v>0</v>
      </c>
    </row>
    <row r="101" spans="1:13" ht="21.75" customHeight="1">
      <c r="A101" s="9"/>
      <c r="B101" s="187" t="s">
        <v>246</v>
      </c>
      <c r="C101" s="279">
        <v>2000</v>
      </c>
      <c r="D101" s="554">
        <f>+'ต.ค.-ธ.ค.'!E101+'ต.ค.-ธ.ค.'!F101+'ต.ค.-ธ.ค.'!H101+'ต.ค.-ธ.ค.'!I101+'ต.ค.-ธ.ค.'!M101+'ต.ค.-ธ.ค.'!Q101+'ต.ค.-ธ.ค.'!S101</f>
        <v>0</v>
      </c>
      <c r="E101" s="554">
        <f>+'ม.ค.-มี.ค.'!D100+'ม.ค.-มี.ค.'!E100+'ม.ค.-มี.ค.'!F100+'ม.ค.-มี.ค.'!G100+'ม.ค.-มี.ค.'!H100+'ม.ค.-มี.ค.'!I100+'ม.ค.-มี.ค.'!J100+'ม.ค.-มี.ค.'!K100+'ม.ค.-มี.ค.'!L100+'ม.ค.-มี.ค.'!M100+'ม.ค.-มี.ค.'!N100+'ม.ค.-มี.ค.'!O100+'ม.ค.-มี.ค.'!P100+'ม.ค.-มี.ค.'!Q100+'ม.ค.-มี.ค.'!R100+'ม.ค.-มี.ค.'!S100+'ม.ค.-มี.ค.'!U100+'ม.ค.-มี.ค.'!V100</f>
        <v>0</v>
      </c>
      <c r="F101" s="554">
        <f>+'เม.ย.-มิ.ย.'!E100+'เม.ย.-มิ.ย.'!F100+'เม.ย.-มิ.ย.'!G100+'เม.ย.-มิ.ย.'!H100+'เม.ย.-มิ.ย.'!I100+'เม.ย.-มิ.ย.'!M100+'เม.ย.-มิ.ย.'!N100+'เม.ย.-มิ.ย.'!P100+'เม.ย.-มิ.ย.'!R100+'เม.ย.-มิ.ย.'!S100</f>
        <v>1000</v>
      </c>
      <c r="G101" s="561">
        <f>+ก.ค.!E100+ก.ค.!F100+ก.ค.!H100+ก.ค.!I100+ก.ค.!M100+ก.ค.!N100+ก.ค.!P100+ก.ค.!S100+ก.ค.!T100</f>
        <v>0</v>
      </c>
      <c r="H101" s="561">
        <f t="shared" si="12"/>
        <v>1000</v>
      </c>
      <c r="I101" s="556">
        <f t="shared" si="11"/>
        <v>1000</v>
      </c>
    </row>
    <row r="102" spans="1:13" ht="21.75" customHeight="1">
      <c r="A102" s="9"/>
      <c r="B102" s="187" t="s">
        <v>247</v>
      </c>
      <c r="C102" s="279">
        <v>2000</v>
      </c>
      <c r="D102" s="554">
        <f>+'ต.ค.-ธ.ค.'!E102+'ต.ค.-ธ.ค.'!F102+'ต.ค.-ธ.ค.'!H102+'ต.ค.-ธ.ค.'!I102+'ต.ค.-ธ.ค.'!M102+'ต.ค.-ธ.ค.'!Q102+'ต.ค.-ธ.ค.'!S102</f>
        <v>0</v>
      </c>
      <c r="E102" s="554">
        <f>+'ม.ค.-มี.ค.'!D101+'ม.ค.-มี.ค.'!E101+'ม.ค.-มี.ค.'!F101+'ม.ค.-มี.ค.'!G101+'ม.ค.-มี.ค.'!H101+'ม.ค.-มี.ค.'!I101+'ม.ค.-มี.ค.'!J101+'ม.ค.-มี.ค.'!K101+'ม.ค.-มี.ค.'!L101+'ม.ค.-มี.ค.'!M101+'ม.ค.-มี.ค.'!N101+'ม.ค.-มี.ค.'!O101+'ม.ค.-มี.ค.'!P101+'ม.ค.-มี.ค.'!Q101+'ม.ค.-มี.ค.'!R101+'ม.ค.-มี.ค.'!S101+'ม.ค.-มี.ค.'!U101+'ม.ค.-มี.ค.'!V101</f>
        <v>0</v>
      </c>
      <c r="F102" s="554">
        <f>+'เม.ย.-มิ.ย.'!E101+'เม.ย.-มิ.ย.'!F101+'เม.ย.-มิ.ย.'!G101+'เม.ย.-มิ.ย.'!H101+'เม.ย.-มิ.ย.'!I101+'เม.ย.-มิ.ย.'!M101+'เม.ย.-มิ.ย.'!N101+'เม.ย.-มิ.ย.'!P101+'เม.ย.-มิ.ย.'!R101+'เม.ย.-มิ.ย.'!S101</f>
        <v>1000</v>
      </c>
      <c r="G102" s="561">
        <f>+ก.ค.!E101+ก.ค.!F101+ก.ค.!H101+ก.ค.!I101+ก.ค.!M101+ก.ค.!N101+ก.ค.!P101+ก.ค.!S101+ก.ค.!T101</f>
        <v>0</v>
      </c>
      <c r="H102" s="561">
        <f t="shared" si="12"/>
        <v>1000</v>
      </c>
      <c r="I102" s="556">
        <f t="shared" si="11"/>
        <v>1000</v>
      </c>
    </row>
    <row r="103" spans="1:13" ht="21.75" customHeight="1">
      <c r="A103" s="9"/>
      <c r="B103" s="187" t="s">
        <v>249</v>
      </c>
      <c r="C103" s="279">
        <v>2000</v>
      </c>
      <c r="D103" s="554">
        <f>+'ต.ค.-ธ.ค.'!E103+'ต.ค.-ธ.ค.'!F103+'ต.ค.-ธ.ค.'!H103+'ต.ค.-ธ.ค.'!I103+'ต.ค.-ธ.ค.'!M103+'ต.ค.-ธ.ค.'!Q103+'ต.ค.-ธ.ค.'!S103</f>
        <v>0</v>
      </c>
      <c r="E103" s="554">
        <f>+'ม.ค.-มี.ค.'!D102+'ม.ค.-มี.ค.'!E102+'ม.ค.-มี.ค.'!F102+'ม.ค.-มี.ค.'!G102+'ม.ค.-มี.ค.'!H102+'ม.ค.-มี.ค.'!I102+'ม.ค.-มี.ค.'!J102+'ม.ค.-มี.ค.'!K102+'ม.ค.-มี.ค.'!L102+'ม.ค.-มี.ค.'!M102+'ม.ค.-มี.ค.'!N102+'ม.ค.-มี.ค.'!O102+'ม.ค.-มี.ค.'!P102+'ม.ค.-มี.ค.'!Q102+'ม.ค.-มี.ค.'!R102+'ม.ค.-มี.ค.'!S102+'ม.ค.-มี.ค.'!U102+'ม.ค.-มี.ค.'!V102</f>
        <v>0</v>
      </c>
      <c r="F103" s="554">
        <f>+'เม.ย.-มิ.ย.'!E102+'เม.ย.-มิ.ย.'!F102+'เม.ย.-มิ.ย.'!G102+'เม.ย.-มิ.ย.'!H102+'เม.ย.-มิ.ย.'!I102+'เม.ย.-มิ.ย.'!M102+'เม.ย.-มิ.ย.'!N102+'เม.ย.-มิ.ย.'!P102+'เม.ย.-มิ.ย.'!R102+'เม.ย.-มิ.ย.'!S102</f>
        <v>1000</v>
      </c>
      <c r="G103" s="561">
        <f>+ก.ค.!E102+ก.ค.!F102+ก.ค.!H102+ก.ค.!I102+ก.ค.!M102+ก.ค.!N102+ก.ค.!P102+ก.ค.!S102+ก.ค.!T102</f>
        <v>0</v>
      </c>
      <c r="H103" s="561">
        <f t="shared" si="12"/>
        <v>1000</v>
      </c>
      <c r="I103" s="556">
        <f t="shared" si="11"/>
        <v>1000</v>
      </c>
    </row>
    <row r="104" spans="1:13" ht="21.75" customHeight="1">
      <c r="A104" s="9"/>
      <c r="B104" s="187" t="s">
        <v>250</v>
      </c>
      <c r="C104" s="279">
        <v>2000</v>
      </c>
      <c r="D104" s="554">
        <f>+'ต.ค.-ธ.ค.'!E104+'ต.ค.-ธ.ค.'!F104+'ต.ค.-ธ.ค.'!H104+'ต.ค.-ธ.ค.'!I104+'ต.ค.-ธ.ค.'!M104+'ต.ค.-ธ.ค.'!Q104+'ต.ค.-ธ.ค.'!S104</f>
        <v>0</v>
      </c>
      <c r="E104" s="554">
        <f>+'ม.ค.-มี.ค.'!D103+'ม.ค.-มี.ค.'!E103+'ม.ค.-มี.ค.'!F103+'ม.ค.-มี.ค.'!G103+'ม.ค.-มี.ค.'!H103+'ม.ค.-มี.ค.'!I103+'ม.ค.-มี.ค.'!J103+'ม.ค.-มี.ค.'!K103+'ม.ค.-มี.ค.'!L103+'ม.ค.-มี.ค.'!M103+'ม.ค.-มี.ค.'!N103+'ม.ค.-มี.ค.'!O103+'ม.ค.-มี.ค.'!P103+'ม.ค.-มี.ค.'!Q103+'ม.ค.-มี.ค.'!R103+'ม.ค.-มี.ค.'!S103+'ม.ค.-มี.ค.'!U103+'ม.ค.-มี.ค.'!V103</f>
        <v>0</v>
      </c>
      <c r="F104" s="554">
        <f>+'เม.ย.-มิ.ย.'!E103+'เม.ย.-มิ.ย.'!F103+'เม.ย.-มิ.ย.'!G103+'เม.ย.-มิ.ย.'!H103+'เม.ย.-มิ.ย.'!I103+'เม.ย.-มิ.ย.'!M103+'เม.ย.-มิ.ย.'!N103+'เม.ย.-มิ.ย.'!P103+'เม.ย.-มิ.ย.'!R103+'เม.ย.-มิ.ย.'!S103</f>
        <v>1000</v>
      </c>
      <c r="G104" s="561">
        <f>+ก.ค.!E103+ก.ค.!F103+ก.ค.!H103+ก.ค.!I103+ก.ค.!M103+ก.ค.!N103+ก.ค.!P103+ก.ค.!S103+ก.ค.!T103</f>
        <v>0</v>
      </c>
      <c r="H104" s="561">
        <f t="shared" si="12"/>
        <v>1000</v>
      </c>
      <c r="I104" s="556">
        <f t="shared" si="11"/>
        <v>1000</v>
      </c>
    </row>
    <row r="105" spans="1:13" ht="21.75" customHeight="1">
      <c r="A105" s="9"/>
      <c r="B105" s="187" t="s">
        <v>251</v>
      </c>
      <c r="C105" s="279">
        <v>2000</v>
      </c>
      <c r="D105" s="554">
        <f>+'ต.ค.-ธ.ค.'!E105+'ต.ค.-ธ.ค.'!F105+'ต.ค.-ธ.ค.'!H105+'ต.ค.-ธ.ค.'!I105+'ต.ค.-ธ.ค.'!M105+'ต.ค.-ธ.ค.'!Q105+'ต.ค.-ธ.ค.'!S105</f>
        <v>0</v>
      </c>
      <c r="E105" s="554">
        <f>+'ม.ค.-มี.ค.'!D104+'ม.ค.-มี.ค.'!E104+'ม.ค.-มี.ค.'!F104+'ม.ค.-มี.ค.'!G104+'ม.ค.-มี.ค.'!H104+'ม.ค.-มี.ค.'!I104+'ม.ค.-มี.ค.'!J104+'ม.ค.-มี.ค.'!K104+'ม.ค.-มี.ค.'!L104+'ม.ค.-มี.ค.'!M104+'ม.ค.-มี.ค.'!N104+'ม.ค.-มี.ค.'!O104+'ม.ค.-มี.ค.'!P104+'ม.ค.-มี.ค.'!Q104+'ม.ค.-มี.ค.'!R104+'ม.ค.-มี.ค.'!S104+'ม.ค.-มี.ค.'!U104+'ม.ค.-มี.ค.'!V104</f>
        <v>0</v>
      </c>
      <c r="F105" s="554">
        <f>+'เม.ย.-มิ.ย.'!E104+'เม.ย.-มิ.ย.'!F104+'เม.ย.-มิ.ย.'!G104+'เม.ย.-มิ.ย.'!H104+'เม.ย.-มิ.ย.'!I104+'เม.ย.-มิ.ย.'!M104+'เม.ย.-มิ.ย.'!N104+'เม.ย.-มิ.ย.'!P104+'เม.ย.-มิ.ย.'!R104+'เม.ย.-มิ.ย.'!S104</f>
        <v>0</v>
      </c>
      <c r="G105" s="561">
        <f>+ก.ค.!E104+ก.ค.!F104+ก.ค.!H104+ก.ค.!I104+ก.ค.!M104+ก.ค.!N104+ก.ค.!P104+ก.ค.!S104+ก.ค.!T104</f>
        <v>0</v>
      </c>
      <c r="H105" s="561">
        <f t="shared" si="12"/>
        <v>0</v>
      </c>
      <c r="I105" s="556">
        <f t="shared" si="11"/>
        <v>2000</v>
      </c>
    </row>
    <row r="106" spans="1:13" ht="21.75" customHeight="1">
      <c r="A106" s="9"/>
      <c r="B106" s="187" t="s">
        <v>252</v>
      </c>
      <c r="C106" s="279">
        <v>2000</v>
      </c>
      <c r="D106" s="554">
        <f>+'ต.ค.-ธ.ค.'!E106+'ต.ค.-ธ.ค.'!F106+'ต.ค.-ธ.ค.'!H106+'ต.ค.-ธ.ค.'!I106+'ต.ค.-ธ.ค.'!M106+'ต.ค.-ธ.ค.'!Q106+'ต.ค.-ธ.ค.'!S106</f>
        <v>0</v>
      </c>
      <c r="E106" s="554">
        <f>+'ม.ค.-มี.ค.'!D105+'ม.ค.-มี.ค.'!E105+'ม.ค.-มี.ค.'!F105+'ม.ค.-มี.ค.'!G105+'ม.ค.-มี.ค.'!H105+'ม.ค.-มี.ค.'!I105+'ม.ค.-มี.ค.'!J105+'ม.ค.-มี.ค.'!K105+'ม.ค.-มี.ค.'!L105+'ม.ค.-มี.ค.'!M105+'ม.ค.-มี.ค.'!N105+'ม.ค.-มี.ค.'!O105+'ม.ค.-มี.ค.'!P105+'ม.ค.-มี.ค.'!Q105+'ม.ค.-มี.ค.'!R105+'ม.ค.-มี.ค.'!S105+'ม.ค.-มี.ค.'!U105+'ม.ค.-มี.ค.'!V105</f>
        <v>0</v>
      </c>
      <c r="F106" s="554">
        <f>+'เม.ย.-มิ.ย.'!E105+'เม.ย.-มิ.ย.'!F105+'เม.ย.-มิ.ย.'!G105+'เม.ย.-มิ.ย.'!H105+'เม.ย.-มิ.ย.'!I105+'เม.ย.-มิ.ย.'!M105+'เม.ย.-มิ.ย.'!N105+'เม.ย.-มิ.ย.'!P105+'เม.ย.-มิ.ย.'!R105+'เม.ย.-มิ.ย.'!S105</f>
        <v>0</v>
      </c>
      <c r="G106" s="561">
        <f>+ก.ค.!E105+ก.ค.!F105+ก.ค.!H105+ก.ค.!I105+ก.ค.!M105+ก.ค.!N105+ก.ค.!P105+ก.ค.!S105+ก.ค.!T105</f>
        <v>0</v>
      </c>
      <c r="H106" s="561">
        <f t="shared" si="12"/>
        <v>0</v>
      </c>
      <c r="I106" s="556">
        <f t="shared" si="11"/>
        <v>2000</v>
      </c>
    </row>
    <row r="107" spans="1:13" ht="21.75" customHeight="1">
      <c r="A107" s="9"/>
      <c r="B107" s="187" t="s">
        <v>253</v>
      </c>
      <c r="C107" s="279">
        <v>2000</v>
      </c>
      <c r="D107" s="554">
        <f>+'ต.ค.-ธ.ค.'!E107+'ต.ค.-ธ.ค.'!F107+'ต.ค.-ธ.ค.'!H107+'ต.ค.-ธ.ค.'!I107+'ต.ค.-ธ.ค.'!M107+'ต.ค.-ธ.ค.'!Q107+'ต.ค.-ธ.ค.'!S107</f>
        <v>0</v>
      </c>
      <c r="E107" s="554">
        <f>+'ม.ค.-มี.ค.'!D106+'ม.ค.-มี.ค.'!E106+'ม.ค.-มี.ค.'!F106+'ม.ค.-มี.ค.'!G106+'ม.ค.-มี.ค.'!H106+'ม.ค.-มี.ค.'!I106+'ม.ค.-มี.ค.'!J106+'ม.ค.-มี.ค.'!K106+'ม.ค.-มี.ค.'!L106+'ม.ค.-มี.ค.'!M106+'ม.ค.-มี.ค.'!N106+'ม.ค.-มี.ค.'!O106+'ม.ค.-มี.ค.'!P106+'ม.ค.-มี.ค.'!Q106+'ม.ค.-มี.ค.'!R106+'ม.ค.-มี.ค.'!S106+'ม.ค.-มี.ค.'!U106+'ม.ค.-มี.ค.'!V106</f>
        <v>0</v>
      </c>
      <c r="F107" s="554">
        <f>+'เม.ย.-มิ.ย.'!E106+'เม.ย.-มิ.ย.'!F106+'เม.ย.-มิ.ย.'!G106+'เม.ย.-มิ.ย.'!H106+'เม.ย.-มิ.ย.'!I106+'เม.ย.-มิ.ย.'!M106+'เม.ย.-มิ.ย.'!N106+'เม.ย.-มิ.ย.'!P106+'เม.ย.-มิ.ย.'!R106+'เม.ย.-มิ.ย.'!S106</f>
        <v>0</v>
      </c>
      <c r="G107" s="561">
        <f>+ก.ค.!E106+ก.ค.!F106+ก.ค.!H106+ก.ค.!I106+ก.ค.!M106+ก.ค.!N106+ก.ค.!P106+ก.ค.!S106+ก.ค.!T106</f>
        <v>0</v>
      </c>
      <c r="H107" s="561">
        <f t="shared" si="12"/>
        <v>0</v>
      </c>
      <c r="I107" s="556">
        <f t="shared" si="11"/>
        <v>2000</v>
      </c>
    </row>
    <row r="108" spans="1:13" ht="21.75" customHeight="1">
      <c r="A108" s="9"/>
      <c r="B108" s="187" t="s">
        <v>254</v>
      </c>
      <c r="C108" s="279">
        <v>2000</v>
      </c>
      <c r="D108" s="554">
        <f>+'ต.ค.-ธ.ค.'!E108+'ต.ค.-ธ.ค.'!F108+'ต.ค.-ธ.ค.'!H108+'ต.ค.-ธ.ค.'!I108+'ต.ค.-ธ.ค.'!M108+'ต.ค.-ธ.ค.'!Q108+'ต.ค.-ธ.ค.'!S108</f>
        <v>0</v>
      </c>
      <c r="E108" s="554">
        <f>+'ม.ค.-มี.ค.'!D107+'ม.ค.-มี.ค.'!E107+'ม.ค.-มี.ค.'!F107+'ม.ค.-มี.ค.'!G107+'ม.ค.-มี.ค.'!H107+'ม.ค.-มี.ค.'!I107+'ม.ค.-มี.ค.'!J107+'ม.ค.-มี.ค.'!K107+'ม.ค.-มี.ค.'!L107+'ม.ค.-มี.ค.'!M107+'ม.ค.-มี.ค.'!N107+'ม.ค.-มี.ค.'!O107+'ม.ค.-มี.ค.'!P107+'ม.ค.-มี.ค.'!Q107+'ม.ค.-มี.ค.'!R107+'ม.ค.-มี.ค.'!S107+'ม.ค.-มี.ค.'!U107+'ม.ค.-มี.ค.'!V107</f>
        <v>0</v>
      </c>
      <c r="F108" s="554">
        <f>+'เม.ย.-มิ.ย.'!E107+'เม.ย.-มิ.ย.'!F107+'เม.ย.-มิ.ย.'!G107+'เม.ย.-มิ.ย.'!H107+'เม.ย.-มิ.ย.'!I107+'เม.ย.-มิ.ย.'!M107+'เม.ย.-มิ.ย.'!N107+'เม.ย.-มิ.ย.'!P107+'เม.ย.-มิ.ย.'!R107+'เม.ย.-มิ.ย.'!S107</f>
        <v>0</v>
      </c>
      <c r="G108" s="561">
        <f>+ก.ค.!E107+ก.ค.!F107+ก.ค.!H107+ก.ค.!I107+ก.ค.!M107+ก.ค.!N107+ก.ค.!P107+ก.ค.!S107+ก.ค.!T107</f>
        <v>0</v>
      </c>
      <c r="H108" s="561">
        <f t="shared" si="12"/>
        <v>0</v>
      </c>
      <c r="I108" s="556">
        <f t="shared" si="11"/>
        <v>2000</v>
      </c>
    </row>
    <row r="109" spans="1:13" ht="21.75" customHeight="1">
      <c r="A109" s="9"/>
      <c r="B109" s="187" t="s">
        <v>312</v>
      </c>
      <c r="C109" s="279">
        <v>2500</v>
      </c>
      <c r="D109" s="554">
        <f>+'ต.ค.-ธ.ค.'!E109+'ต.ค.-ธ.ค.'!F109+'ต.ค.-ธ.ค.'!H109+'ต.ค.-ธ.ค.'!I109+'ต.ค.-ธ.ค.'!M109+'ต.ค.-ธ.ค.'!Q109+'ต.ค.-ธ.ค.'!S109</f>
        <v>0</v>
      </c>
      <c r="E109" s="554">
        <f>+'ม.ค.-มี.ค.'!D108+'ม.ค.-มี.ค.'!E108+'ม.ค.-มี.ค.'!F108+'ม.ค.-มี.ค.'!G108+'ม.ค.-มี.ค.'!H108+'ม.ค.-มี.ค.'!I108+'ม.ค.-มี.ค.'!J108+'ม.ค.-มี.ค.'!K108+'ม.ค.-มี.ค.'!L108+'ม.ค.-มี.ค.'!M108+'ม.ค.-มี.ค.'!N108+'ม.ค.-มี.ค.'!O108+'ม.ค.-มี.ค.'!P108+'ม.ค.-มี.ค.'!Q108+'ม.ค.-มี.ค.'!R108+'ม.ค.-มี.ค.'!S108+'ม.ค.-มี.ค.'!U108+'ม.ค.-มี.ค.'!V108</f>
        <v>0</v>
      </c>
      <c r="F109" s="554">
        <f>+'เม.ย.-มิ.ย.'!E108+'เม.ย.-มิ.ย.'!F108+'เม.ย.-มิ.ย.'!G108+'เม.ย.-มิ.ย.'!H108+'เม.ย.-มิ.ย.'!I108+'เม.ย.-มิ.ย.'!M108+'เม.ย.-มิ.ย.'!N108+'เม.ย.-มิ.ย.'!P108+'เม.ย.-มิ.ย.'!R108+'เม.ย.-มิ.ย.'!S108</f>
        <v>0</v>
      </c>
      <c r="G109" s="561">
        <f>+ก.ค.!E108+ก.ค.!F108+ก.ค.!H108+ก.ค.!I108+ก.ค.!M108+ก.ค.!N108+ก.ค.!P108+ก.ค.!S108+ก.ค.!T108</f>
        <v>0</v>
      </c>
      <c r="H109" s="561">
        <f t="shared" si="12"/>
        <v>0</v>
      </c>
      <c r="I109" s="556">
        <f t="shared" si="11"/>
        <v>2500</v>
      </c>
    </row>
    <row r="110" spans="1:13" ht="21.75" customHeight="1">
      <c r="A110" s="9"/>
      <c r="B110" s="187" t="s">
        <v>313</v>
      </c>
      <c r="C110" s="279">
        <v>2500</v>
      </c>
      <c r="D110" s="554">
        <f>+'ต.ค.-ธ.ค.'!E110+'ต.ค.-ธ.ค.'!F110+'ต.ค.-ธ.ค.'!H110+'ต.ค.-ธ.ค.'!I110+'ต.ค.-ธ.ค.'!M110+'ต.ค.-ธ.ค.'!Q110+'ต.ค.-ธ.ค.'!S110</f>
        <v>0</v>
      </c>
      <c r="E110" s="554">
        <f>+'ม.ค.-มี.ค.'!D109+'ม.ค.-มี.ค.'!E109+'ม.ค.-มี.ค.'!F109+'ม.ค.-มี.ค.'!G109+'ม.ค.-มี.ค.'!H109+'ม.ค.-มี.ค.'!I109+'ม.ค.-มี.ค.'!J109+'ม.ค.-มี.ค.'!K109+'ม.ค.-มี.ค.'!L109+'ม.ค.-มี.ค.'!M109+'ม.ค.-มี.ค.'!N109+'ม.ค.-มี.ค.'!O109+'ม.ค.-มี.ค.'!P109+'ม.ค.-มี.ค.'!Q109+'ม.ค.-มี.ค.'!R109+'ม.ค.-มี.ค.'!S109+'ม.ค.-มี.ค.'!U109+'ม.ค.-มี.ค.'!V109</f>
        <v>0</v>
      </c>
      <c r="F110" s="554">
        <f>+'เม.ย.-มิ.ย.'!E109+'เม.ย.-มิ.ย.'!F109+'เม.ย.-มิ.ย.'!G109+'เม.ย.-มิ.ย.'!H109+'เม.ย.-มิ.ย.'!I109+'เม.ย.-มิ.ย.'!M109+'เม.ย.-มิ.ย.'!N109+'เม.ย.-มิ.ย.'!P109+'เม.ย.-มิ.ย.'!R109+'เม.ย.-มิ.ย.'!S109</f>
        <v>0</v>
      </c>
      <c r="G110" s="561">
        <f>+ก.ค.!E109+ก.ค.!F109+ก.ค.!H109+ก.ค.!I109+ก.ค.!M109+ก.ค.!N109+ก.ค.!P109+ก.ค.!S109+ก.ค.!T109</f>
        <v>0</v>
      </c>
      <c r="H110" s="561">
        <f t="shared" si="12"/>
        <v>0</v>
      </c>
      <c r="I110" s="556">
        <f t="shared" si="11"/>
        <v>2500</v>
      </c>
    </row>
    <row r="111" spans="1:13" ht="21.75" customHeight="1">
      <c r="A111" s="9"/>
      <c r="B111" s="187" t="s">
        <v>314</v>
      </c>
      <c r="C111" s="279">
        <v>2500</v>
      </c>
      <c r="D111" s="554">
        <f>+'ต.ค.-ธ.ค.'!E111+'ต.ค.-ธ.ค.'!F111+'ต.ค.-ธ.ค.'!H111+'ต.ค.-ธ.ค.'!I111+'ต.ค.-ธ.ค.'!M111+'ต.ค.-ธ.ค.'!Q111+'ต.ค.-ธ.ค.'!S111</f>
        <v>0</v>
      </c>
      <c r="E111" s="554">
        <f>+'ม.ค.-มี.ค.'!D110+'ม.ค.-มี.ค.'!E110+'ม.ค.-มี.ค.'!F110+'ม.ค.-มี.ค.'!G110+'ม.ค.-มี.ค.'!H110+'ม.ค.-มี.ค.'!I110+'ม.ค.-มี.ค.'!J110+'ม.ค.-มี.ค.'!K110+'ม.ค.-มี.ค.'!L110+'ม.ค.-มี.ค.'!M110+'ม.ค.-มี.ค.'!N110+'ม.ค.-มี.ค.'!O110+'ม.ค.-มี.ค.'!P110+'ม.ค.-มี.ค.'!Q110+'ม.ค.-มี.ค.'!R110+'ม.ค.-มี.ค.'!S110+'ม.ค.-มี.ค.'!U110+'ม.ค.-มี.ค.'!V110</f>
        <v>0</v>
      </c>
      <c r="F111" s="554">
        <f>+'เม.ย.-มิ.ย.'!E110+'เม.ย.-มิ.ย.'!F110+'เม.ย.-มิ.ย.'!G110+'เม.ย.-มิ.ย.'!H110+'เม.ย.-มิ.ย.'!I110+'เม.ย.-มิ.ย.'!M110+'เม.ย.-มิ.ย.'!N110+'เม.ย.-มิ.ย.'!P110+'เม.ย.-มิ.ย.'!R110+'เม.ย.-มิ.ย.'!S110</f>
        <v>0</v>
      </c>
      <c r="G111" s="561">
        <f>+ก.ค.!E110+ก.ค.!F110+ก.ค.!H110+ก.ค.!I110+ก.ค.!M110+ก.ค.!N110+ก.ค.!P110+ก.ค.!S110+ก.ค.!T110</f>
        <v>0</v>
      </c>
      <c r="H111" s="561">
        <f t="shared" si="12"/>
        <v>0</v>
      </c>
      <c r="I111" s="556">
        <f t="shared" si="11"/>
        <v>2500</v>
      </c>
    </row>
    <row r="112" spans="1:13" ht="21.75" customHeight="1">
      <c r="A112" s="9"/>
      <c r="B112" s="187" t="s">
        <v>255</v>
      </c>
      <c r="C112" s="279">
        <f>4000+2500</f>
        <v>6500</v>
      </c>
      <c r="D112" s="554">
        <f>+'ต.ค.-ธ.ค.'!E112+'ต.ค.-ธ.ค.'!F112+'ต.ค.-ธ.ค.'!H112+'ต.ค.-ธ.ค.'!I112+'ต.ค.-ธ.ค.'!M112+'ต.ค.-ธ.ค.'!Q112+'ต.ค.-ธ.ค.'!S112</f>
        <v>0</v>
      </c>
      <c r="E112" s="554">
        <f>+'ม.ค.-มี.ค.'!D111+'ม.ค.-มี.ค.'!E111+'ม.ค.-มี.ค.'!F111+'ม.ค.-มี.ค.'!G111+'ม.ค.-มี.ค.'!H111+'ม.ค.-มี.ค.'!I111+'ม.ค.-มี.ค.'!J111+'ม.ค.-มี.ค.'!K111+'ม.ค.-มี.ค.'!L111+'ม.ค.-มี.ค.'!M111+'ม.ค.-มี.ค.'!N111+'ม.ค.-มี.ค.'!O111+'ม.ค.-มี.ค.'!P111+'ม.ค.-มี.ค.'!Q111+'ม.ค.-มี.ค.'!R111+'ม.ค.-มี.ค.'!S111+'ม.ค.-มี.ค.'!U111+'ม.ค.-มี.ค.'!V111</f>
        <v>0</v>
      </c>
      <c r="F112" s="554">
        <f>+'เม.ย.-มิ.ย.'!E111+'เม.ย.-มิ.ย.'!F111+'เม.ย.-มิ.ย.'!G111+'เม.ย.-มิ.ย.'!H111+'เม.ย.-มิ.ย.'!I111+'เม.ย.-มิ.ย.'!M111+'เม.ย.-มิ.ย.'!N111+'เม.ย.-มิ.ย.'!P111+'เม.ย.-มิ.ย.'!R111+'เม.ย.-มิ.ย.'!S111</f>
        <v>0</v>
      </c>
      <c r="G112" s="561">
        <f>+ก.ค.!E111+ก.ค.!F111+ก.ค.!H111+ก.ค.!I111+ก.ค.!M111+ก.ค.!N111+ก.ค.!P111+ก.ค.!S111+ก.ค.!T111</f>
        <v>0</v>
      </c>
      <c r="H112" s="561">
        <f t="shared" si="12"/>
        <v>0</v>
      </c>
      <c r="I112" s="556">
        <f t="shared" si="11"/>
        <v>6500</v>
      </c>
    </row>
    <row r="113" spans="1:14" ht="21.75" customHeight="1">
      <c r="A113" s="9"/>
      <c r="B113" s="187" t="s">
        <v>256</v>
      </c>
      <c r="C113" s="279">
        <f>2500+2500</f>
        <v>5000</v>
      </c>
      <c r="D113" s="554">
        <f>+'ต.ค.-ธ.ค.'!E113+'ต.ค.-ธ.ค.'!F113+'ต.ค.-ธ.ค.'!H113+'ต.ค.-ธ.ค.'!I113+'ต.ค.-ธ.ค.'!M113+'ต.ค.-ธ.ค.'!Q113+'ต.ค.-ธ.ค.'!S113</f>
        <v>0</v>
      </c>
      <c r="E113" s="554">
        <f>+'ม.ค.-มี.ค.'!D112+'ม.ค.-มี.ค.'!E112+'ม.ค.-มี.ค.'!F112+'ม.ค.-มี.ค.'!G112+'ม.ค.-มี.ค.'!H112+'ม.ค.-มี.ค.'!I112+'ม.ค.-มี.ค.'!J112+'ม.ค.-มี.ค.'!K112+'ม.ค.-มี.ค.'!L112+'ม.ค.-มี.ค.'!M112+'ม.ค.-มี.ค.'!N112+'ม.ค.-มี.ค.'!O112+'ม.ค.-มี.ค.'!P112+'ม.ค.-มี.ค.'!Q112+'ม.ค.-มี.ค.'!R112+'ม.ค.-มี.ค.'!S112+'ม.ค.-มี.ค.'!U112+'ม.ค.-มี.ค.'!V112</f>
        <v>0</v>
      </c>
      <c r="F113" s="554">
        <f>+'เม.ย.-มิ.ย.'!E112+'เม.ย.-มิ.ย.'!F112+'เม.ย.-มิ.ย.'!G112+'เม.ย.-มิ.ย.'!H112+'เม.ย.-มิ.ย.'!I112+'เม.ย.-มิ.ย.'!M112+'เม.ย.-มิ.ย.'!N112+'เม.ย.-มิ.ย.'!P112+'เม.ย.-มิ.ย.'!R112+'เม.ย.-มิ.ย.'!S112</f>
        <v>0</v>
      </c>
      <c r="G113" s="561">
        <f>+ก.ค.!E112+ก.ค.!F112+ก.ค.!H112+ก.ค.!I112+ก.ค.!M112+ก.ค.!N112+ก.ค.!P112+ก.ค.!S112+ก.ค.!T112</f>
        <v>0</v>
      </c>
      <c r="H113" s="561">
        <f t="shared" si="12"/>
        <v>0</v>
      </c>
      <c r="I113" s="556">
        <f t="shared" si="11"/>
        <v>5000</v>
      </c>
    </row>
    <row r="114" spans="1:14" ht="21.75" customHeight="1">
      <c r="A114" s="9"/>
      <c r="B114" s="187" t="s">
        <v>257</v>
      </c>
      <c r="C114" s="279">
        <f>2500+2500</f>
        <v>5000</v>
      </c>
      <c r="D114" s="554">
        <f>+'ต.ค.-ธ.ค.'!E114+'ต.ค.-ธ.ค.'!F114+'ต.ค.-ธ.ค.'!H114+'ต.ค.-ธ.ค.'!I114+'ต.ค.-ธ.ค.'!M114+'ต.ค.-ธ.ค.'!Q114+'ต.ค.-ธ.ค.'!S114</f>
        <v>0</v>
      </c>
      <c r="E114" s="554">
        <f>+'ม.ค.-มี.ค.'!D113+'ม.ค.-มี.ค.'!E113+'ม.ค.-มี.ค.'!F113+'ม.ค.-มี.ค.'!G113+'ม.ค.-มี.ค.'!H113+'ม.ค.-มี.ค.'!I113+'ม.ค.-มี.ค.'!J113+'ม.ค.-มี.ค.'!K113+'ม.ค.-มี.ค.'!L113+'ม.ค.-มี.ค.'!M113+'ม.ค.-มี.ค.'!N113+'ม.ค.-มี.ค.'!O113+'ม.ค.-มี.ค.'!P113+'ม.ค.-มี.ค.'!Q113+'ม.ค.-มี.ค.'!R113+'ม.ค.-มี.ค.'!S113+'ม.ค.-มี.ค.'!U113+'ม.ค.-มี.ค.'!V113</f>
        <v>0</v>
      </c>
      <c r="F114" s="554">
        <f>+'เม.ย.-มิ.ย.'!E113+'เม.ย.-มิ.ย.'!F113+'เม.ย.-มิ.ย.'!G113+'เม.ย.-มิ.ย.'!H113+'เม.ย.-มิ.ย.'!I113+'เม.ย.-มิ.ย.'!M113+'เม.ย.-มิ.ย.'!N113+'เม.ย.-มิ.ย.'!P113+'เม.ย.-มิ.ย.'!R113+'เม.ย.-มิ.ย.'!S113</f>
        <v>0</v>
      </c>
      <c r="G114" s="561">
        <f>+ก.ค.!E113+ก.ค.!F113+ก.ค.!H113+ก.ค.!I113+ก.ค.!M113+ก.ค.!N113+ก.ค.!P113+ก.ค.!S113+ก.ค.!T113</f>
        <v>0</v>
      </c>
      <c r="H114" s="561">
        <f t="shared" si="12"/>
        <v>0</v>
      </c>
      <c r="I114" s="556">
        <f t="shared" si="11"/>
        <v>5000</v>
      </c>
    </row>
    <row r="115" spans="1:14" ht="21.75" customHeight="1">
      <c r="A115" s="9"/>
      <c r="B115" s="187" t="s">
        <v>258</v>
      </c>
      <c r="C115" s="279">
        <f>2500+2500</f>
        <v>5000</v>
      </c>
      <c r="D115" s="554">
        <f>+'ต.ค.-ธ.ค.'!E115+'ต.ค.-ธ.ค.'!F115+'ต.ค.-ธ.ค.'!H115+'ต.ค.-ธ.ค.'!I115+'ต.ค.-ธ.ค.'!M115+'ต.ค.-ธ.ค.'!Q115+'ต.ค.-ธ.ค.'!S115</f>
        <v>0</v>
      </c>
      <c r="E115" s="554">
        <f>+'ม.ค.-มี.ค.'!D114+'ม.ค.-มี.ค.'!E114+'ม.ค.-มี.ค.'!F114+'ม.ค.-มี.ค.'!G114+'ม.ค.-มี.ค.'!H114+'ม.ค.-มี.ค.'!I114+'ม.ค.-มี.ค.'!J114+'ม.ค.-มี.ค.'!K114+'ม.ค.-มี.ค.'!L114+'ม.ค.-มี.ค.'!M114+'ม.ค.-มี.ค.'!N114+'ม.ค.-มี.ค.'!O114+'ม.ค.-มี.ค.'!P114+'ม.ค.-มี.ค.'!Q114+'ม.ค.-มี.ค.'!R114+'ม.ค.-มี.ค.'!S114+'ม.ค.-มี.ค.'!U114+'ม.ค.-มี.ค.'!V114</f>
        <v>0</v>
      </c>
      <c r="F115" s="554">
        <f>+'เม.ย.-มิ.ย.'!E114+'เม.ย.-มิ.ย.'!F114+'เม.ย.-มิ.ย.'!G114+'เม.ย.-มิ.ย.'!H114+'เม.ย.-มิ.ย.'!I114+'เม.ย.-มิ.ย.'!M114+'เม.ย.-มิ.ย.'!N114+'เม.ย.-มิ.ย.'!P114+'เม.ย.-มิ.ย.'!R114+'เม.ย.-มิ.ย.'!S114</f>
        <v>0</v>
      </c>
      <c r="G115" s="561">
        <f>+ก.ค.!E114+ก.ค.!F114+ก.ค.!H114+ก.ค.!I114+ก.ค.!M114+ก.ค.!N114+ก.ค.!P114+ก.ค.!S114+ก.ค.!T114</f>
        <v>0</v>
      </c>
      <c r="H115" s="561">
        <f t="shared" si="12"/>
        <v>0</v>
      </c>
      <c r="I115" s="556">
        <f t="shared" si="11"/>
        <v>5000</v>
      </c>
    </row>
    <row r="116" spans="1:14" s="172" customFormat="1" ht="21.75" customHeight="1">
      <c r="A116" s="9"/>
      <c r="B116" s="187" t="s">
        <v>259</v>
      </c>
      <c r="C116" s="279">
        <f>1000-1000</f>
        <v>0</v>
      </c>
      <c r="D116" s="554">
        <f>+'ต.ค.-ธ.ค.'!E116+'ต.ค.-ธ.ค.'!F116+'ต.ค.-ธ.ค.'!H116+'ต.ค.-ธ.ค.'!I116+'ต.ค.-ธ.ค.'!M116+'ต.ค.-ธ.ค.'!Q116+'ต.ค.-ธ.ค.'!S116</f>
        <v>0</v>
      </c>
      <c r="E116" s="554">
        <f>+'ม.ค.-มี.ค.'!D115+'ม.ค.-มี.ค.'!E115+'ม.ค.-มี.ค.'!F115+'ม.ค.-มี.ค.'!G115+'ม.ค.-มี.ค.'!H115+'ม.ค.-มี.ค.'!I115+'ม.ค.-มี.ค.'!J115+'ม.ค.-มี.ค.'!K115+'ม.ค.-มี.ค.'!L115+'ม.ค.-มี.ค.'!M115+'ม.ค.-มี.ค.'!N115+'ม.ค.-มี.ค.'!O115+'ม.ค.-มี.ค.'!P115+'ม.ค.-มี.ค.'!Q115+'ม.ค.-มี.ค.'!R115+'ม.ค.-มี.ค.'!S115+'ม.ค.-มี.ค.'!U115+'ม.ค.-มี.ค.'!V115</f>
        <v>0</v>
      </c>
      <c r="F116" s="554">
        <f>+'เม.ย.-มิ.ย.'!E115+'เม.ย.-มิ.ย.'!F115+'เม.ย.-มิ.ย.'!G115+'เม.ย.-มิ.ย.'!H115+'เม.ย.-มิ.ย.'!I115+'เม.ย.-มิ.ย.'!M115+'เม.ย.-มิ.ย.'!N115+'เม.ย.-มิ.ย.'!P115+'เม.ย.-มิ.ย.'!R115+'เม.ย.-มิ.ย.'!S115</f>
        <v>0</v>
      </c>
      <c r="G116" s="561">
        <f>+ก.ค.!E115+ก.ค.!F115+ก.ค.!H115+ก.ค.!I115+ก.ค.!M115+ก.ค.!N115+ก.ค.!P115+ก.ค.!S115+ก.ค.!T115</f>
        <v>0</v>
      </c>
      <c r="H116" s="561">
        <f t="shared" si="12"/>
        <v>0</v>
      </c>
      <c r="I116" s="556">
        <f t="shared" ref="I116:I176" si="13">+C116-H116</f>
        <v>0</v>
      </c>
      <c r="J116" s="233"/>
      <c r="K116" s="331"/>
      <c r="L116" s="330"/>
      <c r="M116" s="330"/>
    </row>
    <row r="117" spans="1:14" ht="21.75" customHeight="1">
      <c r="A117" s="9"/>
      <c r="B117" s="187" t="s">
        <v>260</v>
      </c>
      <c r="C117" s="279">
        <f>1000-1000</f>
        <v>0</v>
      </c>
      <c r="D117" s="554">
        <f>+'ต.ค.-ธ.ค.'!E117+'ต.ค.-ธ.ค.'!F117+'ต.ค.-ธ.ค.'!H117+'ต.ค.-ธ.ค.'!I117+'ต.ค.-ธ.ค.'!M117+'ต.ค.-ธ.ค.'!Q117+'ต.ค.-ธ.ค.'!S117</f>
        <v>0</v>
      </c>
      <c r="E117" s="554">
        <f>+'ม.ค.-มี.ค.'!D116+'ม.ค.-มี.ค.'!E116+'ม.ค.-มี.ค.'!F116+'ม.ค.-มี.ค.'!G116+'ม.ค.-มี.ค.'!H116+'ม.ค.-มี.ค.'!I116+'ม.ค.-มี.ค.'!J116+'ม.ค.-มี.ค.'!K116+'ม.ค.-มี.ค.'!L116+'ม.ค.-มี.ค.'!M116+'ม.ค.-มี.ค.'!N116+'ม.ค.-มี.ค.'!O116+'ม.ค.-มี.ค.'!P116+'ม.ค.-มี.ค.'!Q116+'ม.ค.-มี.ค.'!R116+'ม.ค.-มี.ค.'!S116+'ม.ค.-มี.ค.'!U116+'ม.ค.-มี.ค.'!V116</f>
        <v>0</v>
      </c>
      <c r="F117" s="554">
        <f>+'เม.ย.-มิ.ย.'!E116+'เม.ย.-มิ.ย.'!F116+'เม.ย.-มิ.ย.'!G116+'เม.ย.-มิ.ย.'!H116+'เม.ย.-มิ.ย.'!I116+'เม.ย.-มิ.ย.'!M116+'เม.ย.-มิ.ย.'!N116+'เม.ย.-มิ.ย.'!P116+'เม.ย.-มิ.ย.'!R116+'เม.ย.-มิ.ย.'!S116</f>
        <v>0</v>
      </c>
      <c r="G117" s="561">
        <f>+ก.ค.!E116+ก.ค.!F116+ก.ค.!H116+ก.ค.!I116+ก.ค.!M116+ก.ค.!N116+ก.ค.!P116+ก.ค.!S116+ก.ค.!T116</f>
        <v>0</v>
      </c>
      <c r="H117" s="561">
        <f t="shared" si="12"/>
        <v>0</v>
      </c>
      <c r="I117" s="556">
        <f t="shared" si="13"/>
        <v>0</v>
      </c>
    </row>
    <row r="118" spans="1:14" ht="21.75" customHeight="1">
      <c r="A118" s="9"/>
      <c r="B118" s="187" t="s">
        <v>261</v>
      </c>
      <c r="C118" s="279">
        <v>1000</v>
      </c>
      <c r="D118" s="554">
        <f>+'ต.ค.-ธ.ค.'!E118+'ต.ค.-ธ.ค.'!F118+'ต.ค.-ธ.ค.'!H118+'ต.ค.-ธ.ค.'!I118+'ต.ค.-ธ.ค.'!M118+'ต.ค.-ธ.ค.'!Q118+'ต.ค.-ธ.ค.'!S118</f>
        <v>0</v>
      </c>
      <c r="E118" s="554">
        <f>+'ม.ค.-มี.ค.'!D117+'ม.ค.-มี.ค.'!E117+'ม.ค.-มี.ค.'!F117+'ม.ค.-มี.ค.'!G117+'ม.ค.-มี.ค.'!H117+'ม.ค.-มี.ค.'!I117+'ม.ค.-มี.ค.'!J117+'ม.ค.-มี.ค.'!K117+'ม.ค.-มี.ค.'!L117+'ม.ค.-มี.ค.'!M117+'ม.ค.-มี.ค.'!N117+'ม.ค.-มี.ค.'!O117+'ม.ค.-มี.ค.'!P117+'ม.ค.-มี.ค.'!Q117+'ม.ค.-มี.ค.'!R117+'ม.ค.-มี.ค.'!S117+'ม.ค.-มี.ค.'!U117+'ม.ค.-มี.ค.'!V117</f>
        <v>0</v>
      </c>
      <c r="F118" s="554">
        <f>+'เม.ย.-มิ.ย.'!E117+'เม.ย.-มิ.ย.'!F117+'เม.ย.-มิ.ย.'!G117+'เม.ย.-มิ.ย.'!H117+'เม.ย.-มิ.ย.'!I117+'เม.ย.-มิ.ย.'!M117+'เม.ย.-มิ.ย.'!N117+'เม.ย.-มิ.ย.'!P117+'เม.ย.-มิ.ย.'!R117+'เม.ย.-มิ.ย.'!S117</f>
        <v>0</v>
      </c>
      <c r="G118" s="561">
        <f>+ก.ค.!E117+ก.ค.!F117+ก.ค.!H117+ก.ค.!I117+ก.ค.!M117+ก.ค.!N117+ก.ค.!P117+ก.ค.!S117+ก.ค.!T117</f>
        <v>0</v>
      </c>
      <c r="H118" s="561">
        <f t="shared" ref="H118:H177" si="14">SUM(D118:G118)</f>
        <v>0</v>
      </c>
      <c r="I118" s="556">
        <f t="shared" si="13"/>
        <v>1000</v>
      </c>
      <c r="K118" s="331"/>
      <c r="L118" s="338"/>
      <c r="M118" s="247"/>
      <c r="N118" s="168"/>
    </row>
    <row r="119" spans="1:14" ht="21.75" customHeight="1">
      <c r="A119" s="9"/>
      <c r="B119" s="187" t="s">
        <v>262</v>
      </c>
      <c r="C119" s="279">
        <v>1000</v>
      </c>
      <c r="D119" s="554">
        <f>+'ต.ค.-ธ.ค.'!E119+'ต.ค.-ธ.ค.'!F119+'ต.ค.-ธ.ค.'!H119+'ต.ค.-ธ.ค.'!I119+'ต.ค.-ธ.ค.'!M119+'ต.ค.-ธ.ค.'!Q119+'ต.ค.-ธ.ค.'!S119</f>
        <v>0</v>
      </c>
      <c r="E119" s="554">
        <f>+'ม.ค.-มี.ค.'!D118+'ม.ค.-มี.ค.'!E118+'ม.ค.-มี.ค.'!F118+'ม.ค.-มี.ค.'!G118+'ม.ค.-มี.ค.'!H118+'ม.ค.-มี.ค.'!I118+'ม.ค.-มี.ค.'!J118+'ม.ค.-มี.ค.'!K118+'ม.ค.-มี.ค.'!L118+'ม.ค.-มี.ค.'!M118+'ม.ค.-มี.ค.'!N118+'ม.ค.-มี.ค.'!O118+'ม.ค.-มี.ค.'!P118+'ม.ค.-มี.ค.'!Q118+'ม.ค.-มี.ค.'!R118+'ม.ค.-มี.ค.'!S118+'ม.ค.-มี.ค.'!U118+'ม.ค.-มี.ค.'!V118</f>
        <v>0</v>
      </c>
      <c r="F119" s="554">
        <f>+'เม.ย.-มิ.ย.'!E118+'เม.ย.-มิ.ย.'!F118+'เม.ย.-มิ.ย.'!G118+'เม.ย.-มิ.ย.'!H118+'เม.ย.-มิ.ย.'!I118+'เม.ย.-มิ.ย.'!M118+'เม.ย.-มิ.ย.'!N118+'เม.ย.-มิ.ย.'!P118+'เม.ย.-มิ.ย.'!R118+'เม.ย.-มิ.ย.'!S118</f>
        <v>0</v>
      </c>
      <c r="G119" s="561">
        <f>+ก.ค.!E118+ก.ค.!F118+ก.ค.!H118+ก.ค.!I118+ก.ค.!M118+ก.ค.!N118+ก.ค.!P118+ก.ค.!S118+ก.ค.!T118</f>
        <v>0</v>
      </c>
      <c r="H119" s="561">
        <f t="shared" si="14"/>
        <v>0</v>
      </c>
      <c r="I119" s="556">
        <f t="shared" si="13"/>
        <v>1000</v>
      </c>
      <c r="K119" s="331"/>
      <c r="L119" s="338"/>
      <c r="M119" s="247"/>
      <c r="N119" s="168"/>
    </row>
    <row r="120" spans="1:14" ht="21.75" customHeight="1">
      <c r="A120" s="9"/>
      <c r="B120" s="187" t="s">
        <v>211</v>
      </c>
      <c r="C120" s="279">
        <f>392000-2500-1500-9000-2500</f>
        <v>376500</v>
      </c>
      <c r="D120" s="554">
        <f>+'ต.ค.-ธ.ค.'!E120+'ต.ค.-ธ.ค.'!F120+'ต.ค.-ธ.ค.'!H120+'ต.ค.-ธ.ค.'!I120+'ต.ค.-ธ.ค.'!M120+'ต.ค.-ธ.ค.'!Q120+'ต.ค.-ธ.ค.'!S120</f>
        <v>104000</v>
      </c>
      <c r="E120" s="554">
        <f>+'ม.ค.-มี.ค.'!D119+'ม.ค.-มี.ค.'!E119+'ม.ค.-มี.ค.'!F119+'ม.ค.-มี.ค.'!G119+'ม.ค.-มี.ค.'!H119+'ม.ค.-มี.ค.'!I119+'ม.ค.-มี.ค.'!J119+'ม.ค.-มี.ค.'!K119+'ม.ค.-มี.ค.'!L119+'ม.ค.-มี.ค.'!M119+'ม.ค.-มี.ค.'!N119+'ม.ค.-มี.ค.'!O119+'ม.ค.-มี.ค.'!P119+'ม.ค.-มี.ค.'!Q119+'ม.ค.-มี.ค.'!R119+'ม.ค.-มี.ค.'!S119+'ม.ค.-มี.ค.'!U119+'ม.ค.-มี.ค.'!V119</f>
        <v>93600</v>
      </c>
      <c r="F120" s="554">
        <f>+'เม.ย.-มิ.ย.'!E119+'เม.ย.-มิ.ย.'!F119+'เม.ย.-มิ.ย.'!G119+'เม.ย.-มิ.ย.'!H119+'เม.ย.-มิ.ย.'!I119+'เม.ย.-มิ.ย.'!M119+'เม.ย.-มิ.ย.'!N119+'เม.ย.-มิ.ย.'!P119+'เม.ย.-มิ.ย.'!R119+'เม.ย.-มิ.ย.'!S119</f>
        <v>93600</v>
      </c>
      <c r="G120" s="561">
        <f>+ก.ค.!E119+ก.ค.!F119+ก.ค.!H119+ก.ค.!I119+ก.ค.!M119+ก.ค.!N119+ก.ค.!P119+ก.ค.!S119+ก.ค.!T119</f>
        <v>0</v>
      </c>
      <c r="H120" s="561">
        <f t="shared" si="14"/>
        <v>291200</v>
      </c>
      <c r="I120" s="556">
        <f t="shared" si="13"/>
        <v>85300</v>
      </c>
    </row>
    <row r="121" spans="1:14" ht="21.75" customHeight="1">
      <c r="A121" s="9"/>
      <c r="B121" s="187" t="s">
        <v>263</v>
      </c>
      <c r="C121" s="279">
        <v>200900</v>
      </c>
      <c r="D121" s="554">
        <f>+'ต.ค.-ธ.ค.'!E121+'ต.ค.-ธ.ค.'!F121+'ต.ค.-ธ.ค.'!H121+'ต.ค.-ธ.ค.'!I121+'ต.ค.-ธ.ค.'!M121+'ต.ค.-ธ.ค.'!Q121+'ต.ค.-ธ.ค.'!S121</f>
        <v>54600</v>
      </c>
      <c r="E121" s="554">
        <f>+'ม.ค.-มี.ค.'!D120+'ม.ค.-มี.ค.'!E120+'ม.ค.-มี.ค.'!F120+'ม.ค.-มี.ค.'!G120+'ม.ค.-มี.ค.'!H120+'ม.ค.-มี.ค.'!I120+'ม.ค.-มี.ค.'!J120+'ม.ค.-มี.ค.'!K120+'ม.ค.-มี.ค.'!L120+'ม.ค.-มี.ค.'!M120+'ม.ค.-มี.ค.'!N120+'ม.ค.-มี.ค.'!O120+'ม.ค.-มี.ค.'!P120+'ม.ค.-มี.ค.'!Q120+'ม.ค.-มี.ค.'!R120+'ม.ค.-มี.ค.'!S120+'ม.ค.-มี.ค.'!U120+'ม.ค.-มี.ค.'!V120</f>
        <v>50400</v>
      </c>
      <c r="F121" s="554">
        <f>+'เม.ย.-มิ.ย.'!E120+'เม.ย.-มิ.ย.'!F120+'เม.ย.-มิ.ย.'!G120+'เม.ย.-มิ.ย.'!H120+'เม.ย.-มิ.ย.'!I120+'เม.ย.-มิ.ย.'!M120+'เม.ย.-มิ.ย.'!N120+'เม.ย.-มิ.ย.'!P120+'เม.ย.-มิ.ย.'!R120+'เม.ย.-มิ.ย.'!S120</f>
        <v>50400</v>
      </c>
      <c r="G121" s="561">
        <f>+ก.ค.!E120+ก.ค.!F120+ก.ค.!H120+ก.ค.!I120+ก.ค.!M120+ก.ค.!N120+ก.ค.!P120+ก.ค.!S120+ก.ค.!T120</f>
        <v>0</v>
      </c>
      <c r="H121" s="561">
        <f t="shared" si="14"/>
        <v>155400</v>
      </c>
      <c r="I121" s="556">
        <f t="shared" si="13"/>
        <v>45500</v>
      </c>
    </row>
    <row r="122" spans="1:14" ht="21.75" customHeight="1">
      <c r="A122" s="9"/>
      <c r="B122" s="187" t="s">
        <v>315</v>
      </c>
      <c r="C122" s="279">
        <v>230300</v>
      </c>
      <c r="D122" s="554">
        <f>+'ต.ค.-ธ.ค.'!E122+'ต.ค.-ธ.ค.'!F122+'ต.ค.-ธ.ค.'!H122+'ต.ค.-ธ.ค.'!I122+'ต.ค.-ธ.ค.'!M122+'ต.ค.-ธ.ค.'!Q122+'ต.ค.-ธ.ค.'!S122</f>
        <v>59800</v>
      </c>
      <c r="E122" s="554">
        <f>+'ม.ค.-มี.ค.'!D121+'ม.ค.-มี.ค.'!E121+'ม.ค.-มี.ค.'!F121+'ม.ค.-มี.ค.'!G121+'ม.ค.-มี.ค.'!H121+'ม.ค.-มี.ค.'!I121+'ม.ค.-มี.ค.'!J121+'ม.ค.-มี.ค.'!K121+'ม.ค.-มี.ค.'!L121+'ม.ค.-มี.ค.'!M121+'ม.ค.-มี.ค.'!N121+'ม.ค.-มี.ค.'!O121+'ม.ค.-มี.ค.'!P121+'ม.ค.-มี.ค.'!Q121+'ม.ค.-มี.ค.'!R121+'ม.ค.-มี.ค.'!S121+'ม.ค.-มี.ค.'!U121+'ม.ค.-มี.ค.'!V121</f>
        <v>55200</v>
      </c>
      <c r="F122" s="554">
        <f>+'เม.ย.-มิ.ย.'!E121+'เม.ย.-มิ.ย.'!F121+'เม.ย.-มิ.ย.'!G121+'เม.ย.-มิ.ย.'!H121+'เม.ย.-มิ.ย.'!I121+'เม.ย.-มิ.ย.'!M121+'เม.ย.-มิ.ย.'!N121+'เม.ย.-มิ.ย.'!P121+'เม.ย.-มิ.ย.'!R121+'เม.ย.-มิ.ย.'!S121</f>
        <v>55200</v>
      </c>
      <c r="G122" s="561">
        <f>+ก.ค.!E121+ก.ค.!F121+ก.ค.!H121+ก.ค.!I121+ก.ค.!M121+ก.ค.!N121+ก.ค.!P121+ก.ค.!S121+ก.ค.!T121</f>
        <v>0</v>
      </c>
      <c r="H122" s="561">
        <f t="shared" si="14"/>
        <v>170200</v>
      </c>
      <c r="I122" s="556">
        <f t="shared" si="13"/>
        <v>60100</v>
      </c>
    </row>
    <row r="123" spans="1:14" ht="21.75" customHeight="1">
      <c r="A123" s="9"/>
      <c r="B123" s="187" t="s">
        <v>212</v>
      </c>
      <c r="C123" s="279">
        <f>171500-2500</f>
        <v>169000</v>
      </c>
      <c r="D123" s="554">
        <f>+'ต.ค.-ธ.ค.'!E123+'ต.ค.-ธ.ค.'!F123+'ต.ค.-ธ.ค.'!H123+'ต.ค.-ธ.ค.'!I123+'ต.ค.-ธ.ค.'!M123+'ต.ค.-ธ.ค.'!Q123+'ต.ค.-ธ.ค.'!S123</f>
        <v>45500</v>
      </c>
      <c r="E123" s="554">
        <f>+'ม.ค.-มี.ค.'!D122+'ม.ค.-มี.ค.'!E122+'ม.ค.-มี.ค.'!F122+'ม.ค.-มี.ค.'!G122+'ม.ค.-มี.ค.'!H122+'ม.ค.-มี.ค.'!I122+'ม.ค.-มี.ค.'!J122+'ม.ค.-มี.ค.'!K122+'ม.ค.-มี.ค.'!L122+'ม.ค.-มี.ค.'!M122+'ม.ค.-มี.ค.'!N122+'ม.ค.-มี.ค.'!O122+'ม.ค.-มี.ค.'!P122+'ม.ค.-มี.ค.'!Q122+'ม.ค.-มี.ค.'!R122+'ม.ค.-มี.ค.'!S122+'ม.ค.-มี.ค.'!U122+'ม.ค.-มี.ค.'!V122</f>
        <v>43200</v>
      </c>
      <c r="F123" s="554">
        <f>+'เม.ย.-มิ.ย.'!E122+'เม.ย.-มิ.ย.'!F122+'เม.ย.-มิ.ย.'!G122+'เม.ย.-มิ.ย.'!H122+'เม.ย.-มิ.ย.'!I122+'เม.ย.-มิ.ย.'!M122+'เม.ย.-มิ.ย.'!N122+'เม.ย.-มิ.ย.'!P122+'เม.ย.-มิ.ย.'!R122+'เม.ย.-มิ.ย.'!S122</f>
        <v>43200</v>
      </c>
      <c r="G123" s="561">
        <f>+ก.ค.!E122+ก.ค.!F122+ก.ค.!H122+ก.ค.!I122+ก.ค.!M122+ก.ค.!N122+ก.ค.!P122+ก.ค.!S122+ก.ค.!T122</f>
        <v>0</v>
      </c>
      <c r="H123" s="561">
        <f t="shared" si="14"/>
        <v>131900</v>
      </c>
      <c r="I123" s="556">
        <f t="shared" si="13"/>
        <v>37100</v>
      </c>
    </row>
    <row r="124" spans="1:14" ht="21.75" customHeight="1">
      <c r="A124" s="9"/>
      <c r="B124" s="187" t="s">
        <v>140</v>
      </c>
      <c r="C124" s="279">
        <v>50000</v>
      </c>
      <c r="D124" s="554">
        <f>+'ต.ค.-ธ.ค.'!E124+'ต.ค.-ธ.ค.'!F124+'ต.ค.-ธ.ค.'!H124+'ต.ค.-ธ.ค.'!I124+'ต.ค.-ธ.ค.'!M124+'ต.ค.-ธ.ค.'!Q124+'ต.ค.-ธ.ค.'!S124</f>
        <v>0</v>
      </c>
      <c r="E124" s="554">
        <f>+'ม.ค.-มี.ค.'!D123+'ม.ค.-มี.ค.'!E123+'ม.ค.-มี.ค.'!F123+'ม.ค.-มี.ค.'!G123+'ม.ค.-มี.ค.'!H123+'ม.ค.-มี.ค.'!I123+'ม.ค.-มี.ค.'!J123+'ม.ค.-มี.ค.'!K123+'ม.ค.-มี.ค.'!L123+'ม.ค.-มี.ค.'!M123+'ม.ค.-มี.ค.'!N123+'ม.ค.-มี.ค.'!O123+'ม.ค.-มี.ค.'!P123+'ม.ค.-มี.ค.'!Q123+'ม.ค.-มี.ค.'!R123+'ม.ค.-มี.ค.'!S123+'ม.ค.-มี.ค.'!U123+'ม.ค.-มี.ค.'!V123</f>
        <v>49995</v>
      </c>
      <c r="F124" s="554">
        <f>+'เม.ย.-มิ.ย.'!E123+'เม.ย.-มิ.ย.'!F123+'เม.ย.-มิ.ย.'!G123+'เม.ย.-มิ.ย.'!H123+'เม.ย.-มิ.ย.'!I123+'เม.ย.-มิ.ย.'!M123+'เม.ย.-มิ.ย.'!N123+'เม.ย.-มิ.ย.'!P123+'เม.ย.-มิ.ย.'!R123+'เม.ย.-มิ.ย.'!S123</f>
        <v>0</v>
      </c>
      <c r="G124" s="561">
        <f>+ก.ค.!E123+ก.ค.!F123+ก.ค.!H123+ก.ค.!I123+ก.ค.!M123+ก.ค.!N123+ก.ค.!P123+ก.ค.!S123+ก.ค.!T123</f>
        <v>0</v>
      </c>
      <c r="H124" s="561">
        <f t="shared" si="14"/>
        <v>49995</v>
      </c>
      <c r="I124" s="556">
        <f t="shared" si="13"/>
        <v>5</v>
      </c>
      <c r="K124" s="331"/>
      <c r="L124" s="247"/>
      <c r="M124" s="247"/>
      <c r="N124" s="168"/>
    </row>
    <row r="125" spans="1:14" ht="21.75" customHeight="1">
      <c r="A125" s="9"/>
      <c r="B125" s="187" t="s">
        <v>206</v>
      </c>
      <c r="C125" s="279">
        <f>20000+20000</f>
        <v>40000</v>
      </c>
      <c r="D125" s="554">
        <f>+'ต.ค.-ธ.ค.'!E125+'ต.ค.-ธ.ค.'!F125+'ต.ค.-ธ.ค.'!H125+'ต.ค.-ธ.ค.'!I125+'ต.ค.-ธ.ค.'!M125+'ต.ค.-ธ.ค.'!Q125+'ต.ค.-ธ.ค.'!S125</f>
        <v>0</v>
      </c>
      <c r="E125" s="554">
        <f>+'ม.ค.-มี.ค.'!D124+'ม.ค.-มี.ค.'!E124+'ม.ค.-มี.ค.'!F124+'ม.ค.-มี.ค.'!G124+'ม.ค.-มี.ค.'!H124+'ม.ค.-มี.ค.'!I124+'ม.ค.-มี.ค.'!J124+'ม.ค.-มี.ค.'!K124+'ม.ค.-มี.ค.'!L124+'ม.ค.-มี.ค.'!M124+'ม.ค.-มี.ค.'!N124+'ม.ค.-มี.ค.'!O124+'ม.ค.-มี.ค.'!P124+'ม.ค.-มี.ค.'!Q124+'ม.ค.-มี.ค.'!R124+'ม.ค.-มี.ค.'!S124+'ม.ค.-มี.ค.'!U124+'ม.ค.-มี.ค.'!V124</f>
        <v>0</v>
      </c>
      <c r="F125" s="554">
        <f>+'เม.ย.-มิ.ย.'!E124+'เม.ย.-มิ.ย.'!F124+'เม.ย.-มิ.ย.'!G124+'เม.ย.-มิ.ย.'!H124+'เม.ย.-มิ.ย.'!I124+'เม.ย.-มิ.ย.'!M124+'เม.ย.-มิ.ย.'!N124+'เม.ย.-มิ.ย.'!P124+'เม.ย.-มิ.ย.'!R124+'เม.ย.-มิ.ย.'!S124</f>
        <v>0</v>
      </c>
      <c r="G125" s="561">
        <f>+ก.ค.!E124+ก.ค.!F124+ก.ค.!H124+ก.ค.!I124+ก.ค.!M124+ก.ค.!N124+ก.ค.!P124+ก.ค.!S124+ก.ค.!T124</f>
        <v>0</v>
      </c>
      <c r="H125" s="561">
        <f t="shared" si="14"/>
        <v>0</v>
      </c>
      <c r="I125" s="556">
        <f t="shared" si="13"/>
        <v>40000</v>
      </c>
      <c r="K125" s="331"/>
      <c r="L125" s="247"/>
      <c r="M125" s="247"/>
      <c r="N125" s="168"/>
    </row>
    <row r="126" spans="1:14" s="168" customFormat="1" ht="21.75" customHeight="1">
      <c r="A126" s="9"/>
      <c r="B126" s="187" t="s">
        <v>326</v>
      </c>
      <c r="C126" s="279">
        <f>5000-5000</f>
        <v>0</v>
      </c>
      <c r="D126" s="554">
        <f>+'ต.ค.-ธ.ค.'!E126+'ต.ค.-ธ.ค.'!F126+'ต.ค.-ธ.ค.'!H126+'ต.ค.-ธ.ค.'!I126+'ต.ค.-ธ.ค.'!M126+'ต.ค.-ธ.ค.'!Q126+'ต.ค.-ธ.ค.'!S126</f>
        <v>0</v>
      </c>
      <c r="E126" s="554">
        <f>+'ม.ค.-มี.ค.'!D125+'ม.ค.-มี.ค.'!E125+'ม.ค.-มี.ค.'!F125+'ม.ค.-มี.ค.'!G125+'ม.ค.-มี.ค.'!H125+'ม.ค.-มี.ค.'!I125+'ม.ค.-มี.ค.'!J125+'ม.ค.-มี.ค.'!K125+'ม.ค.-มี.ค.'!L125+'ม.ค.-มี.ค.'!M125+'ม.ค.-มี.ค.'!N125+'ม.ค.-มี.ค.'!O125+'ม.ค.-มี.ค.'!P125+'ม.ค.-มี.ค.'!Q125+'ม.ค.-มี.ค.'!R125+'ม.ค.-มี.ค.'!S125+'ม.ค.-มี.ค.'!U125+'ม.ค.-มี.ค.'!V125</f>
        <v>0</v>
      </c>
      <c r="F126" s="554">
        <f>+'เม.ย.-มิ.ย.'!E125+'เม.ย.-มิ.ย.'!F125+'เม.ย.-มิ.ย.'!G125+'เม.ย.-มิ.ย.'!H125+'เม.ย.-มิ.ย.'!I125+'เม.ย.-มิ.ย.'!M125+'เม.ย.-มิ.ย.'!N125+'เม.ย.-มิ.ย.'!P125+'เม.ย.-มิ.ย.'!R125+'เม.ย.-มิ.ย.'!S125</f>
        <v>0</v>
      </c>
      <c r="G126" s="561">
        <f>+ก.ค.!E125+ก.ค.!F125+ก.ค.!H125+ก.ค.!I125+ก.ค.!M125+ก.ค.!N125+ก.ค.!P125+ก.ค.!S125+ก.ค.!T125</f>
        <v>0</v>
      </c>
      <c r="H126" s="561">
        <f t="shared" si="14"/>
        <v>0</v>
      </c>
      <c r="I126" s="556">
        <f t="shared" si="13"/>
        <v>0</v>
      </c>
      <c r="J126" s="233"/>
      <c r="K126" s="331"/>
      <c r="L126" s="247"/>
      <c r="M126" s="338"/>
    </row>
    <row r="127" spans="1:14" ht="21.75" customHeight="1">
      <c r="A127" s="9"/>
      <c r="B127" s="187" t="s">
        <v>327</v>
      </c>
      <c r="C127" s="279">
        <v>5000</v>
      </c>
      <c r="D127" s="554">
        <f>+'ต.ค.-ธ.ค.'!E127+'ต.ค.-ธ.ค.'!F127+'ต.ค.-ธ.ค.'!H127+'ต.ค.-ธ.ค.'!I127+'ต.ค.-ธ.ค.'!M127+'ต.ค.-ธ.ค.'!Q127+'ต.ค.-ธ.ค.'!S127</f>
        <v>0</v>
      </c>
      <c r="E127" s="554">
        <f>+'ม.ค.-มี.ค.'!D126+'ม.ค.-มี.ค.'!E126+'ม.ค.-มี.ค.'!F126+'ม.ค.-มี.ค.'!G126+'ม.ค.-มี.ค.'!H126+'ม.ค.-มี.ค.'!I126+'ม.ค.-มี.ค.'!J126+'ม.ค.-มี.ค.'!K126+'ม.ค.-มี.ค.'!L126+'ม.ค.-มี.ค.'!M126+'ม.ค.-มี.ค.'!N126+'ม.ค.-มี.ค.'!O126+'ม.ค.-มี.ค.'!P126+'ม.ค.-มี.ค.'!Q126+'ม.ค.-มี.ค.'!R126+'ม.ค.-มี.ค.'!S126+'ม.ค.-มี.ค.'!U126+'ม.ค.-มี.ค.'!V126</f>
        <v>0</v>
      </c>
      <c r="F127" s="554">
        <f>+'เม.ย.-มิ.ย.'!E126+'เม.ย.-มิ.ย.'!F126+'เม.ย.-มิ.ย.'!G126+'เม.ย.-มิ.ย.'!H126+'เม.ย.-มิ.ย.'!I126+'เม.ย.-มิ.ย.'!M126+'เม.ย.-มิ.ย.'!N126+'เม.ย.-มิ.ย.'!P126+'เม.ย.-มิ.ย.'!R126+'เม.ย.-มิ.ย.'!S126</f>
        <v>0</v>
      </c>
      <c r="G127" s="561">
        <f>+ก.ค.!E126+ก.ค.!F126+ก.ค.!H126+ก.ค.!I126+ก.ค.!M126+ก.ค.!N126+ก.ค.!P126+ก.ค.!S126+ก.ค.!T126</f>
        <v>0</v>
      </c>
      <c r="H127" s="561">
        <f t="shared" si="14"/>
        <v>0</v>
      </c>
      <c r="I127" s="556">
        <f t="shared" si="13"/>
        <v>5000</v>
      </c>
      <c r="K127" s="331"/>
      <c r="L127" s="247"/>
      <c r="M127" s="247"/>
      <c r="N127" s="168"/>
    </row>
    <row r="128" spans="1:14" ht="21.75" customHeight="1">
      <c r="A128" s="9"/>
      <c r="B128" s="187" t="s">
        <v>142</v>
      </c>
      <c r="C128" s="279">
        <f>20000-10000</f>
        <v>10000</v>
      </c>
      <c r="D128" s="554">
        <f>+'ต.ค.-ธ.ค.'!E128+'ต.ค.-ธ.ค.'!F128+'ต.ค.-ธ.ค.'!H128+'ต.ค.-ธ.ค.'!I128+'ต.ค.-ธ.ค.'!M128+'ต.ค.-ธ.ค.'!Q128+'ต.ค.-ธ.ค.'!S128</f>
        <v>0</v>
      </c>
      <c r="E128" s="554">
        <f>+'ม.ค.-มี.ค.'!D127+'ม.ค.-มี.ค.'!E127+'ม.ค.-มี.ค.'!F127+'ม.ค.-มี.ค.'!G127+'ม.ค.-มี.ค.'!H127+'ม.ค.-มี.ค.'!I127+'ม.ค.-มี.ค.'!J127+'ม.ค.-มี.ค.'!K127+'ม.ค.-มี.ค.'!L127+'ม.ค.-มี.ค.'!M127+'ม.ค.-มี.ค.'!N127+'ม.ค.-มี.ค.'!O127+'ม.ค.-มี.ค.'!P127+'ม.ค.-มี.ค.'!Q127+'ม.ค.-มี.ค.'!R127+'ม.ค.-มี.ค.'!S127+'ม.ค.-มี.ค.'!U127+'ม.ค.-มี.ค.'!V127</f>
        <v>0</v>
      </c>
      <c r="F128" s="554">
        <f>+'เม.ย.-มิ.ย.'!E127+'เม.ย.-มิ.ย.'!F127+'เม.ย.-มิ.ย.'!G127+'เม.ย.-มิ.ย.'!H127+'เม.ย.-มิ.ย.'!I127+'เม.ย.-มิ.ย.'!M127+'เม.ย.-มิ.ย.'!N127+'เม.ย.-มิ.ย.'!P127+'เม.ย.-มิ.ย.'!R127+'เม.ย.-มิ.ย.'!S127</f>
        <v>0</v>
      </c>
      <c r="G128" s="561">
        <f>+ก.ค.!E127+ก.ค.!F127+ก.ค.!H127+ก.ค.!I127+ก.ค.!M127+ก.ค.!N127+ก.ค.!P127+ก.ค.!S127+ก.ค.!T127</f>
        <v>0</v>
      </c>
      <c r="H128" s="561">
        <f t="shared" si="14"/>
        <v>0</v>
      </c>
      <c r="I128" s="556">
        <f t="shared" si="13"/>
        <v>10000</v>
      </c>
    </row>
    <row r="129" spans="1:13" ht="21.75" customHeight="1">
      <c r="A129" s="9"/>
      <c r="B129" s="226" t="s">
        <v>328</v>
      </c>
      <c r="C129" s="279">
        <f>10000-10000</f>
        <v>0</v>
      </c>
      <c r="D129" s="554">
        <f>+'ต.ค.-ธ.ค.'!E129+'ต.ค.-ธ.ค.'!F129+'ต.ค.-ธ.ค.'!H129+'ต.ค.-ธ.ค.'!I129+'ต.ค.-ธ.ค.'!M129+'ต.ค.-ธ.ค.'!Q129+'ต.ค.-ธ.ค.'!S129</f>
        <v>0</v>
      </c>
      <c r="E129" s="554">
        <f>+'ม.ค.-มี.ค.'!D128+'ม.ค.-มี.ค.'!E128+'ม.ค.-มี.ค.'!F128+'ม.ค.-มี.ค.'!G128+'ม.ค.-มี.ค.'!H128+'ม.ค.-มี.ค.'!I128+'ม.ค.-มี.ค.'!J128+'ม.ค.-มี.ค.'!K128+'ม.ค.-มี.ค.'!L128+'ม.ค.-มี.ค.'!M128+'ม.ค.-มี.ค.'!N128+'ม.ค.-มี.ค.'!O128+'ม.ค.-มี.ค.'!P128+'ม.ค.-มี.ค.'!Q128+'ม.ค.-มี.ค.'!R128+'ม.ค.-มี.ค.'!S128+'ม.ค.-มี.ค.'!U128+'ม.ค.-มี.ค.'!V128</f>
        <v>0</v>
      </c>
      <c r="F129" s="554">
        <f>+'เม.ย.-มิ.ย.'!E128+'เม.ย.-มิ.ย.'!F128+'เม.ย.-มิ.ย.'!G128+'เม.ย.-มิ.ย.'!H128+'เม.ย.-มิ.ย.'!I128+'เม.ย.-มิ.ย.'!M128+'เม.ย.-มิ.ย.'!N128+'เม.ย.-มิ.ย.'!P128+'เม.ย.-มิ.ย.'!R128+'เม.ย.-มิ.ย.'!S128</f>
        <v>0</v>
      </c>
      <c r="G129" s="561">
        <f>+ก.ค.!E128+ก.ค.!F128+ก.ค.!H128+ก.ค.!I128+ก.ค.!M128+ก.ค.!N128+ก.ค.!P128+ก.ค.!S128+ก.ค.!T128</f>
        <v>0</v>
      </c>
      <c r="H129" s="561">
        <f t="shared" si="14"/>
        <v>0</v>
      </c>
      <c r="I129" s="556">
        <f t="shared" si="13"/>
        <v>0</v>
      </c>
    </row>
    <row r="130" spans="1:13" ht="21.75" customHeight="1">
      <c r="A130" s="9"/>
      <c r="B130" s="226" t="s">
        <v>329</v>
      </c>
      <c r="C130" s="279">
        <v>10000</v>
      </c>
      <c r="D130" s="554">
        <f>+'ต.ค.-ธ.ค.'!E130+'ต.ค.-ธ.ค.'!F130+'ต.ค.-ธ.ค.'!H130+'ต.ค.-ธ.ค.'!I130+'ต.ค.-ธ.ค.'!M130+'ต.ค.-ธ.ค.'!Q130+'ต.ค.-ธ.ค.'!S130</f>
        <v>0</v>
      </c>
      <c r="E130" s="554">
        <f>+'ม.ค.-มี.ค.'!D129+'ม.ค.-มี.ค.'!E129+'ม.ค.-มี.ค.'!F129+'ม.ค.-มี.ค.'!G129+'ม.ค.-มี.ค.'!H129+'ม.ค.-มี.ค.'!I129+'ม.ค.-มี.ค.'!J129+'ม.ค.-มี.ค.'!K129+'ม.ค.-มี.ค.'!L129+'ม.ค.-มี.ค.'!M129+'ม.ค.-มี.ค.'!N129+'ม.ค.-มี.ค.'!O129+'ม.ค.-มี.ค.'!P129+'ม.ค.-มี.ค.'!Q129+'ม.ค.-มี.ค.'!R129+'ม.ค.-มี.ค.'!S129+'ม.ค.-มี.ค.'!U129+'ม.ค.-มี.ค.'!V129</f>
        <v>0</v>
      </c>
      <c r="F130" s="554">
        <f>+'เม.ย.-มิ.ย.'!E129+'เม.ย.-มิ.ย.'!F129+'เม.ย.-มิ.ย.'!G129+'เม.ย.-มิ.ย.'!H129+'เม.ย.-มิ.ย.'!I129+'เม.ย.-มิ.ย.'!M129+'เม.ย.-มิ.ย.'!N129+'เม.ย.-มิ.ย.'!P129+'เม.ย.-มิ.ย.'!R129+'เม.ย.-มิ.ย.'!S129</f>
        <v>0</v>
      </c>
      <c r="G130" s="561">
        <f>+ก.ค.!E129+ก.ค.!F129+ก.ค.!H129+ก.ค.!I129+ก.ค.!M129+ก.ค.!N129+ก.ค.!P129+ก.ค.!S129+ก.ค.!T129</f>
        <v>0</v>
      </c>
      <c r="H130" s="561">
        <f t="shared" si="14"/>
        <v>0</v>
      </c>
      <c r="I130" s="556">
        <f t="shared" si="13"/>
        <v>10000</v>
      </c>
    </row>
    <row r="131" spans="1:13" s="168" customFormat="1" ht="21.75" customHeight="1">
      <c r="A131" s="9"/>
      <c r="B131" s="226" t="s">
        <v>330</v>
      </c>
      <c r="C131" s="279">
        <f>10000-7000</f>
        <v>3000</v>
      </c>
      <c r="D131" s="554">
        <f>+'ต.ค.-ธ.ค.'!E131+'ต.ค.-ธ.ค.'!F131+'ต.ค.-ธ.ค.'!H131+'ต.ค.-ธ.ค.'!I131+'ต.ค.-ธ.ค.'!M131+'ต.ค.-ธ.ค.'!Q131+'ต.ค.-ธ.ค.'!S131</f>
        <v>0</v>
      </c>
      <c r="E131" s="554">
        <f>+'ม.ค.-มี.ค.'!D130+'ม.ค.-มี.ค.'!E130+'ม.ค.-มี.ค.'!F130+'ม.ค.-มี.ค.'!G130+'ม.ค.-มี.ค.'!H130+'ม.ค.-มี.ค.'!I130+'ม.ค.-มี.ค.'!J130+'ม.ค.-มี.ค.'!K130+'ม.ค.-มี.ค.'!L130+'ม.ค.-มี.ค.'!M130+'ม.ค.-มี.ค.'!N130+'ม.ค.-มี.ค.'!O130+'ม.ค.-มี.ค.'!P130+'ม.ค.-มี.ค.'!Q130+'ม.ค.-มี.ค.'!R130+'ม.ค.-มี.ค.'!S130+'ม.ค.-มี.ค.'!U130+'ม.ค.-มี.ค.'!V130</f>
        <v>0</v>
      </c>
      <c r="F131" s="554">
        <f>+'เม.ย.-มิ.ย.'!E130+'เม.ย.-มิ.ย.'!F130+'เม.ย.-มิ.ย.'!G130+'เม.ย.-มิ.ย.'!H130+'เม.ย.-มิ.ย.'!I130+'เม.ย.-มิ.ย.'!M130+'เม.ย.-มิ.ย.'!N130+'เม.ย.-มิ.ย.'!P130+'เม.ย.-มิ.ย.'!R130+'เม.ย.-มิ.ย.'!S130</f>
        <v>0</v>
      </c>
      <c r="G131" s="561">
        <f>+ก.ค.!E130+ก.ค.!F130+ก.ค.!H130+ก.ค.!I130+ก.ค.!M130+ก.ค.!N130+ก.ค.!P130+ก.ค.!S130+ก.ค.!T130</f>
        <v>0</v>
      </c>
      <c r="H131" s="561">
        <f t="shared" si="14"/>
        <v>0</v>
      </c>
      <c r="I131" s="556">
        <f t="shared" si="13"/>
        <v>3000</v>
      </c>
      <c r="J131" s="233"/>
      <c r="K131" s="331"/>
      <c r="L131" s="247"/>
      <c r="M131" s="247"/>
    </row>
    <row r="132" spans="1:13" s="168" customFormat="1" ht="21.75" customHeight="1">
      <c r="A132" s="9"/>
      <c r="B132" s="226" t="s">
        <v>331</v>
      </c>
      <c r="C132" s="279">
        <f>10000-10000</f>
        <v>0</v>
      </c>
      <c r="D132" s="554">
        <f>+'ต.ค.-ธ.ค.'!E132+'ต.ค.-ธ.ค.'!F132+'ต.ค.-ธ.ค.'!H132+'ต.ค.-ธ.ค.'!I132+'ต.ค.-ธ.ค.'!M132+'ต.ค.-ธ.ค.'!Q132+'ต.ค.-ธ.ค.'!S132</f>
        <v>0</v>
      </c>
      <c r="E132" s="554">
        <f>+'ม.ค.-มี.ค.'!D131+'ม.ค.-มี.ค.'!E131+'ม.ค.-มี.ค.'!F131+'ม.ค.-มี.ค.'!G131+'ม.ค.-มี.ค.'!H131+'ม.ค.-มี.ค.'!I131+'ม.ค.-มี.ค.'!J131+'ม.ค.-มี.ค.'!K131+'ม.ค.-มี.ค.'!L131+'ม.ค.-มี.ค.'!M131+'ม.ค.-มี.ค.'!N131+'ม.ค.-มี.ค.'!O131+'ม.ค.-มี.ค.'!P131+'ม.ค.-มี.ค.'!Q131+'ม.ค.-มี.ค.'!R131+'ม.ค.-มี.ค.'!S131+'ม.ค.-มี.ค.'!U131+'ม.ค.-มี.ค.'!V131</f>
        <v>0</v>
      </c>
      <c r="F132" s="554">
        <f>+'เม.ย.-มิ.ย.'!E131+'เม.ย.-มิ.ย.'!F131+'เม.ย.-มิ.ย.'!G131+'เม.ย.-มิ.ย.'!H131+'เม.ย.-มิ.ย.'!I131+'เม.ย.-มิ.ย.'!M131+'เม.ย.-มิ.ย.'!N131+'เม.ย.-มิ.ย.'!P131+'เม.ย.-มิ.ย.'!R131+'เม.ย.-มิ.ย.'!S131</f>
        <v>0</v>
      </c>
      <c r="G132" s="561">
        <f>+ก.ค.!E131+ก.ค.!F131+ก.ค.!H131+ก.ค.!I131+ก.ค.!M131+ก.ค.!N131+ก.ค.!P131+ก.ค.!S131+ก.ค.!T131</f>
        <v>0</v>
      </c>
      <c r="H132" s="561">
        <f t="shared" si="14"/>
        <v>0</v>
      </c>
      <c r="I132" s="556">
        <f t="shared" si="13"/>
        <v>0</v>
      </c>
      <c r="J132" s="233"/>
      <c r="K132" s="331"/>
      <c r="L132" s="247"/>
      <c r="M132" s="247"/>
    </row>
    <row r="133" spans="1:13" s="168" customFormat="1" ht="21.75" customHeight="1">
      <c r="A133" s="9"/>
      <c r="B133" s="226" t="s">
        <v>333</v>
      </c>
      <c r="C133" s="279">
        <f>15000-15000</f>
        <v>0</v>
      </c>
      <c r="D133" s="554">
        <f>+'ต.ค.-ธ.ค.'!E133+'ต.ค.-ธ.ค.'!F133+'ต.ค.-ธ.ค.'!H133+'ต.ค.-ธ.ค.'!I133+'ต.ค.-ธ.ค.'!M133+'ต.ค.-ธ.ค.'!Q133+'ต.ค.-ธ.ค.'!S133</f>
        <v>0</v>
      </c>
      <c r="E133" s="554">
        <f>+'ม.ค.-มี.ค.'!D132+'ม.ค.-มี.ค.'!E132+'ม.ค.-มี.ค.'!F132+'ม.ค.-มี.ค.'!G132+'ม.ค.-มี.ค.'!H132+'ม.ค.-มี.ค.'!I132+'ม.ค.-มี.ค.'!J132+'ม.ค.-มี.ค.'!K132+'ม.ค.-มี.ค.'!L132+'ม.ค.-มี.ค.'!M132+'ม.ค.-มี.ค.'!N132+'ม.ค.-มี.ค.'!O132+'ม.ค.-มี.ค.'!P132+'ม.ค.-มี.ค.'!Q132+'ม.ค.-มี.ค.'!R132+'ม.ค.-มี.ค.'!S132+'ม.ค.-มี.ค.'!U132+'ม.ค.-มี.ค.'!V132</f>
        <v>0</v>
      </c>
      <c r="F133" s="554">
        <f>+'เม.ย.-มิ.ย.'!E132+'เม.ย.-มิ.ย.'!F132+'เม.ย.-มิ.ย.'!G132+'เม.ย.-มิ.ย.'!H132+'เม.ย.-มิ.ย.'!I132+'เม.ย.-มิ.ย.'!M132+'เม.ย.-มิ.ย.'!N132+'เม.ย.-มิ.ย.'!P132+'เม.ย.-มิ.ย.'!R132+'เม.ย.-มิ.ย.'!S132</f>
        <v>0</v>
      </c>
      <c r="G133" s="561">
        <f>+ก.ค.!E132+ก.ค.!F132+ก.ค.!H132+ก.ค.!I132+ก.ค.!M132+ก.ค.!N132+ก.ค.!P132+ก.ค.!S132+ก.ค.!T132</f>
        <v>0</v>
      </c>
      <c r="H133" s="561">
        <f t="shared" si="14"/>
        <v>0</v>
      </c>
      <c r="I133" s="556">
        <f t="shared" si="13"/>
        <v>0</v>
      </c>
      <c r="J133" s="233"/>
      <c r="K133" s="331"/>
      <c r="L133" s="247"/>
      <c r="M133" s="247"/>
    </row>
    <row r="134" spans="1:13" ht="21.75" customHeight="1">
      <c r="A134" s="9"/>
      <c r="B134" s="226" t="s">
        <v>157</v>
      </c>
      <c r="C134" s="279">
        <f>10000+8000</f>
        <v>18000</v>
      </c>
      <c r="D134" s="554">
        <f>+'ต.ค.-ธ.ค.'!E134+'ต.ค.-ธ.ค.'!F134+'ต.ค.-ธ.ค.'!H134+'ต.ค.-ธ.ค.'!I134+'ต.ค.-ธ.ค.'!M134+'ต.ค.-ธ.ค.'!Q134+'ต.ค.-ธ.ค.'!S134</f>
        <v>0</v>
      </c>
      <c r="E134" s="554">
        <f>+'ม.ค.-มี.ค.'!D133+'ม.ค.-มี.ค.'!E133+'ม.ค.-มี.ค.'!F133+'ม.ค.-มี.ค.'!G133+'ม.ค.-มี.ค.'!H133+'ม.ค.-มี.ค.'!I133+'ม.ค.-มี.ค.'!J133+'ม.ค.-มี.ค.'!K133+'ม.ค.-มี.ค.'!L133+'ม.ค.-มี.ค.'!M133+'ม.ค.-มี.ค.'!N133+'ม.ค.-มี.ค.'!O133+'ม.ค.-มี.ค.'!P133+'ม.ค.-มี.ค.'!Q133+'ม.ค.-มี.ค.'!R133+'ม.ค.-มี.ค.'!S133+'ม.ค.-มี.ค.'!U133+'ม.ค.-มี.ค.'!V133</f>
        <v>0</v>
      </c>
      <c r="F134" s="554">
        <f>+'เม.ย.-มิ.ย.'!E133+'เม.ย.-มิ.ย.'!F133+'เม.ย.-มิ.ย.'!G133+'เม.ย.-มิ.ย.'!H133+'เม.ย.-มิ.ย.'!I133+'เม.ย.-มิ.ย.'!M133+'เม.ย.-มิ.ย.'!N133+'เม.ย.-มิ.ย.'!P133+'เม.ย.-มิ.ย.'!R133+'เม.ย.-มิ.ย.'!S133</f>
        <v>3600</v>
      </c>
      <c r="G134" s="561">
        <f>+ก.ค.!E133+ก.ค.!F133+ก.ค.!H133+ก.ค.!I133+ก.ค.!M133+ก.ค.!N133+ก.ค.!P133+ก.ค.!S133+ก.ค.!T133</f>
        <v>14395</v>
      </c>
      <c r="H134" s="561">
        <f t="shared" si="14"/>
        <v>17995</v>
      </c>
      <c r="I134" s="556">
        <f t="shared" si="13"/>
        <v>5</v>
      </c>
    </row>
    <row r="135" spans="1:13" ht="21.75" customHeight="1">
      <c r="A135" s="9"/>
      <c r="B135" s="226" t="s">
        <v>158</v>
      </c>
      <c r="C135" s="279">
        <f>10000-8000</f>
        <v>2000</v>
      </c>
      <c r="D135" s="554">
        <f>+'ต.ค.-ธ.ค.'!E135+'ต.ค.-ธ.ค.'!F135+'ต.ค.-ธ.ค.'!H135+'ต.ค.-ธ.ค.'!I135+'ต.ค.-ธ.ค.'!M135+'ต.ค.-ธ.ค.'!Q135+'ต.ค.-ธ.ค.'!S135</f>
        <v>0</v>
      </c>
      <c r="E135" s="554">
        <f>+'ม.ค.-มี.ค.'!D134+'ม.ค.-มี.ค.'!E134+'ม.ค.-มี.ค.'!F134+'ม.ค.-มี.ค.'!G134+'ม.ค.-มี.ค.'!H134+'ม.ค.-มี.ค.'!I134+'ม.ค.-มี.ค.'!J134+'ม.ค.-มี.ค.'!K134+'ม.ค.-มี.ค.'!L134+'ม.ค.-มี.ค.'!M134+'ม.ค.-มี.ค.'!N134+'ม.ค.-มี.ค.'!O134+'ม.ค.-มี.ค.'!P134+'ม.ค.-มี.ค.'!Q134+'ม.ค.-มี.ค.'!R134+'ม.ค.-มี.ค.'!S134+'ม.ค.-มี.ค.'!U134+'ม.ค.-มี.ค.'!V134</f>
        <v>0</v>
      </c>
      <c r="F135" s="554">
        <f>+'เม.ย.-มิ.ย.'!E134+'เม.ย.-มิ.ย.'!F134+'เม.ย.-มิ.ย.'!G134+'เม.ย.-มิ.ย.'!H134+'เม.ย.-มิ.ย.'!I134+'เม.ย.-มิ.ย.'!M134+'เม.ย.-มิ.ย.'!N134+'เม.ย.-มิ.ย.'!P134+'เม.ย.-มิ.ย.'!R134+'เม.ย.-มิ.ย.'!S134</f>
        <v>0</v>
      </c>
      <c r="G135" s="561">
        <f>+ก.ค.!E134+ก.ค.!F134+ก.ค.!H134+ก.ค.!I134+ก.ค.!M134+ก.ค.!N134+ก.ค.!P134+ก.ค.!S134+ก.ค.!T134</f>
        <v>0</v>
      </c>
      <c r="H135" s="561">
        <f t="shared" si="14"/>
        <v>0</v>
      </c>
      <c r="I135" s="556">
        <f t="shared" si="13"/>
        <v>2000</v>
      </c>
    </row>
    <row r="136" spans="1:13" ht="21.75" customHeight="1">
      <c r="A136" s="9"/>
      <c r="B136" s="226" t="s">
        <v>352</v>
      </c>
      <c r="C136" s="279">
        <f>10000+10000-20000</f>
        <v>0</v>
      </c>
      <c r="D136" s="554">
        <f>+'ต.ค.-ธ.ค.'!E136+'ต.ค.-ธ.ค.'!F136+'ต.ค.-ธ.ค.'!H136+'ต.ค.-ธ.ค.'!I136+'ต.ค.-ธ.ค.'!M136+'ต.ค.-ธ.ค.'!Q136+'ต.ค.-ธ.ค.'!S136</f>
        <v>0</v>
      </c>
      <c r="E136" s="554">
        <f>+'ม.ค.-มี.ค.'!D135+'ม.ค.-มี.ค.'!E135+'ม.ค.-มี.ค.'!F135+'ม.ค.-มี.ค.'!G135+'ม.ค.-มี.ค.'!H135+'ม.ค.-มี.ค.'!I135+'ม.ค.-มี.ค.'!J135+'ม.ค.-มี.ค.'!K135+'ม.ค.-มี.ค.'!L135+'ม.ค.-มี.ค.'!M135+'ม.ค.-มี.ค.'!N135+'ม.ค.-มี.ค.'!O135+'ม.ค.-มี.ค.'!P135+'ม.ค.-มี.ค.'!Q135+'ม.ค.-มี.ค.'!R135+'ม.ค.-มี.ค.'!S135+'ม.ค.-มี.ค.'!U135+'ม.ค.-มี.ค.'!V135</f>
        <v>0</v>
      </c>
      <c r="F136" s="554">
        <f>+'เม.ย.-มิ.ย.'!E135+'เม.ย.-มิ.ย.'!F135+'เม.ย.-มิ.ย.'!G135+'เม.ย.-มิ.ย.'!H135+'เม.ย.-มิ.ย.'!I135+'เม.ย.-มิ.ย.'!M135+'เม.ย.-มิ.ย.'!N135+'เม.ย.-มิ.ย.'!P135+'เม.ย.-มิ.ย.'!R135+'เม.ย.-มิ.ย.'!S135</f>
        <v>0</v>
      </c>
      <c r="G136" s="561">
        <f>+ก.ค.!E135+ก.ค.!F135+ก.ค.!H135+ก.ค.!I135+ก.ค.!M135+ก.ค.!N135+ก.ค.!P135+ก.ค.!S135+ก.ค.!T135</f>
        <v>0</v>
      </c>
      <c r="H136" s="561">
        <f t="shared" si="14"/>
        <v>0</v>
      </c>
      <c r="I136" s="556">
        <f t="shared" si="13"/>
        <v>0</v>
      </c>
    </row>
    <row r="137" spans="1:13" ht="21.75" customHeight="1">
      <c r="A137" s="9"/>
      <c r="B137" s="226" t="s">
        <v>213</v>
      </c>
      <c r="C137" s="279">
        <f>15000-10000</f>
        <v>5000</v>
      </c>
      <c r="D137" s="554">
        <f>+'ต.ค.-ธ.ค.'!E137+'ต.ค.-ธ.ค.'!F137+'ต.ค.-ธ.ค.'!H137+'ต.ค.-ธ.ค.'!I137+'ต.ค.-ธ.ค.'!M137+'ต.ค.-ธ.ค.'!Q137+'ต.ค.-ธ.ค.'!S137</f>
        <v>0</v>
      </c>
      <c r="E137" s="554">
        <f>+'ม.ค.-มี.ค.'!D136+'ม.ค.-มี.ค.'!E136+'ม.ค.-มี.ค.'!F136+'ม.ค.-มี.ค.'!G136+'ม.ค.-มี.ค.'!H136+'ม.ค.-มี.ค.'!I136+'ม.ค.-มี.ค.'!J136+'ม.ค.-มี.ค.'!K136+'ม.ค.-มี.ค.'!L136+'ม.ค.-มี.ค.'!M136+'ม.ค.-มี.ค.'!N136+'ม.ค.-มี.ค.'!O136+'ม.ค.-มี.ค.'!P136+'ม.ค.-มี.ค.'!Q136+'ม.ค.-มี.ค.'!R136+'ม.ค.-มี.ค.'!S136+'ม.ค.-มี.ค.'!U136+'ม.ค.-มี.ค.'!V136</f>
        <v>0</v>
      </c>
      <c r="F137" s="554">
        <f>+'เม.ย.-มิ.ย.'!E136+'เม.ย.-มิ.ย.'!F136+'เม.ย.-มิ.ย.'!G136+'เม.ย.-มิ.ย.'!H136+'เม.ย.-มิ.ย.'!I136+'เม.ย.-มิ.ย.'!M136+'เม.ย.-มิ.ย.'!N136+'เม.ย.-มิ.ย.'!P136+'เม.ย.-มิ.ย.'!R136+'เม.ย.-มิ.ย.'!S136</f>
        <v>0</v>
      </c>
      <c r="G137" s="561">
        <f>+ก.ค.!E136+ก.ค.!F136+ก.ค.!H136+ก.ค.!I136+ก.ค.!M136+ก.ค.!N136+ก.ค.!P136+ก.ค.!S136+ก.ค.!T136</f>
        <v>0</v>
      </c>
      <c r="H137" s="561">
        <f t="shared" si="14"/>
        <v>0</v>
      </c>
      <c r="I137" s="556">
        <f t="shared" si="13"/>
        <v>5000</v>
      </c>
    </row>
    <row r="138" spans="1:13" ht="21.75" customHeight="1">
      <c r="A138" s="9"/>
      <c r="B138" s="226" t="s">
        <v>265</v>
      </c>
      <c r="C138" s="279">
        <f>20000-20000</f>
        <v>0</v>
      </c>
      <c r="D138" s="554">
        <f>+'ต.ค.-ธ.ค.'!E138+'ต.ค.-ธ.ค.'!F138+'ต.ค.-ธ.ค.'!H138+'ต.ค.-ธ.ค.'!I138+'ต.ค.-ธ.ค.'!M138+'ต.ค.-ธ.ค.'!Q138+'ต.ค.-ธ.ค.'!S138</f>
        <v>0</v>
      </c>
      <c r="E138" s="554">
        <f>+'ม.ค.-มี.ค.'!D137+'ม.ค.-มี.ค.'!E137+'ม.ค.-มี.ค.'!F137+'ม.ค.-มี.ค.'!G137+'ม.ค.-มี.ค.'!H137+'ม.ค.-มี.ค.'!I137+'ม.ค.-มี.ค.'!J137+'ม.ค.-มี.ค.'!K137+'ม.ค.-มี.ค.'!L137+'ม.ค.-มี.ค.'!M137+'ม.ค.-มี.ค.'!N137+'ม.ค.-มี.ค.'!O137+'ม.ค.-มี.ค.'!P137+'ม.ค.-มี.ค.'!Q137+'ม.ค.-มี.ค.'!R137+'ม.ค.-มี.ค.'!S137+'ม.ค.-มี.ค.'!U137+'ม.ค.-มี.ค.'!V137</f>
        <v>0</v>
      </c>
      <c r="F138" s="554">
        <f>+'เม.ย.-มิ.ย.'!E137+'เม.ย.-มิ.ย.'!F137+'เม.ย.-มิ.ย.'!G137+'เม.ย.-มิ.ย.'!H137+'เม.ย.-มิ.ย.'!I137+'เม.ย.-มิ.ย.'!M137+'เม.ย.-มิ.ย.'!N137+'เม.ย.-มิ.ย.'!P137+'เม.ย.-มิ.ย.'!R137+'เม.ย.-มิ.ย.'!S137</f>
        <v>0</v>
      </c>
      <c r="G138" s="561">
        <f>+ก.ค.!E137+ก.ค.!F137+ก.ค.!H137+ก.ค.!I137+ก.ค.!M137+ก.ค.!N137+ก.ค.!P137+ก.ค.!S137+ก.ค.!T137</f>
        <v>0</v>
      </c>
      <c r="H138" s="561">
        <f t="shared" si="14"/>
        <v>0</v>
      </c>
      <c r="I138" s="556">
        <f t="shared" si="13"/>
        <v>0</v>
      </c>
    </row>
    <row r="139" spans="1:13" ht="21.75" customHeight="1">
      <c r="A139" s="9"/>
      <c r="B139" s="226" t="s">
        <v>353</v>
      </c>
      <c r="C139" s="279">
        <v>5000</v>
      </c>
      <c r="D139" s="554">
        <f>+'ต.ค.-ธ.ค.'!E139+'ต.ค.-ธ.ค.'!F139+'ต.ค.-ธ.ค.'!H139+'ต.ค.-ธ.ค.'!I139+'ต.ค.-ธ.ค.'!M139+'ต.ค.-ธ.ค.'!Q139+'ต.ค.-ธ.ค.'!S139</f>
        <v>4880</v>
      </c>
      <c r="E139" s="554">
        <f>+'ม.ค.-มี.ค.'!D138+'ม.ค.-มี.ค.'!E138+'ม.ค.-มี.ค.'!F138+'ม.ค.-มี.ค.'!G138+'ม.ค.-มี.ค.'!H138+'ม.ค.-มี.ค.'!I138+'ม.ค.-มี.ค.'!J138+'ม.ค.-มี.ค.'!K138+'ม.ค.-มี.ค.'!L138+'ม.ค.-มี.ค.'!M138+'ม.ค.-มี.ค.'!N138+'ม.ค.-มี.ค.'!O138+'ม.ค.-มี.ค.'!P138+'ม.ค.-มี.ค.'!Q138+'ม.ค.-มี.ค.'!R138+'ม.ค.-มี.ค.'!S138+'ม.ค.-มี.ค.'!U138+'ม.ค.-มี.ค.'!V138</f>
        <v>0</v>
      </c>
      <c r="F139" s="554">
        <f>+'เม.ย.-มิ.ย.'!E138+'เม.ย.-มิ.ย.'!F138+'เม.ย.-มิ.ย.'!G138+'เม.ย.-มิ.ย.'!H138+'เม.ย.-มิ.ย.'!I138+'เม.ย.-มิ.ย.'!M138+'เม.ย.-มิ.ย.'!N138+'เม.ย.-มิ.ย.'!P138+'เม.ย.-มิ.ย.'!R138+'เม.ย.-มิ.ย.'!S138</f>
        <v>0</v>
      </c>
      <c r="G139" s="561">
        <f>+ก.ค.!E138+ก.ค.!F138+ก.ค.!H138+ก.ค.!I138+ก.ค.!M138+ก.ค.!N138+ก.ค.!P138+ก.ค.!S138+ก.ค.!T138</f>
        <v>0</v>
      </c>
      <c r="H139" s="561">
        <f t="shared" si="14"/>
        <v>4880</v>
      </c>
      <c r="I139" s="556">
        <f t="shared" si="13"/>
        <v>120</v>
      </c>
    </row>
    <row r="140" spans="1:13" ht="21.75" customHeight="1">
      <c r="A140" s="9"/>
      <c r="B140" s="226" t="s">
        <v>354</v>
      </c>
      <c r="C140" s="279">
        <f>10000-10000</f>
        <v>0</v>
      </c>
      <c r="D140" s="554">
        <f>+'ต.ค.-ธ.ค.'!E140+'ต.ค.-ธ.ค.'!F140+'ต.ค.-ธ.ค.'!H140+'ต.ค.-ธ.ค.'!I140+'ต.ค.-ธ.ค.'!M140+'ต.ค.-ธ.ค.'!Q140+'ต.ค.-ธ.ค.'!S140</f>
        <v>0</v>
      </c>
      <c r="E140" s="554">
        <f>+'ม.ค.-มี.ค.'!D139+'ม.ค.-มี.ค.'!E139+'ม.ค.-มี.ค.'!F139+'ม.ค.-มี.ค.'!G139+'ม.ค.-มี.ค.'!H139+'ม.ค.-มี.ค.'!I139+'ม.ค.-มี.ค.'!J139+'ม.ค.-มี.ค.'!K139+'ม.ค.-มี.ค.'!L139+'ม.ค.-มี.ค.'!M139+'ม.ค.-มี.ค.'!N139+'ม.ค.-มี.ค.'!O139+'ม.ค.-มี.ค.'!P139+'ม.ค.-มี.ค.'!Q139+'ม.ค.-มี.ค.'!R139+'ม.ค.-มี.ค.'!S139+'ม.ค.-มี.ค.'!U139+'ม.ค.-มี.ค.'!V139</f>
        <v>0</v>
      </c>
      <c r="F140" s="554">
        <f>+'เม.ย.-มิ.ย.'!E139+'เม.ย.-มิ.ย.'!F139+'เม.ย.-มิ.ย.'!G139+'เม.ย.-มิ.ย.'!H139+'เม.ย.-มิ.ย.'!I139+'เม.ย.-มิ.ย.'!M139+'เม.ย.-มิ.ย.'!N139+'เม.ย.-มิ.ย.'!P139+'เม.ย.-มิ.ย.'!R139+'เม.ย.-มิ.ย.'!S139</f>
        <v>0</v>
      </c>
      <c r="G140" s="561">
        <f>+ก.ค.!E139+ก.ค.!F139+ก.ค.!H139+ก.ค.!I139+ก.ค.!M139+ก.ค.!N139+ก.ค.!P139+ก.ค.!S139+ก.ค.!T139</f>
        <v>0</v>
      </c>
      <c r="H140" s="561">
        <f t="shared" si="14"/>
        <v>0</v>
      </c>
      <c r="I140" s="556">
        <f t="shared" si="13"/>
        <v>0</v>
      </c>
    </row>
    <row r="141" spans="1:13" ht="21.75" customHeight="1">
      <c r="A141" s="9"/>
      <c r="B141" s="187" t="s">
        <v>355</v>
      </c>
      <c r="C141" s="279">
        <f>20000-20000</f>
        <v>0</v>
      </c>
      <c r="D141" s="554">
        <f>+'ต.ค.-ธ.ค.'!E141+'ต.ค.-ธ.ค.'!F141+'ต.ค.-ธ.ค.'!H141+'ต.ค.-ธ.ค.'!I141+'ต.ค.-ธ.ค.'!M141+'ต.ค.-ธ.ค.'!Q141+'ต.ค.-ธ.ค.'!S141</f>
        <v>0</v>
      </c>
      <c r="E141" s="554">
        <f>+'ม.ค.-มี.ค.'!D140+'ม.ค.-มี.ค.'!E140+'ม.ค.-มี.ค.'!F140+'ม.ค.-มี.ค.'!G140+'ม.ค.-มี.ค.'!H140+'ม.ค.-มี.ค.'!I140+'ม.ค.-มี.ค.'!J140+'ม.ค.-มี.ค.'!K140+'ม.ค.-มี.ค.'!L140+'ม.ค.-มี.ค.'!M140+'ม.ค.-มี.ค.'!N140+'ม.ค.-มี.ค.'!O140+'ม.ค.-มี.ค.'!P140+'ม.ค.-มี.ค.'!Q140+'ม.ค.-มี.ค.'!R140+'ม.ค.-มี.ค.'!S140+'ม.ค.-มี.ค.'!U140+'ม.ค.-มี.ค.'!V140</f>
        <v>0</v>
      </c>
      <c r="F141" s="554">
        <f>+'เม.ย.-มิ.ย.'!E140+'เม.ย.-มิ.ย.'!F140+'เม.ย.-มิ.ย.'!G140+'เม.ย.-มิ.ย.'!H140+'เม.ย.-มิ.ย.'!I140+'เม.ย.-มิ.ย.'!M140+'เม.ย.-มิ.ย.'!N140+'เม.ย.-มิ.ย.'!P140+'เม.ย.-มิ.ย.'!R140+'เม.ย.-มิ.ย.'!S140</f>
        <v>0</v>
      </c>
      <c r="G141" s="561">
        <f>+ก.ค.!E140+ก.ค.!F140+ก.ค.!H140+ก.ค.!I140+ก.ค.!M140+ก.ค.!N140+ก.ค.!P140+ก.ค.!S140+ก.ค.!T140</f>
        <v>0</v>
      </c>
      <c r="H141" s="561">
        <f t="shared" si="14"/>
        <v>0</v>
      </c>
      <c r="I141" s="556">
        <f t="shared" si="13"/>
        <v>0</v>
      </c>
    </row>
    <row r="142" spans="1:13" ht="21.75" customHeight="1">
      <c r="A142" s="9"/>
      <c r="B142" s="187" t="s">
        <v>356</v>
      </c>
      <c r="C142" s="279">
        <f>20000-20000</f>
        <v>0</v>
      </c>
      <c r="D142" s="554">
        <f>+'ต.ค.-ธ.ค.'!E142+'ต.ค.-ธ.ค.'!F142+'ต.ค.-ธ.ค.'!H142+'ต.ค.-ธ.ค.'!I142+'ต.ค.-ธ.ค.'!M142+'ต.ค.-ธ.ค.'!Q142+'ต.ค.-ธ.ค.'!S142</f>
        <v>0</v>
      </c>
      <c r="E142" s="554">
        <f>+'ม.ค.-มี.ค.'!D141+'ม.ค.-มี.ค.'!E141+'ม.ค.-มี.ค.'!F141+'ม.ค.-มี.ค.'!G141+'ม.ค.-มี.ค.'!H141+'ม.ค.-มี.ค.'!I141+'ม.ค.-มี.ค.'!J141+'ม.ค.-มี.ค.'!K141+'ม.ค.-มี.ค.'!L141+'ม.ค.-มี.ค.'!M141+'ม.ค.-มี.ค.'!N141+'ม.ค.-มี.ค.'!O141+'ม.ค.-มี.ค.'!P141+'ม.ค.-มี.ค.'!Q141+'ม.ค.-มี.ค.'!R141+'ม.ค.-มี.ค.'!S141+'ม.ค.-มี.ค.'!U141+'ม.ค.-มี.ค.'!V141</f>
        <v>0</v>
      </c>
      <c r="F142" s="554">
        <f>+'เม.ย.-มิ.ย.'!E141+'เม.ย.-มิ.ย.'!F141+'เม.ย.-มิ.ย.'!G141+'เม.ย.-มิ.ย.'!H141+'เม.ย.-มิ.ย.'!I141+'เม.ย.-มิ.ย.'!M141+'เม.ย.-มิ.ย.'!N141+'เม.ย.-มิ.ย.'!P141+'เม.ย.-มิ.ย.'!R141+'เม.ย.-มิ.ย.'!S141</f>
        <v>0</v>
      </c>
      <c r="G142" s="561">
        <f>+ก.ค.!E141+ก.ค.!F141+ก.ค.!H141+ก.ค.!I141+ก.ค.!M141+ก.ค.!N141+ก.ค.!P141+ก.ค.!S141+ก.ค.!T141</f>
        <v>0</v>
      </c>
      <c r="H142" s="561">
        <f t="shared" si="14"/>
        <v>0</v>
      </c>
      <c r="I142" s="556">
        <f t="shared" si="13"/>
        <v>0</v>
      </c>
    </row>
    <row r="143" spans="1:13" s="172" customFormat="1" ht="21.75" customHeight="1">
      <c r="A143" s="9"/>
      <c r="B143" s="187" t="s">
        <v>357</v>
      </c>
      <c r="C143" s="279">
        <v>10000</v>
      </c>
      <c r="D143" s="554">
        <f>+'ต.ค.-ธ.ค.'!E143+'ต.ค.-ธ.ค.'!F143+'ต.ค.-ธ.ค.'!H143+'ต.ค.-ธ.ค.'!I143+'ต.ค.-ธ.ค.'!M143+'ต.ค.-ธ.ค.'!Q143+'ต.ค.-ธ.ค.'!S143</f>
        <v>0</v>
      </c>
      <c r="E143" s="554">
        <f>+'ม.ค.-มี.ค.'!D142+'ม.ค.-มี.ค.'!E142+'ม.ค.-มี.ค.'!F142+'ม.ค.-มี.ค.'!G142+'ม.ค.-มี.ค.'!H142+'ม.ค.-มี.ค.'!I142+'ม.ค.-มี.ค.'!J142+'ม.ค.-มี.ค.'!K142+'ม.ค.-มี.ค.'!L142+'ม.ค.-มี.ค.'!M142+'ม.ค.-มี.ค.'!N142+'ม.ค.-มี.ค.'!O142+'ม.ค.-มี.ค.'!P142+'ม.ค.-มี.ค.'!Q142+'ม.ค.-มี.ค.'!R142+'ม.ค.-มี.ค.'!S142+'ม.ค.-มี.ค.'!U142+'ม.ค.-มี.ค.'!V142</f>
        <v>0</v>
      </c>
      <c r="F143" s="554">
        <f>+'เม.ย.-มิ.ย.'!E142+'เม.ย.-มิ.ย.'!F142+'เม.ย.-มิ.ย.'!G142+'เม.ย.-มิ.ย.'!H142+'เม.ย.-มิ.ย.'!I142+'เม.ย.-มิ.ย.'!M142+'เม.ย.-มิ.ย.'!N142+'เม.ย.-มิ.ย.'!P142+'เม.ย.-มิ.ย.'!R142+'เม.ย.-มิ.ย.'!S142</f>
        <v>0</v>
      </c>
      <c r="G143" s="561">
        <f>+ก.ค.!E142+ก.ค.!F142+ก.ค.!H142+ก.ค.!I142+ก.ค.!M142+ก.ค.!N142+ก.ค.!P142+ก.ค.!S142+ก.ค.!T142</f>
        <v>0</v>
      </c>
      <c r="H143" s="561">
        <f t="shared" si="14"/>
        <v>0</v>
      </c>
      <c r="I143" s="556">
        <f t="shared" si="13"/>
        <v>10000</v>
      </c>
      <c r="J143" s="233"/>
      <c r="K143" s="329"/>
      <c r="L143" s="330"/>
      <c r="M143" s="330"/>
    </row>
    <row r="144" spans="1:13" s="172" customFormat="1" ht="21.75" customHeight="1">
      <c r="A144" s="9"/>
      <c r="B144" s="187" t="s">
        <v>358</v>
      </c>
      <c r="C144" s="279">
        <f>10000-10000</f>
        <v>0</v>
      </c>
      <c r="D144" s="554">
        <f>+'ต.ค.-ธ.ค.'!E144+'ต.ค.-ธ.ค.'!F144+'ต.ค.-ธ.ค.'!H144+'ต.ค.-ธ.ค.'!I144+'ต.ค.-ธ.ค.'!M144+'ต.ค.-ธ.ค.'!Q144+'ต.ค.-ธ.ค.'!S144</f>
        <v>0</v>
      </c>
      <c r="E144" s="554">
        <f>+'ม.ค.-มี.ค.'!D143+'ม.ค.-มี.ค.'!E143+'ม.ค.-มี.ค.'!F143+'ม.ค.-มี.ค.'!G143+'ม.ค.-มี.ค.'!H143+'ม.ค.-มี.ค.'!I143+'ม.ค.-มี.ค.'!J143+'ม.ค.-มี.ค.'!K143+'ม.ค.-มี.ค.'!L143+'ม.ค.-มี.ค.'!M143+'ม.ค.-มี.ค.'!N143+'ม.ค.-มี.ค.'!O143+'ม.ค.-มี.ค.'!P143+'ม.ค.-มี.ค.'!Q143+'ม.ค.-มี.ค.'!R143+'ม.ค.-มี.ค.'!S143+'ม.ค.-มี.ค.'!U143+'ม.ค.-มี.ค.'!V143</f>
        <v>0</v>
      </c>
      <c r="F144" s="554">
        <f>+'เม.ย.-มิ.ย.'!E143+'เม.ย.-มิ.ย.'!F143+'เม.ย.-มิ.ย.'!G143+'เม.ย.-มิ.ย.'!H143+'เม.ย.-มิ.ย.'!I143+'เม.ย.-มิ.ย.'!M143+'เม.ย.-มิ.ย.'!N143+'เม.ย.-มิ.ย.'!P143+'เม.ย.-มิ.ย.'!R143+'เม.ย.-มิ.ย.'!S143</f>
        <v>0</v>
      </c>
      <c r="G144" s="561">
        <f>+ก.ค.!E143+ก.ค.!F143+ก.ค.!H143+ก.ค.!I143+ก.ค.!M143+ก.ค.!N143+ก.ค.!P143+ก.ค.!S143+ก.ค.!T143</f>
        <v>0</v>
      </c>
      <c r="H144" s="561">
        <f t="shared" si="14"/>
        <v>0</v>
      </c>
      <c r="I144" s="556">
        <f t="shared" si="13"/>
        <v>0</v>
      </c>
      <c r="J144" s="233"/>
      <c r="K144" s="329"/>
      <c r="L144" s="330"/>
      <c r="M144" s="330"/>
    </row>
    <row r="145" spans="1:13" s="172" customFormat="1" ht="21.75" customHeight="1">
      <c r="A145" s="9"/>
      <c r="B145" s="187" t="s">
        <v>359</v>
      </c>
      <c r="C145" s="279">
        <f t="shared" ref="C145:C154" si="15">5000-5000</f>
        <v>0</v>
      </c>
      <c r="D145" s="554">
        <f>+'ต.ค.-ธ.ค.'!E145+'ต.ค.-ธ.ค.'!F145+'ต.ค.-ธ.ค.'!H145+'ต.ค.-ธ.ค.'!I145+'ต.ค.-ธ.ค.'!M145+'ต.ค.-ธ.ค.'!Q145+'ต.ค.-ธ.ค.'!S145</f>
        <v>0</v>
      </c>
      <c r="E145" s="554">
        <f>+'ม.ค.-มี.ค.'!D144+'ม.ค.-มี.ค.'!E144+'ม.ค.-มี.ค.'!F144+'ม.ค.-มี.ค.'!G144+'ม.ค.-มี.ค.'!H144+'ม.ค.-มี.ค.'!I144+'ม.ค.-มี.ค.'!J144+'ม.ค.-มี.ค.'!K144+'ม.ค.-มี.ค.'!L144+'ม.ค.-มี.ค.'!M144+'ม.ค.-มี.ค.'!N144+'ม.ค.-มี.ค.'!O144+'ม.ค.-มี.ค.'!P144+'ม.ค.-มี.ค.'!Q144+'ม.ค.-มี.ค.'!R144+'ม.ค.-มี.ค.'!S144+'ม.ค.-มี.ค.'!U144+'ม.ค.-มี.ค.'!V144</f>
        <v>0</v>
      </c>
      <c r="F145" s="554">
        <f>+'เม.ย.-มิ.ย.'!E144+'เม.ย.-มิ.ย.'!F144+'เม.ย.-มิ.ย.'!G144+'เม.ย.-มิ.ย.'!H144+'เม.ย.-มิ.ย.'!I144+'เม.ย.-มิ.ย.'!M144+'เม.ย.-มิ.ย.'!N144+'เม.ย.-มิ.ย.'!P144+'เม.ย.-มิ.ย.'!R144+'เม.ย.-มิ.ย.'!S144</f>
        <v>0</v>
      </c>
      <c r="G145" s="561">
        <f>+ก.ค.!E144+ก.ค.!F144+ก.ค.!H144+ก.ค.!I144+ก.ค.!M144+ก.ค.!N144+ก.ค.!P144+ก.ค.!S144+ก.ค.!T144</f>
        <v>0</v>
      </c>
      <c r="H145" s="561">
        <f t="shared" si="14"/>
        <v>0</v>
      </c>
      <c r="I145" s="556">
        <f t="shared" si="13"/>
        <v>0</v>
      </c>
      <c r="J145" s="233"/>
      <c r="K145" s="329"/>
      <c r="L145" s="330"/>
      <c r="M145" s="330"/>
    </row>
    <row r="146" spans="1:13" s="172" customFormat="1" ht="21.75" customHeight="1">
      <c r="A146" s="9"/>
      <c r="B146" s="187" t="s">
        <v>360</v>
      </c>
      <c r="C146" s="279">
        <f t="shared" si="15"/>
        <v>0</v>
      </c>
      <c r="D146" s="554">
        <f>+'ต.ค.-ธ.ค.'!E146+'ต.ค.-ธ.ค.'!F146+'ต.ค.-ธ.ค.'!H146+'ต.ค.-ธ.ค.'!I146+'ต.ค.-ธ.ค.'!M146+'ต.ค.-ธ.ค.'!Q146+'ต.ค.-ธ.ค.'!S146</f>
        <v>0</v>
      </c>
      <c r="E146" s="554">
        <f>+'ม.ค.-มี.ค.'!D145+'ม.ค.-มี.ค.'!E145+'ม.ค.-มี.ค.'!F145+'ม.ค.-มี.ค.'!G145+'ม.ค.-มี.ค.'!H145+'ม.ค.-มี.ค.'!I145+'ม.ค.-มี.ค.'!J145+'ม.ค.-มี.ค.'!K145+'ม.ค.-มี.ค.'!L145+'ม.ค.-มี.ค.'!M145+'ม.ค.-มี.ค.'!N145+'ม.ค.-มี.ค.'!O145+'ม.ค.-มี.ค.'!P145+'ม.ค.-มี.ค.'!Q145+'ม.ค.-มี.ค.'!R145+'ม.ค.-มี.ค.'!S145+'ม.ค.-มี.ค.'!U145+'ม.ค.-มี.ค.'!V145</f>
        <v>0</v>
      </c>
      <c r="F146" s="554">
        <f>+'เม.ย.-มิ.ย.'!E145+'เม.ย.-มิ.ย.'!F145+'เม.ย.-มิ.ย.'!G145+'เม.ย.-มิ.ย.'!H145+'เม.ย.-มิ.ย.'!I145+'เม.ย.-มิ.ย.'!M145+'เม.ย.-มิ.ย.'!N145+'เม.ย.-มิ.ย.'!P145+'เม.ย.-มิ.ย.'!R145+'เม.ย.-มิ.ย.'!S145</f>
        <v>0</v>
      </c>
      <c r="G146" s="561">
        <f>+ก.ค.!E145+ก.ค.!F145+ก.ค.!H145+ก.ค.!I145+ก.ค.!M145+ก.ค.!N145+ก.ค.!P145+ก.ค.!S145+ก.ค.!T145</f>
        <v>0</v>
      </c>
      <c r="H146" s="561">
        <f t="shared" si="14"/>
        <v>0</v>
      </c>
      <c r="I146" s="556">
        <f t="shared" si="13"/>
        <v>0</v>
      </c>
      <c r="J146" s="233"/>
      <c r="K146" s="329"/>
      <c r="L146" s="330"/>
      <c r="M146" s="330"/>
    </row>
    <row r="147" spans="1:13" s="172" customFormat="1" ht="21.75" customHeight="1">
      <c r="A147" s="9"/>
      <c r="B147" s="187" t="s">
        <v>361</v>
      </c>
      <c r="C147" s="279">
        <f t="shared" si="15"/>
        <v>0</v>
      </c>
      <c r="D147" s="554">
        <f>+'ต.ค.-ธ.ค.'!E147+'ต.ค.-ธ.ค.'!F147+'ต.ค.-ธ.ค.'!H147+'ต.ค.-ธ.ค.'!I147+'ต.ค.-ธ.ค.'!M147+'ต.ค.-ธ.ค.'!Q147+'ต.ค.-ธ.ค.'!S147</f>
        <v>0</v>
      </c>
      <c r="E147" s="554">
        <f>+'ม.ค.-มี.ค.'!D146+'ม.ค.-มี.ค.'!E146+'ม.ค.-มี.ค.'!F146+'ม.ค.-มี.ค.'!G146+'ม.ค.-มี.ค.'!H146+'ม.ค.-มี.ค.'!I146+'ม.ค.-มี.ค.'!J146+'ม.ค.-มี.ค.'!K146+'ม.ค.-มี.ค.'!L146+'ม.ค.-มี.ค.'!M146+'ม.ค.-มี.ค.'!N146+'ม.ค.-มี.ค.'!O146+'ม.ค.-มี.ค.'!P146+'ม.ค.-มี.ค.'!Q146+'ม.ค.-มี.ค.'!R146+'ม.ค.-มี.ค.'!S146+'ม.ค.-มี.ค.'!U146+'ม.ค.-มี.ค.'!V146</f>
        <v>0</v>
      </c>
      <c r="F147" s="554">
        <f>+'เม.ย.-มิ.ย.'!E146+'เม.ย.-มิ.ย.'!F146+'เม.ย.-มิ.ย.'!G146+'เม.ย.-มิ.ย.'!H146+'เม.ย.-มิ.ย.'!I146+'เม.ย.-มิ.ย.'!M146+'เม.ย.-มิ.ย.'!N146+'เม.ย.-มิ.ย.'!P146+'เม.ย.-มิ.ย.'!R146+'เม.ย.-มิ.ย.'!S146</f>
        <v>0</v>
      </c>
      <c r="G147" s="561">
        <f>+ก.ค.!E146+ก.ค.!F146+ก.ค.!H146+ก.ค.!I146+ก.ค.!M146+ก.ค.!N146+ก.ค.!P146+ก.ค.!S146+ก.ค.!T146</f>
        <v>0</v>
      </c>
      <c r="H147" s="561">
        <f t="shared" si="14"/>
        <v>0</v>
      </c>
      <c r="I147" s="556">
        <f t="shared" si="13"/>
        <v>0</v>
      </c>
      <c r="J147" s="233"/>
      <c r="K147" s="329"/>
      <c r="L147" s="330"/>
      <c r="M147" s="330"/>
    </row>
    <row r="148" spans="1:13" s="172" customFormat="1" ht="21.75" customHeight="1">
      <c r="A148" s="9"/>
      <c r="B148" s="187" t="s">
        <v>362</v>
      </c>
      <c r="C148" s="279">
        <f t="shared" si="15"/>
        <v>0</v>
      </c>
      <c r="D148" s="554">
        <f>+'ต.ค.-ธ.ค.'!E148+'ต.ค.-ธ.ค.'!F148+'ต.ค.-ธ.ค.'!H148+'ต.ค.-ธ.ค.'!I148+'ต.ค.-ธ.ค.'!M148+'ต.ค.-ธ.ค.'!Q148+'ต.ค.-ธ.ค.'!S148</f>
        <v>0</v>
      </c>
      <c r="E148" s="554">
        <f>+'ม.ค.-มี.ค.'!D147+'ม.ค.-มี.ค.'!E147+'ม.ค.-มี.ค.'!F147+'ม.ค.-มี.ค.'!G147+'ม.ค.-มี.ค.'!H147+'ม.ค.-มี.ค.'!I147+'ม.ค.-มี.ค.'!J147+'ม.ค.-มี.ค.'!K147+'ม.ค.-มี.ค.'!L147+'ม.ค.-มี.ค.'!M147+'ม.ค.-มี.ค.'!N147+'ม.ค.-มี.ค.'!O147+'ม.ค.-มี.ค.'!P147+'ม.ค.-มี.ค.'!Q147+'ม.ค.-มี.ค.'!R147+'ม.ค.-มี.ค.'!S147+'ม.ค.-มี.ค.'!U147+'ม.ค.-มี.ค.'!V147</f>
        <v>0</v>
      </c>
      <c r="F148" s="554">
        <f>+'เม.ย.-มิ.ย.'!E147+'เม.ย.-มิ.ย.'!F147+'เม.ย.-มิ.ย.'!G147+'เม.ย.-มิ.ย.'!H147+'เม.ย.-มิ.ย.'!I147+'เม.ย.-มิ.ย.'!M147+'เม.ย.-มิ.ย.'!N147+'เม.ย.-มิ.ย.'!P147+'เม.ย.-มิ.ย.'!R147+'เม.ย.-มิ.ย.'!S147</f>
        <v>0</v>
      </c>
      <c r="G148" s="561">
        <f>+ก.ค.!E147+ก.ค.!F147+ก.ค.!H147+ก.ค.!I147+ก.ค.!M147+ก.ค.!N147+ก.ค.!P147+ก.ค.!S147+ก.ค.!T147</f>
        <v>0</v>
      </c>
      <c r="H148" s="561">
        <f t="shared" si="14"/>
        <v>0</v>
      </c>
      <c r="I148" s="556">
        <f t="shared" si="13"/>
        <v>0</v>
      </c>
      <c r="J148" s="233"/>
      <c r="K148" s="329"/>
      <c r="L148" s="330"/>
      <c r="M148" s="330"/>
    </row>
    <row r="149" spans="1:13" s="172" customFormat="1" ht="21.75" customHeight="1">
      <c r="A149" s="9"/>
      <c r="B149" s="187" t="s">
        <v>363</v>
      </c>
      <c r="C149" s="279">
        <f t="shared" si="15"/>
        <v>0</v>
      </c>
      <c r="D149" s="554">
        <f>+'ต.ค.-ธ.ค.'!E149+'ต.ค.-ธ.ค.'!F149+'ต.ค.-ธ.ค.'!H149+'ต.ค.-ธ.ค.'!I149+'ต.ค.-ธ.ค.'!M149+'ต.ค.-ธ.ค.'!Q149+'ต.ค.-ธ.ค.'!S149</f>
        <v>0</v>
      </c>
      <c r="E149" s="554">
        <f>+'ม.ค.-มี.ค.'!D148+'ม.ค.-มี.ค.'!E148+'ม.ค.-มี.ค.'!F148+'ม.ค.-มี.ค.'!G148+'ม.ค.-มี.ค.'!H148+'ม.ค.-มี.ค.'!I148+'ม.ค.-มี.ค.'!J148+'ม.ค.-มี.ค.'!K148+'ม.ค.-มี.ค.'!L148+'ม.ค.-มี.ค.'!M148+'ม.ค.-มี.ค.'!N148+'ม.ค.-มี.ค.'!O148+'ม.ค.-มี.ค.'!P148+'ม.ค.-มี.ค.'!Q148+'ม.ค.-มี.ค.'!R148+'ม.ค.-มี.ค.'!S148+'ม.ค.-มี.ค.'!U148+'ม.ค.-มี.ค.'!V148</f>
        <v>0</v>
      </c>
      <c r="F149" s="554">
        <f>+'เม.ย.-มิ.ย.'!E148+'เม.ย.-มิ.ย.'!F148+'เม.ย.-มิ.ย.'!G148+'เม.ย.-มิ.ย.'!H148+'เม.ย.-มิ.ย.'!I148+'เม.ย.-มิ.ย.'!M148+'เม.ย.-มิ.ย.'!N148+'เม.ย.-มิ.ย.'!P148+'เม.ย.-มิ.ย.'!R148+'เม.ย.-มิ.ย.'!S148</f>
        <v>0</v>
      </c>
      <c r="G149" s="561">
        <f>+ก.ค.!E148+ก.ค.!F148+ก.ค.!H148+ก.ค.!I148+ก.ค.!M148+ก.ค.!N148+ก.ค.!P148+ก.ค.!S148+ก.ค.!T148</f>
        <v>0</v>
      </c>
      <c r="H149" s="561">
        <f t="shared" si="14"/>
        <v>0</v>
      </c>
      <c r="I149" s="556">
        <f t="shared" si="13"/>
        <v>0</v>
      </c>
      <c r="J149" s="233"/>
      <c r="K149" s="329"/>
      <c r="L149" s="330"/>
      <c r="M149" s="330"/>
    </row>
    <row r="150" spans="1:13" s="172" customFormat="1" ht="21.75" customHeight="1">
      <c r="A150" s="9"/>
      <c r="B150" s="187" t="s">
        <v>364</v>
      </c>
      <c r="C150" s="279">
        <f t="shared" si="15"/>
        <v>0</v>
      </c>
      <c r="D150" s="554">
        <f>+'ต.ค.-ธ.ค.'!E150+'ต.ค.-ธ.ค.'!F150+'ต.ค.-ธ.ค.'!H150+'ต.ค.-ธ.ค.'!I150+'ต.ค.-ธ.ค.'!M150+'ต.ค.-ธ.ค.'!Q150+'ต.ค.-ธ.ค.'!S150</f>
        <v>0</v>
      </c>
      <c r="E150" s="554">
        <f>+'ม.ค.-มี.ค.'!D149+'ม.ค.-มี.ค.'!E149+'ม.ค.-มี.ค.'!F149+'ม.ค.-มี.ค.'!G149+'ม.ค.-มี.ค.'!H149+'ม.ค.-มี.ค.'!I149+'ม.ค.-มี.ค.'!J149+'ม.ค.-มี.ค.'!K149+'ม.ค.-มี.ค.'!L149+'ม.ค.-มี.ค.'!M149+'ม.ค.-มี.ค.'!N149+'ม.ค.-มี.ค.'!O149+'ม.ค.-มี.ค.'!P149+'ม.ค.-มี.ค.'!Q149+'ม.ค.-มี.ค.'!R149+'ม.ค.-มี.ค.'!S149+'ม.ค.-มี.ค.'!U149+'ม.ค.-มี.ค.'!V149</f>
        <v>0</v>
      </c>
      <c r="F150" s="554">
        <f>+'เม.ย.-มิ.ย.'!E149+'เม.ย.-มิ.ย.'!F149+'เม.ย.-มิ.ย.'!G149+'เม.ย.-มิ.ย.'!H149+'เม.ย.-มิ.ย.'!I149+'เม.ย.-มิ.ย.'!M149+'เม.ย.-มิ.ย.'!N149+'เม.ย.-มิ.ย.'!P149+'เม.ย.-มิ.ย.'!R149+'เม.ย.-มิ.ย.'!S149</f>
        <v>0</v>
      </c>
      <c r="G150" s="561">
        <f>+ก.ค.!E149+ก.ค.!F149+ก.ค.!H149+ก.ค.!I149+ก.ค.!M149+ก.ค.!N149+ก.ค.!P149+ก.ค.!S149+ก.ค.!T149</f>
        <v>0</v>
      </c>
      <c r="H150" s="561">
        <f t="shared" si="14"/>
        <v>0</v>
      </c>
      <c r="I150" s="556">
        <f t="shared" si="13"/>
        <v>0</v>
      </c>
      <c r="J150" s="233"/>
      <c r="K150" s="329"/>
      <c r="L150" s="330"/>
      <c r="M150" s="330"/>
    </row>
    <row r="151" spans="1:13" s="172" customFormat="1" ht="21.75" customHeight="1">
      <c r="A151" s="9"/>
      <c r="B151" s="187" t="s">
        <v>365</v>
      </c>
      <c r="C151" s="279">
        <f t="shared" si="15"/>
        <v>0</v>
      </c>
      <c r="D151" s="554">
        <f>+'ต.ค.-ธ.ค.'!E151+'ต.ค.-ธ.ค.'!F151+'ต.ค.-ธ.ค.'!H151+'ต.ค.-ธ.ค.'!I151+'ต.ค.-ธ.ค.'!M151+'ต.ค.-ธ.ค.'!Q151+'ต.ค.-ธ.ค.'!S151</f>
        <v>0</v>
      </c>
      <c r="E151" s="554">
        <f>+'ม.ค.-มี.ค.'!D150+'ม.ค.-มี.ค.'!E150+'ม.ค.-มี.ค.'!F150+'ม.ค.-มี.ค.'!G150+'ม.ค.-มี.ค.'!H150+'ม.ค.-มี.ค.'!I150+'ม.ค.-มี.ค.'!J150+'ม.ค.-มี.ค.'!K150+'ม.ค.-มี.ค.'!L150+'ม.ค.-มี.ค.'!M150+'ม.ค.-มี.ค.'!N150+'ม.ค.-มี.ค.'!O150+'ม.ค.-มี.ค.'!P150+'ม.ค.-มี.ค.'!Q150+'ม.ค.-มี.ค.'!R150+'ม.ค.-มี.ค.'!S150+'ม.ค.-มี.ค.'!U150+'ม.ค.-มี.ค.'!V150</f>
        <v>0</v>
      </c>
      <c r="F151" s="554">
        <f>+'เม.ย.-มิ.ย.'!E150+'เม.ย.-มิ.ย.'!F150+'เม.ย.-มิ.ย.'!G150+'เม.ย.-มิ.ย.'!H150+'เม.ย.-มิ.ย.'!I150+'เม.ย.-มิ.ย.'!M150+'เม.ย.-มิ.ย.'!N150+'เม.ย.-มิ.ย.'!P150+'เม.ย.-มิ.ย.'!R150+'เม.ย.-มิ.ย.'!S150</f>
        <v>0</v>
      </c>
      <c r="G151" s="561">
        <f>+ก.ค.!E150+ก.ค.!F150+ก.ค.!H150+ก.ค.!I150+ก.ค.!M150+ก.ค.!N150+ก.ค.!P150+ก.ค.!S150+ก.ค.!T150</f>
        <v>0</v>
      </c>
      <c r="H151" s="561">
        <f t="shared" si="14"/>
        <v>0</v>
      </c>
      <c r="I151" s="556">
        <f t="shared" si="13"/>
        <v>0</v>
      </c>
      <c r="J151" s="233"/>
      <c r="K151" s="329"/>
      <c r="L151" s="330"/>
      <c r="M151" s="330"/>
    </row>
    <row r="152" spans="1:13" s="172" customFormat="1" ht="21.75" customHeight="1">
      <c r="A152" s="9"/>
      <c r="B152" s="187" t="s">
        <v>366</v>
      </c>
      <c r="C152" s="279">
        <f t="shared" si="15"/>
        <v>0</v>
      </c>
      <c r="D152" s="554">
        <f>+'ต.ค.-ธ.ค.'!E152+'ต.ค.-ธ.ค.'!F152+'ต.ค.-ธ.ค.'!H152+'ต.ค.-ธ.ค.'!I152+'ต.ค.-ธ.ค.'!M152+'ต.ค.-ธ.ค.'!Q152+'ต.ค.-ธ.ค.'!S152</f>
        <v>0</v>
      </c>
      <c r="E152" s="554">
        <f>+'ม.ค.-มี.ค.'!D151+'ม.ค.-มี.ค.'!E151+'ม.ค.-มี.ค.'!F151+'ม.ค.-มี.ค.'!G151+'ม.ค.-มี.ค.'!H151+'ม.ค.-มี.ค.'!I151+'ม.ค.-มี.ค.'!J151+'ม.ค.-มี.ค.'!K151+'ม.ค.-มี.ค.'!L151+'ม.ค.-มี.ค.'!M151+'ม.ค.-มี.ค.'!N151+'ม.ค.-มี.ค.'!O151+'ม.ค.-มี.ค.'!P151+'ม.ค.-มี.ค.'!Q151+'ม.ค.-มี.ค.'!R151+'ม.ค.-มี.ค.'!S151+'ม.ค.-มี.ค.'!U151+'ม.ค.-มี.ค.'!V151</f>
        <v>0</v>
      </c>
      <c r="F152" s="554">
        <f>+'เม.ย.-มิ.ย.'!E151+'เม.ย.-มิ.ย.'!F151+'เม.ย.-มิ.ย.'!G151+'เม.ย.-มิ.ย.'!H151+'เม.ย.-มิ.ย.'!I151+'เม.ย.-มิ.ย.'!M151+'เม.ย.-มิ.ย.'!N151+'เม.ย.-มิ.ย.'!P151+'เม.ย.-มิ.ย.'!R151+'เม.ย.-มิ.ย.'!S151</f>
        <v>0</v>
      </c>
      <c r="G152" s="561">
        <f>+ก.ค.!E151+ก.ค.!F151+ก.ค.!H151+ก.ค.!I151+ก.ค.!M151+ก.ค.!N151+ก.ค.!P151+ก.ค.!S151+ก.ค.!T151</f>
        <v>0</v>
      </c>
      <c r="H152" s="561">
        <f t="shared" si="14"/>
        <v>0</v>
      </c>
      <c r="I152" s="556">
        <f t="shared" si="13"/>
        <v>0</v>
      </c>
      <c r="J152" s="233"/>
      <c r="K152" s="329"/>
      <c r="L152" s="330"/>
      <c r="M152" s="330"/>
    </row>
    <row r="153" spans="1:13" s="172" customFormat="1" ht="21.75" customHeight="1">
      <c r="A153" s="9"/>
      <c r="B153" s="187" t="s">
        <v>367</v>
      </c>
      <c r="C153" s="279">
        <f t="shared" si="15"/>
        <v>0</v>
      </c>
      <c r="D153" s="554">
        <f>+'ต.ค.-ธ.ค.'!E153+'ต.ค.-ธ.ค.'!F153+'ต.ค.-ธ.ค.'!H153+'ต.ค.-ธ.ค.'!I153+'ต.ค.-ธ.ค.'!M153+'ต.ค.-ธ.ค.'!Q153+'ต.ค.-ธ.ค.'!S153</f>
        <v>0</v>
      </c>
      <c r="E153" s="554">
        <f>+'ม.ค.-มี.ค.'!D152+'ม.ค.-มี.ค.'!E152+'ม.ค.-มี.ค.'!F152+'ม.ค.-มี.ค.'!G152+'ม.ค.-มี.ค.'!H152+'ม.ค.-มี.ค.'!I152+'ม.ค.-มี.ค.'!J152+'ม.ค.-มี.ค.'!K152+'ม.ค.-มี.ค.'!L152+'ม.ค.-มี.ค.'!M152+'ม.ค.-มี.ค.'!N152+'ม.ค.-มี.ค.'!O152+'ม.ค.-มี.ค.'!P152+'ม.ค.-มี.ค.'!Q152+'ม.ค.-มี.ค.'!R152+'ม.ค.-มี.ค.'!S152+'ม.ค.-มี.ค.'!U152+'ม.ค.-มี.ค.'!V152</f>
        <v>0</v>
      </c>
      <c r="F153" s="554">
        <f>+'เม.ย.-มิ.ย.'!E152+'เม.ย.-มิ.ย.'!F152+'เม.ย.-มิ.ย.'!G152+'เม.ย.-มิ.ย.'!H152+'เม.ย.-มิ.ย.'!I152+'เม.ย.-มิ.ย.'!M152+'เม.ย.-มิ.ย.'!N152+'เม.ย.-มิ.ย.'!P152+'เม.ย.-มิ.ย.'!R152+'เม.ย.-มิ.ย.'!S152</f>
        <v>0</v>
      </c>
      <c r="G153" s="561">
        <f>+ก.ค.!E152+ก.ค.!F152+ก.ค.!H152+ก.ค.!I152+ก.ค.!M152+ก.ค.!N152+ก.ค.!P152+ก.ค.!S152+ก.ค.!T152</f>
        <v>0</v>
      </c>
      <c r="H153" s="561">
        <f t="shared" si="14"/>
        <v>0</v>
      </c>
      <c r="I153" s="556">
        <f t="shared" si="13"/>
        <v>0</v>
      </c>
      <c r="J153" s="233"/>
      <c r="K153" s="329"/>
      <c r="L153" s="330"/>
      <c r="M153" s="330"/>
    </row>
    <row r="154" spans="1:13" s="172" customFormat="1" ht="21.75" customHeight="1">
      <c r="A154" s="9"/>
      <c r="B154" s="187" t="s">
        <v>368</v>
      </c>
      <c r="C154" s="279">
        <f t="shared" si="15"/>
        <v>0</v>
      </c>
      <c r="D154" s="554">
        <f>+'ต.ค.-ธ.ค.'!E154+'ต.ค.-ธ.ค.'!F154+'ต.ค.-ธ.ค.'!H154+'ต.ค.-ธ.ค.'!I154+'ต.ค.-ธ.ค.'!M154+'ต.ค.-ธ.ค.'!Q154+'ต.ค.-ธ.ค.'!S154</f>
        <v>0</v>
      </c>
      <c r="E154" s="554">
        <f>+'ม.ค.-มี.ค.'!D153+'ม.ค.-มี.ค.'!E153+'ม.ค.-มี.ค.'!F153+'ม.ค.-มี.ค.'!G153+'ม.ค.-มี.ค.'!H153+'ม.ค.-มี.ค.'!I153+'ม.ค.-มี.ค.'!J153+'ม.ค.-มี.ค.'!K153+'ม.ค.-มี.ค.'!L153+'ม.ค.-มี.ค.'!M153+'ม.ค.-มี.ค.'!N153+'ม.ค.-มี.ค.'!O153+'ม.ค.-มี.ค.'!P153+'ม.ค.-มี.ค.'!Q153+'ม.ค.-มี.ค.'!R153+'ม.ค.-มี.ค.'!S153+'ม.ค.-มี.ค.'!U153+'ม.ค.-มี.ค.'!V153</f>
        <v>0</v>
      </c>
      <c r="F154" s="554">
        <f>+'เม.ย.-มิ.ย.'!E153+'เม.ย.-มิ.ย.'!F153+'เม.ย.-มิ.ย.'!G153+'เม.ย.-มิ.ย.'!H153+'เม.ย.-มิ.ย.'!I153+'เม.ย.-มิ.ย.'!M153+'เม.ย.-มิ.ย.'!N153+'เม.ย.-มิ.ย.'!P153+'เม.ย.-มิ.ย.'!R153+'เม.ย.-มิ.ย.'!S153</f>
        <v>0</v>
      </c>
      <c r="G154" s="561">
        <f>+ก.ค.!E153+ก.ค.!F153+ก.ค.!H153+ก.ค.!I153+ก.ค.!M153+ก.ค.!N153+ก.ค.!P153+ก.ค.!S153+ก.ค.!T153</f>
        <v>0</v>
      </c>
      <c r="H154" s="561">
        <f t="shared" si="14"/>
        <v>0</v>
      </c>
      <c r="I154" s="556">
        <f t="shared" si="13"/>
        <v>0</v>
      </c>
      <c r="J154" s="233"/>
      <c r="K154" s="329"/>
      <c r="L154" s="330"/>
      <c r="M154" s="330"/>
    </row>
    <row r="155" spans="1:13" s="172" customFormat="1" ht="21.75" customHeight="1">
      <c r="A155" s="9"/>
      <c r="B155" s="187" t="s">
        <v>369</v>
      </c>
      <c r="C155" s="279">
        <f>10000-10000</f>
        <v>0</v>
      </c>
      <c r="D155" s="554">
        <f>+'ต.ค.-ธ.ค.'!E155+'ต.ค.-ธ.ค.'!F155+'ต.ค.-ธ.ค.'!H155+'ต.ค.-ธ.ค.'!I155+'ต.ค.-ธ.ค.'!M155+'ต.ค.-ธ.ค.'!Q155+'ต.ค.-ธ.ค.'!S155</f>
        <v>0</v>
      </c>
      <c r="E155" s="554">
        <f>+'ม.ค.-มี.ค.'!D154+'ม.ค.-มี.ค.'!E154+'ม.ค.-มี.ค.'!F154+'ม.ค.-มี.ค.'!G154+'ม.ค.-มี.ค.'!H154+'ม.ค.-มี.ค.'!I154+'ม.ค.-มี.ค.'!J154+'ม.ค.-มี.ค.'!K154+'ม.ค.-มี.ค.'!L154+'ม.ค.-มี.ค.'!M154+'ม.ค.-มี.ค.'!N154+'ม.ค.-มี.ค.'!O154+'ม.ค.-มี.ค.'!P154+'ม.ค.-มี.ค.'!Q154+'ม.ค.-มี.ค.'!R154+'ม.ค.-มี.ค.'!S154+'ม.ค.-มี.ค.'!U154+'ม.ค.-มี.ค.'!V154</f>
        <v>0</v>
      </c>
      <c r="F155" s="554">
        <f>+'เม.ย.-มิ.ย.'!E154+'เม.ย.-มิ.ย.'!F154+'เม.ย.-มิ.ย.'!G154+'เม.ย.-มิ.ย.'!H154+'เม.ย.-มิ.ย.'!I154+'เม.ย.-มิ.ย.'!M154+'เม.ย.-มิ.ย.'!N154+'เม.ย.-มิ.ย.'!P154+'เม.ย.-มิ.ย.'!R154+'เม.ย.-มิ.ย.'!S154</f>
        <v>0</v>
      </c>
      <c r="G155" s="561">
        <f>+ก.ค.!E154+ก.ค.!F154+ก.ค.!H154+ก.ค.!I154+ก.ค.!M154+ก.ค.!N154+ก.ค.!P154+ก.ค.!S154+ก.ค.!T154</f>
        <v>0</v>
      </c>
      <c r="H155" s="561">
        <f t="shared" si="14"/>
        <v>0</v>
      </c>
      <c r="I155" s="556">
        <f t="shared" si="13"/>
        <v>0</v>
      </c>
      <c r="J155" s="233"/>
      <c r="K155" s="329"/>
      <c r="L155" s="330"/>
      <c r="M155" s="330"/>
    </row>
    <row r="156" spans="1:13" s="172" customFormat="1" ht="21.75" customHeight="1">
      <c r="A156" s="9"/>
      <c r="B156" s="187" t="s">
        <v>370</v>
      </c>
      <c r="C156" s="279">
        <f>10000-10000</f>
        <v>0</v>
      </c>
      <c r="D156" s="554">
        <f>+'ต.ค.-ธ.ค.'!E156+'ต.ค.-ธ.ค.'!F156+'ต.ค.-ธ.ค.'!H156+'ต.ค.-ธ.ค.'!I156+'ต.ค.-ธ.ค.'!M156+'ต.ค.-ธ.ค.'!Q156+'ต.ค.-ธ.ค.'!S156</f>
        <v>0</v>
      </c>
      <c r="E156" s="554">
        <f>+'ม.ค.-มี.ค.'!D155+'ม.ค.-มี.ค.'!E155+'ม.ค.-มี.ค.'!F155+'ม.ค.-มี.ค.'!G155+'ม.ค.-มี.ค.'!H155+'ม.ค.-มี.ค.'!I155+'ม.ค.-มี.ค.'!J155+'ม.ค.-มี.ค.'!K155+'ม.ค.-มี.ค.'!L155+'ม.ค.-มี.ค.'!M155+'ม.ค.-มี.ค.'!N155+'ม.ค.-มี.ค.'!O155+'ม.ค.-มี.ค.'!P155+'ม.ค.-มี.ค.'!Q155+'ม.ค.-มี.ค.'!R155+'ม.ค.-มี.ค.'!S155+'ม.ค.-มี.ค.'!U155+'ม.ค.-มี.ค.'!V155</f>
        <v>0</v>
      </c>
      <c r="F156" s="554">
        <f>+'เม.ย.-มิ.ย.'!E155+'เม.ย.-มิ.ย.'!F155+'เม.ย.-มิ.ย.'!G155+'เม.ย.-มิ.ย.'!H155+'เม.ย.-มิ.ย.'!I155+'เม.ย.-มิ.ย.'!M155+'เม.ย.-มิ.ย.'!N155+'เม.ย.-มิ.ย.'!P155+'เม.ย.-มิ.ย.'!R155+'เม.ย.-มิ.ย.'!S155</f>
        <v>0</v>
      </c>
      <c r="G156" s="561">
        <f>+ก.ค.!E155+ก.ค.!F155+ก.ค.!H155+ก.ค.!I155+ก.ค.!M155+ก.ค.!N155+ก.ค.!P155+ก.ค.!S155+ก.ค.!T155</f>
        <v>0</v>
      </c>
      <c r="H156" s="561">
        <f t="shared" si="14"/>
        <v>0</v>
      </c>
      <c r="I156" s="556">
        <f t="shared" si="13"/>
        <v>0</v>
      </c>
      <c r="J156" s="233"/>
      <c r="K156" s="329"/>
      <c r="L156" s="330"/>
      <c r="M156" s="330"/>
    </row>
    <row r="157" spans="1:13" s="172" customFormat="1" ht="21.75" customHeight="1">
      <c r="A157" s="9"/>
      <c r="B157" s="187" t="s">
        <v>163</v>
      </c>
      <c r="C157" s="279">
        <f>350000-156000-153000-11000-10000-20000</f>
        <v>0</v>
      </c>
      <c r="D157" s="554">
        <f>+'ต.ค.-ธ.ค.'!E157+'ต.ค.-ธ.ค.'!F157+'ต.ค.-ธ.ค.'!H157+'ต.ค.-ธ.ค.'!I157+'ต.ค.-ธ.ค.'!M157+'ต.ค.-ธ.ค.'!Q157+'ต.ค.-ธ.ค.'!S157</f>
        <v>0</v>
      </c>
      <c r="E157" s="554">
        <f>+'ม.ค.-มี.ค.'!D156+'ม.ค.-มี.ค.'!E156+'ม.ค.-มี.ค.'!F156+'ม.ค.-มี.ค.'!G156+'ม.ค.-มี.ค.'!H156+'ม.ค.-มี.ค.'!I156+'ม.ค.-มี.ค.'!J156+'ม.ค.-มี.ค.'!K156+'ม.ค.-มี.ค.'!L156+'ม.ค.-มี.ค.'!M156+'ม.ค.-มี.ค.'!N156+'ม.ค.-มี.ค.'!O156+'ม.ค.-มี.ค.'!P156+'ม.ค.-มี.ค.'!Q156+'ม.ค.-มี.ค.'!R156+'ม.ค.-มี.ค.'!S156+'ม.ค.-มี.ค.'!U156+'ม.ค.-มี.ค.'!V156</f>
        <v>0</v>
      </c>
      <c r="F157" s="554">
        <f>+'เม.ย.-มิ.ย.'!E156+'เม.ย.-มิ.ย.'!F156+'เม.ย.-มิ.ย.'!G156+'เม.ย.-มิ.ย.'!H156+'เม.ย.-มิ.ย.'!I156+'เม.ย.-มิ.ย.'!M156+'เม.ย.-มิ.ย.'!N156+'เม.ย.-มิ.ย.'!P156+'เม.ย.-มิ.ย.'!R156+'เม.ย.-มิ.ย.'!S156</f>
        <v>0</v>
      </c>
      <c r="G157" s="561">
        <f>+ก.ค.!E156+ก.ค.!F156+ก.ค.!H156+ก.ค.!I156+ก.ค.!M156+ก.ค.!N156+ก.ค.!P156+ก.ค.!S156+ก.ค.!T156</f>
        <v>0</v>
      </c>
      <c r="H157" s="561">
        <f t="shared" si="14"/>
        <v>0</v>
      </c>
      <c r="I157" s="556">
        <f t="shared" si="13"/>
        <v>0</v>
      </c>
      <c r="J157" s="233"/>
      <c r="K157" s="329"/>
      <c r="L157" s="330"/>
      <c r="M157" s="330"/>
    </row>
    <row r="158" spans="1:13" s="172" customFormat="1" ht="21.75" customHeight="1">
      <c r="A158" s="9"/>
      <c r="B158" s="187" t="s">
        <v>214</v>
      </c>
      <c r="C158" s="279">
        <v>25000</v>
      </c>
      <c r="D158" s="554">
        <f>+'ต.ค.-ธ.ค.'!E158+'ต.ค.-ธ.ค.'!F158+'ต.ค.-ธ.ค.'!H158+'ต.ค.-ธ.ค.'!I158+'ต.ค.-ธ.ค.'!M158+'ต.ค.-ธ.ค.'!Q158+'ต.ค.-ธ.ค.'!S158</f>
        <v>0</v>
      </c>
      <c r="E158" s="554">
        <f>+'ม.ค.-มี.ค.'!D157+'ม.ค.-มี.ค.'!E157+'ม.ค.-มี.ค.'!F157+'ม.ค.-มี.ค.'!G157+'ม.ค.-มี.ค.'!H157+'ม.ค.-มี.ค.'!I157+'ม.ค.-มี.ค.'!J157+'ม.ค.-มี.ค.'!K157+'ม.ค.-มี.ค.'!L157+'ม.ค.-มี.ค.'!M157+'ม.ค.-มี.ค.'!N157+'ม.ค.-มี.ค.'!O157+'ม.ค.-มี.ค.'!P157+'ม.ค.-มี.ค.'!Q157+'ม.ค.-มี.ค.'!R157+'ม.ค.-มี.ค.'!S157+'ม.ค.-มี.ค.'!U157+'ม.ค.-มี.ค.'!V157</f>
        <v>24450</v>
      </c>
      <c r="F158" s="554">
        <f>+'เม.ย.-มิ.ย.'!E157+'เม.ย.-มิ.ย.'!F157+'เม.ย.-มิ.ย.'!G157+'เม.ย.-มิ.ย.'!H157+'เม.ย.-มิ.ย.'!I157+'เม.ย.-มิ.ย.'!M157+'เม.ย.-มิ.ย.'!N157+'เม.ย.-มิ.ย.'!P157+'เม.ย.-มิ.ย.'!R157+'เม.ย.-มิ.ย.'!S157</f>
        <v>0</v>
      </c>
      <c r="G158" s="561">
        <f>+ก.ค.!E157+ก.ค.!F157+ก.ค.!H157+ก.ค.!I157+ก.ค.!M157+ก.ค.!N157+ก.ค.!P157+ก.ค.!S157+ก.ค.!T157</f>
        <v>0</v>
      </c>
      <c r="H158" s="561">
        <f t="shared" si="14"/>
        <v>24450</v>
      </c>
      <c r="I158" s="556">
        <f t="shared" si="13"/>
        <v>550</v>
      </c>
      <c r="J158" s="233"/>
      <c r="K158" s="329"/>
      <c r="L158" s="330"/>
      <c r="M158" s="330"/>
    </row>
    <row r="159" spans="1:13" s="172" customFormat="1" ht="21.75" customHeight="1">
      <c r="A159" s="9"/>
      <c r="B159" s="187" t="s">
        <v>167</v>
      </c>
      <c r="C159" s="279">
        <f>30000-30000</f>
        <v>0</v>
      </c>
      <c r="D159" s="554">
        <f>+'ต.ค.-ธ.ค.'!E159+'ต.ค.-ธ.ค.'!F159+'ต.ค.-ธ.ค.'!H159+'ต.ค.-ธ.ค.'!I159+'ต.ค.-ธ.ค.'!M159+'ต.ค.-ธ.ค.'!Q159+'ต.ค.-ธ.ค.'!S159</f>
        <v>0</v>
      </c>
      <c r="E159" s="554">
        <f>+'ม.ค.-มี.ค.'!D158+'ม.ค.-มี.ค.'!E158+'ม.ค.-มี.ค.'!F158+'ม.ค.-มี.ค.'!G158+'ม.ค.-มี.ค.'!H158+'ม.ค.-มี.ค.'!I158+'ม.ค.-มี.ค.'!J158+'ม.ค.-มี.ค.'!K158+'ม.ค.-มี.ค.'!L158+'ม.ค.-มี.ค.'!M158+'ม.ค.-มี.ค.'!N158+'ม.ค.-มี.ค.'!O158+'ม.ค.-มี.ค.'!P158+'ม.ค.-มี.ค.'!Q158+'ม.ค.-มี.ค.'!R158+'ม.ค.-มี.ค.'!S158+'ม.ค.-มี.ค.'!U158+'ม.ค.-มี.ค.'!V158</f>
        <v>0</v>
      </c>
      <c r="F159" s="554">
        <f>+'เม.ย.-มิ.ย.'!E158+'เม.ย.-มิ.ย.'!F158+'เม.ย.-มิ.ย.'!G158+'เม.ย.-มิ.ย.'!H158+'เม.ย.-มิ.ย.'!I158+'เม.ย.-มิ.ย.'!M158+'เม.ย.-มิ.ย.'!N158+'เม.ย.-มิ.ย.'!P158+'เม.ย.-มิ.ย.'!R158+'เม.ย.-มิ.ย.'!S158</f>
        <v>0</v>
      </c>
      <c r="G159" s="561">
        <f>+ก.ค.!E158+ก.ค.!F158+ก.ค.!H158+ก.ค.!I158+ก.ค.!M158+ก.ค.!N158+ก.ค.!P158+ก.ค.!S158+ก.ค.!T158</f>
        <v>0</v>
      </c>
      <c r="H159" s="561">
        <f t="shared" si="14"/>
        <v>0</v>
      </c>
      <c r="I159" s="556">
        <f t="shared" si="13"/>
        <v>0</v>
      </c>
      <c r="J159" s="233"/>
      <c r="K159" s="329"/>
      <c r="L159" s="330"/>
      <c r="M159" s="330"/>
    </row>
    <row r="160" spans="1:13" s="172" customFormat="1" ht="21.75" customHeight="1">
      <c r="A160" s="9"/>
      <c r="B160" s="187" t="s">
        <v>371</v>
      </c>
      <c r="C160" s="279">
        <v>30000</v>
      </c>
      <c r="D160" s="554">
        <f>+'ต.ค.-ธ.ค.'!E160+'ต.ค.-ธ.ค.'!F160+'ต.ค.-ธ.ค.'!H160+'ต.ค.-ธ.ค.'!I160+'ต.ค.-ธ.ค.'!M160+'ต.ค.-ธ.ค.'!Q160+'ต.ค.-ธ.ค.'!S160</f>
        <v>0</v>
      </c>
      <c r="E160" s="554">
        <f>+'ม.ค.-มี.ค.'!D159+'ม.ค.-มี.ค.'!E159+'ม.ค.-มี.ค.'!F159+'ม.ค.-มี.ค.'!G159+'ม.ค.-มี.ค.'!H159+'ม.ค.-มี.ค.'!I159+'ม.ค.-มี.ค.'!J159+'ม.ค.-มี.ค.'!K159+'ม.ค.-มี.ค.'!L159+'ม.ค.-มี.ค.'!M159+'ม.ค.-มี.ค.'!N159+'ม.ค.-มี.ค.'!O159+'ม.ค.-มี.ค.'!P159+'ม.ค.-มี.ค.'!Q159+'ม.ค.-มี.ค.'!R159+'ม.ค.-มี.ค.'!S159+'ม.ค.-มี.ค.'!U159+'ม.ค.-มี.ค.'!V159</f>
        <v>0</v>
      </c>
      <c r="F160" s="554">
        <f>+'เม.ย.-มิ.ย.'!E159+'เม.ย.-มิ.ย.'!F159+'เม.ย.-มิ.ย.'!G159+'เม.ย.-มิ.ย.'!H159+'เม.ย.-มิ.ย.'!I159+'เม.ย.-มิ.ย.'!M159+'เม.ย.-มิ.ย.'!N159+'เม.ย.-มิ.ย.'!P159+'เม.ย.-มิ.ย.'!R159+'เม.ย.-มิ.ย.'!S159</f>
        <v>30000</v>
      </c>
      <c r="G160" s="561">
        <f>+ก.ค.!E159+ก.ค.!F159+ก.ค.!H159+ก.ค.!I159+ก.ค.!M159+ก.ค.!N159+ก.ค.!P159+ก.ค.!S159+ก.ค.!T159</f>
        <v>0</v>
      </c>
      <c r="H160" s="561">
        <f t="shared" si="14"/>
        <v>30000</v>
      </c>
      <c r="I160" s="556">
        <f t="shared" si="13"/>
        <v>0</v>
      </c>
      <c r="J160" s="233"/>
      <c r="K160" s="329"/>
      <c r="L160" s="330"/>
      <c r="M160" s="330"/>
    </row>
    <row r="161" spans="1:13" s="172" customFormat="1" ht="21.75" customHeight="1">
      <c r="A161" s="9"/>
      <c r="B161" s="187" t="s">
        <v>170</v>
      </c>
      <c r="C161" s="279">
        <v>40000</v>
      </c>
      <c r="D161" s="554">
        <f>+'ต.ค.-ธ.ค.'!E161+'ต.ค.-ธ.ค.'!F161+'ต.ค.-ธ.ค.'!H161+'ต.ค.-ธ.ค.'!I161+'ต.ค.-ธ.ค.'!M161+'ต.ค.-ธ.ค.'!Q161+'ต.ค.-ธ.ค.'!S161</f>
        <v>0</v>
      </c>
      <c r="E161" s="554">
        <f>+'ม.ค.-มี.ค.'!D160+'ม.ค.-มี.ค.'!E160+'ม.ค.-มี.ค.'!F160+'ม.ค.-มี.ค.'!G160+'ม.ค.-มี.ค.'!H160+'ม.ค.-มี.ค.'!I160+'ม.ค.-มี.ค.'!J160+'ม.ค.-มี.ค.'!K160+'ม.ค.-มี.ค.'!L160+'ม.ค.-มี.ค.'!M160+'ม.ค.-มี.ค.'!N160+'ม.ค.-มี.ค.'!O160+'ม.ค.-มี.ค.'!P160+'ม.ค.-มี.ค.'!Q160+'ม.ค.-มี.ค.'!R160+'ม.ค.-มี.ค.'!S160+'ม.ค.-มี.ค.'!U160+'ม.ค.-มี.ค.'!V160</f>
        <v>0</v>
      </c>
      <c r="F161" s="554">
        <f>+'เม.ย.-มิ.ย.'!E160+'เม.ย.-มิ.ย.'!F160+'เม.ย.-มิ.ย.'!G160+'เม.ย.-มิ.ย.'!H160+'เม.ย.-มิ.ย.'!I160+'เม.ย.-มิ.ย.'!M160+'เม.ย.-มิ.ย.'!N160+'เม.ย.-มิ.ย.'!P160+'เม.ย.-มิ.ย.'!R160+'เม.ย.-มิ.ย.'!S160</f>
        <v>40000</v>
      </c>
      <c r="G161" s="561">
        <f>+ก.ค.!E160+ก.ค.!F160+ก.ค.!H160+ก.ค.!I160+ก.ค.!M160+ก.ค.!N160+ก.ค.!P160+ก.ค.!S160+ก.ค.!T160</f>
        <v>0</v>
      </c>
      <c r="H161" s="561">
        <f t="shared" si="14"/>
        <v>40000</v>
      </c>
      <c r="I161" s="556">
        <f t="shared" si="13"/>
        <v>0</v>
      </c>
      <c r="J161" s="233"/>
      <c r="K161" s="329"/>
      <c r="L161" s="330"/>
      <c r="M161" s="330"/>
    </row>
    <row r="162" spans="1:13" s="172" customFormat="1" ht="21.75" customHeight="1">
      <c r="A162" s="9"/>
      <c r="B162" s="187" t="s">
        <v>266</v>
      </c>
      <c r="C162" s="279">
        <v>15000</v>
      </c>
      <c r="D162" s="554">
        <f>+'ต.ค.-ธ.ค.'!E162+'ต.ค.-ธ.ค.'!F162+'ต.ค.-ธ.ค.'!H162+'ต.ค.-ธ.ค.'!I162+'ต.ค.-ธ.ค.'!M162+'ต.ค.-ธ.ค.'!Q162+'ต.ค.-ธ.ค.'!S162</f>
        <v>0</v>
      </c>
      <c r="E162" s="554">
        <f>+'ม.ค.-มี.ค.'!D161+'ม.ค.-มี.ค.'!E161+'ม.ค.-มี.ค.'!F161+'ม.ค.-มี.ค.'!G161+'ม.ค.-มี.ค.'!H161+'ม.ค.-มี.ค.'!I161+'ม.ค.-มี.ค.'!J161+'ม.ค.-มี.ค.'!K161+'ม.ค.-มี.ค.'!L161+'ม.ค.-มี.ค.'!M161+'ม.ค.-มี.ค.'!N161+'ม.ค.-มี.ค.'!O161+'ม.ค.-มี.ค.'!P161+'ม.ค.-มี.ค.'!Q161+'ม.ค.-มี.ค.'!R161+'ม.ค.-มี.ค.'!S161+'ม.ค.-มี.ค.'!U161+'ม.ค.-มี.ค.'!V161</f>
        <v>0</v>
      </c>
      <c r="F162" s="554">
        <f>+'เม.ย.-มิ.ย.'!E161+'เม.ย.-มิ.ย.'!F161+'เม.ย.-มิ.ย.'!G161+'เม.ย.-มิ.ย.'!H161+'เม.ย.-มิ.ย.'!I161+'เม.ย.-มิ.ย.'!M161+'เม.ย.-มิ.ย.'!N161+'เม.ย.-มิ.ย.'!P161+'เม.ย.-มิ.ย.'!R161+'เม.ย.-มิ.ย.'!S161</f>
        <v>0</v>
      </c>
      <c r="G162" s="561">
        <f>+ก.ค.!E161+ก.ค.!F161+ก.ค.!H161+ก.ค.!I161+ก.ค.!M161+ก.ค.!N161+ก.ค.!P161+ก.ค.!S161+ก.ค.!T161</f>
        <v>0</v>
      </c>
      <c r="H162" s="561">
        <f t="shared" si="14"/>
        <v>0</v>
      </c>
      <c r="I162" s="556">
        <f t="shared" si="13"/>
        <v>15000</v>
      </c>
      <c r="J162" s="233"/>
      <c r="K162" s="329"/>
      <c r="L162" s="330"/>
      <c r="M162" s="330"/>
    </row>
    <row r="163" spans="1:13" s="172" customFormat="1" ht="21.75" customHeight="1">
      <c r="A163" s="9"/>
      <c r="B163" s="187" t="s">
        <v>372</v>
      </c>
      <c r="C163" s="279">
        <v>65000</v>
      </c>
      <c r="D163" s="554">
        <f>+'ต.ค.-ธ.ค.'!E163+'ต.ค.-ธ.ค.'!F163+'ต.ค.-ธ.ค.'!H163+'ต.ค.-ธ.ค.'!I163+'ต.ค.-ธ.ค.'!M163+'ต.ค.-ธ.ค.'!Q163+'ต.ค.-ธ.ค.'!S163</f>
        <v>60000</v>
      </c>
      <c r="E163" s="554">
        <f>+'ม.ค.-มี.ค.'!D162+'ม.ค.-มี.ค.'!E162+'ม.ค.-มี.ค.'!F162+'ม.ค.-มี.ค.'!G162+'ม.ค.-มี.ค.'!H162+'ม.ค.-มี.ค.'!I162+'ม.ค.-มี.ค.'!J162+'ม.ค.-มี.ค.'!K162+'ม.ค.-มี.ค.'!L162+'ม.ค.-มี.ค.'!M162+'ม.ค.-มี.ค.'!N162+'ม.ค.-มี.ค.'!O162+'ม.ค.-มี.ค.'!P162+'ม.ค.-มี.ค.'!Q162+'ม.ค.-มี.ค.'!R162+'ม.ค.-มี.ค.'!S162+'ม.ค.-มี.ค.'!U162+'ม.ค.-มี.ค.'!V162</f>
        <v>4980</v>
      </c>
      <c r="F163" s="554">
        <f>+'เม.ย.-มิ.ย.'!E162+'เม.ย.-มิ.ย.'!F162+'เม.ย.-มิ.ย.'!G162+'เม.ย.-มิ.ย.'!H162+'เม.ย.-มิ.ย.'!I162+'เม.ย.-มิ.ย.'!M162+'เม.ย.-มิ.ย.'!N162+'เม.ย.-มิ.ย.'!P162+'เม.ย.-มิ.ย.'!R162+'เม.ย.-มิ.ย.'!S162</f>
        <v>0</v>
      </c>
      <c r="G163" s="561">
        <f>+ก.ค.!E162+ก.ค.!F162+ก.ค.!H162+ก.ค.!I162+ก.ค.!M162+ก.ค.!N162+ก.ค.!P162+ก.ค.!S162+ก.ค.!T162</f>
        <v>0</v>
      </c>
      <c r="H163" s="561">
        <f t="shared" si="14"/>
        <v>64980</v>
      </c>
      <c r="I163" s="556">
        <f t="shared" si="13"/>
        <v>20</v>
      </c>
      <c r="J163" s="233"/>
      <c r="K163" s="329"/>
      <c r="L163" s="330"/>
      <c r="M163" s="330"/>
    </row>
    <row r="164" spans="1:13" s="172" customFormat="1" ht="21.75" customHeight="1">
      <c r="A164" s="9"/>
      <c r="B164" s="187" t="s">
        <v>373</v>
      </c>
      <c r="C164" s="279">
        <f>65000-65000</f>
        <v>0</v>
      </c>
      <c r="D164" s="554">
        <f>+'ต.ค.-ธ.ค.'!E164+'ต.ค.-ธ.ค.'!F164+'ต.ค.-ธ.ค.'!H164+'ต.ค.-ธ.ค.'!I164+'ต.ค.-ธ.ค.'!M164+'ต.ค.-ธ.ค.'!Q164+'ต.ค.-ธ.ค.'!S164</f>
        <v>0</v>
      </c>
      <c r="E164" s="554">
        <f>+'ม.ค.-มี.ค.'!D163+'ม.ค.-มี.ค.'!E163+'ม.ค.-มี.ค.'!F163+'ม.ค.-มี.ค.'!G163+'ม.ค.-มี.ค.'!H163+'ม.ค.-มี.ค.'!I163+'ม.ค.-มี.ค.'!J163+'ม.ค.-มี.ค.'!K163+'ม.ค.-มี.ค.'!L163+'ม.ค.-มี.ค.'!M163+'ม.ค.-มี.ค.'!N163+'ม.ค.-มี.ค.'!O163+'ม.ค.-มี.ค.'!P163+'ม.ค.-มี.ค.'!Q163+'ม.ค.-มี.ค.'!R163+'ม.ค.-มี.ค.'!S163+'ม.ค.-มี.ค.'!U163+'ม.ค.-มี.ค.'!V163</f>
        <v>0</v>
      </c>
      <c r="F164" s="554">
        <f>+'เม.ย.-มิ.ย.'!E163+'เม.ย.-มิ.ย.'!F163+'เม.ย.-มิ.ย.'!G163+'เม.ย.-มิ.ย.'!H163+'เม.ย.-มิ.ย.'!I163+'เม.ย.-มิ.ย.'!M163+'เม.ย.-มิ.ย.'!N163+'เม.ย.-มิ.ย.'!P163+'เม.ย.-มิ.ย.'!R163+'เม.ย.-มิ.ย.'!S163</f>
        <v>0</v>
      </c>
      <c r="G164" s="561">
        <f>+ก.ค.!E163+ก.ค.!F163+ก.ค.!H163+ก.ค.!I163+ก.ค.!M163+ก.ค.!N163+ก.ค.!P163+ก.ค.!S163+ก.ค.!T163</f>
        <v>0</v>
      </c>
      <c r="H164" s="561">
        <f t="shared" si="14"/>
        <v>0</v>
      </c>
      <c r="I164" s="556">
        <f t="shared" si="13"/>
        <v>0</v>
      </c>
      <c r="J164" s="233"/>
      <c r="K164" s="329"/>
      <c r="L164" s="330"/>
      <c r="M164" s="330"/>
    </row>
    <row r="165" spans="1:13" s="172" customFormat="1" ht="21.75" customHeight="1">
      <c r="A165" s="9"/>
      <c r="B165" s="187" t="s">
        <v>374</v>
      </c>
      <c r="C165" s="279">
        <v>20000</v>
      </c>
      <c r="D165" s="554">
        <f>+'ต.ค.-ธ.ค.'!E165+'ต.ค.-ธ.ค.'!F165+'ต.ค.-ธ.ค.'!H165+'ต.ค.-ธ.ค.'!I165+'ต.ค.-ธ.ค.'!M165+'ต.ค.-ธ.ค.'!Q165+'ต.ค.-ธ.ค.'!S165</f>
        <v>0</v>
      </c>
      <c r="E165" s="554">
        <f>+'ม.ค.-มี.ค.'!D164+'ม.ค.-มี.ค.'!E164+'ม.ค.-มี.ค.'!F164+'ม.ค.-มี.ค.'!G164+'ม.ค.-มี.ค.'!H164+'ม.ค.-มี.ค.'!I164+'ม.ค.-มี.ค.'!J164+'ม.ค.-มี.ค.'!K164+'ม.ค.-มี.ค.'!L164+'ม.ค.-มี.ค.'!M164+'ม.ค.-มี.ค.'!N164+'ม.ค.-มี.ค.'!O164+'ม.ค.-มี.ค.'!P164+'ม.ค.-มี.ค.'!Q164+'ม.ค.-มี.ค.'!R164+'ม.ค.-มี.ค.'!S164+'ม.ค.-มี.ค.'!U164+'ม.ค.-มี.ค.'!V164</f>
        <v>0</v>
      </c>
      <c r="F165" s="554">
        <f>+'เม.ย.-มิ.ย.'!E164+'เม.ย.-มิ.ย.'!F164+'เม.ย.-มิ.ย.'!G164+'เม.ย.-มิ.ย.'!H164+'เม.ย.-มิ.ย.'!I164+'เม.ย.-มิ.ย.'!M164+'เม.ย.-มิ.ย.'!N164+'เม.ย.-มิ.ย.'!P164+'เม.ย.-มิ.ย.'!R164+'เม.ย.-มิ.ย.'!S164</f>
        <v>20000</v>
      </c>
      <c r="G165" s="561">
        <f>+ก.ค.!E164+ก.ค.!F164+ก.ค.!H164+ก.ค.!I164+ก.ค.!M164+ก.ค.!N164+ก.ค.!P164+ก.ค.!S164+ก.ค.!T164</f>
        <v>0</v>
      </c>
      <c r="H165" s="561">
        <f t="shared" si="14"/>
        <v>20000</v>
      </c>
      <c r="I165" s="556">
        <f t="shared" si="13"/>
        <v>0</v>
      </c>
      <c r="J165" s="233"/>
      <c r="K165" s="329"/>
      <c r="L165" s="330"/>
      <c r="M165" s="330"/>
    </row>
    <row r="166" spans="1:13" s="172" customFormat="1" ht="21.75" customHeight="1">
      <c r="A166" s="9"/>
      <c r="B166" s="187" t="s">
        <v>375</v>
      </c>
      <c r="C166" s="279">
        <v>20000</v>
      </c>
      <c r="D166" s="554">
        <f>+'ต.ค.-ธ.ค.'!E166+'ต.ค.-ธ.ค.'!F166+'ต.ค.-ธ.ค.'!H166+'ต.ค.-ธ.ค.'!I166+'ต.ค.-ธ.ค.'!M166+'ต.ค.-ธ.ค.'!Q166+'ต.ค.-ธ.ค.'!S166</f>
        <v>0</v>
      </c>
      <c r="E166" s="554">
        <f>+'ม.ค.-มี.ค.'!D165+'ม.ค.-มี.ค.'!E165+'ม.ค.-มี.ค.'!F165+'ม.ค.-มี.ค.'!G165+'ม.ค.-มี.ค.'!H165+'ม.ค.-มี.ค.'!I165+'ม.ค.-มี.ค.'!J165+'ม.ค.-มี.ค.'!K165+'ม.ค.-มี.ค.'!L165+'ม.ค.-มี.ค.'!M165+'ม.ค.-มี.ค.'!N165+'ม.ค.-มี.ค.'!O165+'ม.ค.-มี.ค.'!P165+'ม.ค.-มี.ค.'!Q165+'ม.ค.-มี.ค.'!R165+'ม.ค.-มี.ค.'!S165+'ม.ค.-มี.ค.'!U165+'ม.ค.-มี.ค.'!V165</f>
        <v>0</v>
      </c>
      <c r="F166" s="554">
        <f>+'เม.ย.-มิ.ย.'!E165+'เม.ย.-มิ.ย.'!F165+'เม.ย.-มิ.ย.'!G165+'เม.ย.-มิ.ย.'!H165+'เม.ย.-มิ.ย.'!I165+'เม.ย.-มิ.ย.'!M165+'เม.ย.-มิ.ย.'!N165+'เม.ย.-มิ.ย.'!P165+'เม.ย.-มิ.ย.'!R165+'เม.ย.-มิ.ย.'!S165</f>
        <v>4000</v>
      </c>
      <c r="G166" s="561">
        <f>+ก.ค.!E165+ก.ค.!F165+ก.ค.!H165+ก.ค.!I165+ก.ค.!M165+ก.ค.!N165+ก.ค.!P165+ก.ค.!S165+ก.ค.!T165</f>
        <v>16000</v>
      </c>
      <c r="H166" s="561">
        <f t="shared" si="14"/>
        <v>20000</v>
      </c>
      <c r="I166" s="556">
        <f t="shared" si="13"/>
        <v>0</v>
      </c>
      <c r="J166" s="233"/>
      <c r="K166" s="329"/>
      <c r="L166" s="330"/>
      <c r="M166" s="330"/>
    </row>
    <row r="167" spans="1:13" s="172" customFormat="1" ht="21.75" customHeight="1">
      <c r="A167" s="9"/>
      <c r="B167" s="187" t="s">
        <v>376</v>
      </c>
      <c r="C167" s="279">
        <v>25000</v>
      </c>
      <c r="D167" s="554">
        <f>+'ต.ค.-ธ.ค.'!E167+'ต.ค.-ธ.ค.'!F167+'ต.ค.-ธ.ค.'!H167+'ต.ค.-ธ.ค.'!I167+'ต.ค.-ธ.ค.'!M167+'ต.ค.-ธ.ค.'!Q167+'ต.ค.-ธ.ค.'!S167</f>
        <v>0</v>
      </c>
      <c r="E167" s="554">
        <f>+'ม.ค.-มี.ค.'!D166+'ม.ค.-มี.ค.'!E166+'ม.ค.-มี.ค.'!F166+'ม.ค.-มี.ค.'!G166+'ม.ค.-มี.ค.'!H166+'ม.ค.-มี.ค.'!I166+'ม.ค.-มี.ค.'!J166+'ม.ค.-มี.ค.'!K166+'ม.ค.-มี.ค.'!L166+'ม.ค.-มี.ค.'!M166+'ม.ค.-มี.ค.'!N166+'ม.ค.-มี.ค.'!O166+'ม.ค.-มี.ค.'!P166+'ม.ค.-มี.ค.'!Q166+'ม.ค.-มี.ค.'!R166+'ม.ค.-มี.ค.'!S166+'ม.ค.-มี.ค.'!U166+'ม.ค.-มี.ค.'!V166</f>
        <v>0</v>
      </c>
      <c r="F167" s="554">
        <f>+'เม.ย.-มิ.ย.'!E166+'เม.ย.-มิ.ย.'!F166+'เม.ย.-มิ.ย.'!G166+'เม.ย.-มิ.ย.'!H166+'เม.ย.-มิ.ย.'!I166+'เม.ย.-มิ.ย.'!M166+'เม.ย.-มิ.ย.'!N166+'เม.ย.-มิ.ย.'!P166+'เม.ย.-มิ.ย.'!R166+'เม.ย.-มิ.ย.'!S166</f>
        <v>0</v>
      </c>
      <c r="G167" s="561">
        <f>+ก.ค.!E166+ก.ค.!F166+ก.ค.!H166+ก.ค.!I166+ก.ค.!M166+ก.ค.!N166+ก.ค.!P166+ก.ค.!S166+ก.ค.!T166</f>
        <v>0</v>
      </c>
      <c r="H167" s="561">
        <f t="shared" si="14"/>
        <v>0</v>
      </c>
      <c r="I167" s="556">
        <f t="shared" si="13"/>
        <v>25000</v>
      </c>
      <c r="J167" s="233"/>
      <c r="K167" s="329"/>
      <c r="L167" s="330"/>
      <c r="M167" s="330"/>
    </row>
    <row r="168" spans="1:13" s="172" customFormat="1" ht="21.75" customHeight="1">
      <c r="A168" s="9"/>
      <c r="B168" s="187" t="s">
        <v>377</v>
      </c>
      <c r="C168" s="279">
        <v>20000</v>
      </c>
      <c r="D168" s="554">
        <f>+'ต.ค.-ธ.ค.'!E168+'ต.ค.-ธ.ค.'!F168+'ต.ค.-ธ.ค.'!H168+'ต.ค.-ธ.ค.'!I168+'ต.ค.-ธ.ค.'!M168+'ต.ค.-ธ.ค.'!Q168+'ต.ค.-ธ.ค.'!S168</f>
        <v>0</v>
      </c>
      <c r="E168" s="554">
        <f>+'ม.ค.-มี.ค.'!D167+'ม.ค.-มี.ค.'!E167+'ม.ค.-มี.ค.'!F167+'ม.ค.-มี.ค.'!G167+'ม.ค.-มี.ค.'!H167+'ม.ค.-มี.ค.'!I167+'ม.ค.-มี.ค.'!J167+'ม.ค.-มี.ค.'!K167+'ม.ค.-มี.ค.'!L167+'ม.ค.-มี.ค.'!M167+'ม.ค.-มี.ค.'!N167+'ม.ค.-มี.ค.'!O167+'ม.ค.-มี.ค.'!P167+'ม.ค.-มี.ค.'!Q167+'ม.ค.-มี.ค.'!R167+'ม.ค.-มี.ค.'!S167+'ม.ค.-มี.ค.'!U167+'ม.ค.-มี.ค.'!V167</f>
        <v>0</v>
      </c>
      <c r="F168" s="554">
        <f>+'เม.ย.-มิ.ย.'!E167+'เม.ย.-มิ.ย.'!F167+'เม.ย.-มิ.ย.'!G167+'เม.ย.-มิ.ย.'!H167+'เม.ย.-มิ.ย.'!I167+'เม.ย.-มิ.ย.'!M167+'เม.ย.-มิ.ย.'!N167+'เม.ย.-มิ.ย.'!P167+'เม.ย.-มิ.ย.'!R167+'เม.ย.-มิ.ย.'!S167</f>
        <v>0</v>
      </c>
      <c r="G168" s="561">
        <f>+ก.ค.!E167+ก.ค.!F167+ก.ค.!H167+ก.ค.!I167+ก.ค.!M167+ก.ค.!N167+ก.ค.!P167+ก.ค.!S167+ก.ค.!T167</f>
        <v>18000</v>
      </c>
      <c r="H168" s="561">
        <f t="shared" si="14"/>
        <v>18000</v>
      </c>
      <c r="I168" s="556">
        <f t="shared" si="13"/>
        <v>2000</v>
      </c>
      <c r="J168" s="233"/>
      <c r="K168" s="329"/>
      <c r="L168" s="330"/>
      <c r="M168" s="330"/>
    </row>
    <row r="169" spans="1:13" s="172" customFormat="1" ht="21.75" customHeight="1">
      <c r="A169" s="9"/>
      <c r="B169" s="187" t="s">
        <v>267</v>
      </c>
      <c r="C169" s="279">
        <f>15000-15000</f>
        <v>0</v>
      </c>
      <c r="D169" s="554">
        <f>+'ต.ค.-ธ.ค.'!E169+'ต.ค.-ธ.ค.'!F169+'ต.ค.-ธ.ค.'!H169+'ต.ค.-ธ.ค.'!I169+'ต.ค.-ธ.ค.'!M169+'ต.ค.-ธ.ค.'!Q169+'ต.ค.-ธ.ค.'!S169</f>
        <v>0</v>
      </c>
      <c r="E169" s="554">
        <f>+'ม.ค.-มี.ค.'!D168+'ม.ค.-มี.ค.'!E168+'ม.ค.-มี.ค.'!F168+'ม.ค.-มี.ค.'!G168+'ม.ค.-มี.ค.'!H168+'ม.ค.-มี.ค.'!I168+'ม.ค.-มี.ค.'!J168+'ม.ค.-มี.ค.'!K168+'ม.ค.-มี.ค.'!L168+'ม.ค.-มี.ค.'!M168+'ม.ค.-มี.ค.'!N168+'ม.ค.-มี.ค.'!O168+'ม.ค.-มี.ค.'!P168+'ม.ค.-มี.ค.'!Q168+'ม.ค.-มี.ค.'!R168+'ม.ค.-มี.ค.'!S168+'ม.ค.-มี.ค.'!U168+'ม.ค.-มี.ค.'!V168</f>
        <v>0</v>
      </c>
      <c r="F169" s="554">
        <f>+'เม.ย.-มิ.ย.'!E168+'เม.ย.-มิ.ย.'!F168+'เม.ย.-มิ.ย.'!G168+'เม.ย.-มิ.ย.'!H168+'เม.ย.-มิ.ย.'!I168+'เม.ย.-มิ.ย.'!M168+'เม.ย.-มิ.ย.'!N168+'เม.ย.-มิ.ย.'!P168+'เม.ย.-มิ.ย.'!R168+'เม.ย.-มิ.ย.'!S168</f>
        <v>0</v>
      </c>
      <c r="G169" s="561">
        <f>+ก.ค.!E168+ก.ค.!F168+ก.ค.!H168+ก.ค.!I168+ก.ค.!M168+ก.ค.!N168+ก.ค.!P168+ก.ค.!S168+ก.ค.!T168</f>
        <v>0</v>
      </c>
      <c r="H169" s="561">
        <f t="shared" si="14"/>
        <v>0</v>
      </c>
      <c r="I169" s="556">
        <f t="shared" si="13"/>
        <v>0</v>
      </c>
      <c r="J169" s="233"/>
      <c r="K169" s="329"/>
      <c r="L169" s="330"/>
      <c r="M169" s="330"/>
    </row>
    <row r="170" spans="1:13" s="172" customFormat="1" ht="21.75" customHeight="1">
      <c r="A170" s="9"/>
      <c r="B170" s="187" t="s">
        <v>215</v>
      </c>
      <c r="C170" s="279">
        <v>10000</v>
      </c>
      <c r="D170" s="554">
        <f>+'ต.ค.-ธ.ค.'!E170+'ต.ค.-ธ.ค.'!F170+'ต.ค.-ธ.ค.'!H170+'ต.ค.-ธ.ค.'!I170+'ต.ค.-ธ.ค.'!M170+'ต.ค.-ธ.ค.'!Q170+'ต.ค.-ธ.ค.'!S170</f>
        <v>0</v>
      </c>
      <c r="E170" s="554">
        <f>+'ม.ค.-มี.ค.'!D169+'ม.ค.-มี.ค.'!E169+'ม.ค.-มี.ค.'!F169+'ม.ค.-มี.ค.'!G169+'ม.ค.-มี.ค.'!H169+'ม.ค.-มี.ค.'!I169+'ม.ค.-มี.ค.'!J169+'ม.ค.-มี.ค.'!K169+'ม.ค.-มี.ค.'!L169+'ม.ค.-มี.ค.'!M169+'ม.ค.-มี.ค.'!N169+'ม.ค.-มี.ค.'!O169+'ม.ค.-มี.ค.'!P169+'ม.ค.-มี.ค.'!Q169+'ม.ค.-มี.ค.'!R169+'ม.ค.-มี.ค.'!S169+'ม.ค.-มี.ค.'!U169+'ม.ค.-มี.ค.'!V169</f>
        <v>0</v>
      </c>
      <c r="F170" s="554">
        <f>+'เม.ย.-มิ.ย.'!E169+'เม.ย.-มิ.ย.'!F169+'เม.ย.-มิ.ย.'!G169+'เม.ย.-มิ.ย.'!H169+'เม.ย.-มิ.ย.'!I169+'เม.ย.-มิ.ย.'!M169+'เม.ย.-มิ.ย.'!N169+'เม.ย.-มิ.ย.'!P169+'เม.ย.-มิ.ย.'!R169+'เม.ย.-มิ.ย.'!S169</f>
        <v>0</v>
      </c>
      <c r="G170" s="561">
        <f>+ก.ค.!E169+ก.ค.!F169+ก.ค.!H169+ก.ค.!I169+ก.ค.!M169+ก.ค.!N169+ก.ค.!P169+ก.ค.!S169+ก.ค.!T169</f>
        <v>0</v>
      </c>
      <c r="H170" s="561">
        <f t="shared" si="14"/>
        <v>0</v>
      </c>
      <c r="I170" s="556">
        <f t="shared" si="13"/>
        <v>10000</v>
      </c>
      <c r="J170" s="233"/>
      <c r="K170" s="329"/>
      <c r="L170" s="330"/>
      <c r="M170" s="330"/>
    </row>
    <row r="171" spans="1:13" s="172" customFormat="1" ht="21.75" customHeight="1">
      <c r="A171" s="9"/>
      <c r="B171" s="187" t="s">
        <v>268</v>
      </c>
      <c r="C171" s="279">
        <v>5000</v>
      </c>
      <c r="D171" s="554">
        <f>+'ต.ค.-ธ.ค.'!E171+'ต.ค.-ธ.ค.'!F171+'ต.ค.-ธ.ค.'!H171+'ต.ค.-ธ.ค.'!I171+'ต.ค.-ธ.ค.'!M171+'ต.ค.-ธ.ค.'!Q171+'ต.ค.-ธ.ค.'!S171</f>
        <v>0</v>
      </c>
      <c r="E171" s="554">
        <f>+'ม.ค.-มี.ค.'!D170+'ม.ค.-มี.ค.'!E170+'ม.ค.-มี.ค.'!F170+'ม.ค.-มี.ค.'!G170+'ม.ค.-มี.ค.'!H170+'ม.ค.-มี.ค.'!I170+'ม.ค.-มี.ค.'!J170+'ม.ค.-มี.ค.'!K170+'ม.ค.-มี.ค.'!L170+'ม.ค.-มี.ค.'!M170+'ม.ค.-มี.ค.'!N170+'ม.ค.-มี.ค.'!O170+'ม.ค.-มี.ค.'!P170+'ม.ค.-มี.ค.'!Q170+'ม.ค.-มี.ค.'!R170+'ม.ค.-มี.ค.'!S170+'ม.ค.-มี.ค.'!U170+'ม.ค.-มี.ค.'!V170</f>
        <v>4715</v>
      </c>
      <c r="F171" s="554">
        <f>+'เม.ย.-มิ.ย.'!E170+'เม.ย.-มิ.ย.'!F170+'เม.ย.-มิ.ย.'!G170+'เม.ย.-มิ.ย.'!H170+'เม.ย.-มิ.ย.'!I170+'เม.ย.-มิ.ย.'!M170+'เม.ย.-มิ.ย.'!N170+'เม.ย.-มิ.ย.'!P170+'เม.ย.-มิ.ย.'!R170+'เม.ย.-มิ.ย.'!S170</f>
        <v>0</v>
      </c>
      <c r="G171" s="561">
        <f>+ก.ค.!E170+ก.ค.!F170+ก.ค.!H170+ก.ค.!I170+ก.ค.!M170+ก.ค.!N170+ก.ค.!P170+ก.ค.!S170+ก.ค.!T170</f>
        <v>0</v>
      </c>
      <c r="H171" s="561">
        <f t="shared" si="14"/>
        <v>4715</v>
      </c>
      <c r="I171" s="556">
        <f t="shared" si="13"/>
        <v>285</v>
      </c>
      <c r="J171" s="233"/>
      <c r="K171" s="329"/>
      <c r="L171" s="330"/>
      <c r="M171" s="330"/>
    </row>
    <row r="172" spans="1:13" s="172" customFormat="1" ht="21.75" customHeight="1">
      <c r="A172" s="9"/>
      <c r="B172" s="187" t="s">
        <v>413</v>
      </c>
      <c r="C172" s="279">
        <v>140000</v>
      </c>
      <c r="D172" s="554"/>
      <c r="E172" s="554">
        <f>+'ม.ค.-มี.ค.'!D171+'ม.ค.-มี.ค.'!E171+'ม.ค.-มี.ค.'!F171+'ม.ค.-มี.ค.'!G171+'ม.ค.-มี.ค.'!H171+'ม.ค.-มี.ค.'!I171+'ม.ค.-มี.ค.'!J171+'ม.ค.-มี.ค.'!K171+'ม.ค.-มี.ค.'!L171+'ม.ค.-มี.ค.'!M171+'ม.ค.-มี.ค.'!N171+'ม.ค.-มี.ค.'!O171+'ม.ค.-มี.ค.'!P171+'ม.ค.-มี.ค.'!Q171+'ม.ค.-มี.ค.'!R171+'ม.ค.-มี.ค.'!S171+'ม.ค.-มี.ค.'!U171+'ม.ค.-มี.ค.'!V171</f>
        <v>27080</v>
      </c>
      <c r="F172" s="554">
        <f>+'เม.ย.-มิ.ย.'!E171+'เม.ย.-มิ.ย.'!F171+'เม.ย.-มิ.ย.'!G171+'เม.ย.-มิ.ย.'!H171+'เม.ย.-มิ.ย.'!I171+'เม.ย.-มิ.ย.'!M171+'เม.ย.-มิ.ย.'!N171+'เม.ย.-มิ.ย.'!P171+'เม.ย.-มิ.ย.'!R171+'เม.ย.-มิ.ย.'!S171</f>
        <v>112880</v>
      </c>
      <c r="G172" s="561">
        <f>+ก.ค.!E171+ก.ค.!F171+ก.ค.!H171+ก.ค.!I171+ก.ค.!M171+ก.ค.!N171+ก.ค.!P171+ก.ค.!S171+ก.ค.!T171</f>
        <v>0</v>
      </c>
      <c r="H172" s="561">
        <f t="shared" si="14"/>
        <v>139960</v>
      </c>
      <c r="I172" s="556">
        <f t="shared" si="13"/>
        <v>40</v>
      </c>
      <c r="J172" s="233"/>
      <c r="K172" s="329"/>
      <c r="L172" s="330"/>
      <c r="M172" s="330"/>
    </row>
    <row r="173" spans="1:13" s="172" customFormat="1" ht="21.75" customHeight="1">
      <c r="A173" s="9"/>
      <c r="B173" s="187" t="s">
        <v>414</v>
      </c>
      <c r="C173" s="279">
        <v>40000</v>
      </c>
      <c r="D173" s="554"/>
      <c r="E173" s="554">
        <f>+'ม.ค.-มี.ค.'!D172+'ม.ค.-มี.ค.'!E172+'ม.ค.-มี.ค.'!F172+'ม.ค.-มี.ค.'!G172+'ม.ค.-มี.ค.'!H172+'ม.ค.-มี.ค.'!I172+'ม.ค.-มี.ค.'!J172+'ม.ค.-มี.ค.'!K172+'ม.ค.-มี.ค.'!L172+'ม.ค.-มี.ค.'!M172+'ม.ค.-มี.ค.'!N172+'ม.ค.-มี.ค.'!O172+'ม.ค.-มี.ค.'!P172+'ม.ค.-มี.ค.'!Q172+'ม.ค.-มี.ค.'!R172+'ม.ค.-มี.ค.'!S172+'ม.ค.-มี.ค.'!U172+'ม.ค.-มี.ค.'!V172</f>
        <v>37080</v>
      </c>
      <c r="F173" s="554">
        <f>+'เม.ย.-มิ.ย.'!E172+'เม.ย.-มิ.ย.'!F172+'เม.ย.-มิ.ย.'!G172+'เม.ย.-มิ.ย.'!H172+'เม.ย.-มิ.ย.'!I172+'เม.ย.-มิ.ย.'!M172+'เม.ย.-มิ.ย.'!N172+'เม.ย.-มิ.ย.'!P172+'เม.ย.-มิ.ย.'!R172+'เม.ย.-มิ.ย.'!S172</f>
        <v>0</v>
      </c>
      <c r="G173" s="561">
        <f>+ก.ค.!E172+ก.ค.!F172+ก.ค.!H172+ก.ค.!I172+ก.ค.!M172+ก.ค.!N172+ก.ค.!P172+ก.ค.!S172+ก.ค.!T172</f>
        <v>0</v>
      </c>
      <c r="H173" s="561">
        <f t="shared" si="14"/>
        <v>37080</v>
      </c>
      <c r="I173" s="556">
        <f t="shared" si="13"/>
        <v>2920</v>
      </c>
      <c r="J173" s="233"/>
      <c r="K173" s="329"/>
      <c r="L173" s="330"/>
      <c r="M173" s="330"/>
    </row>
    <row r="174" spans="1:13" s="172" customFormat="1" ht="21.75" customHeight="1">
      <c r="A174" s="9"/>
      <c r="B174" s="187" t="s">
        <v>415</v>
      </c>
      <c r="C174" s="279">
        <v>20000</v>
      </c>
      <c r="D174" s="554"/>
      <c r="E174" s="554">
        <f>+'ม.ค.-มี.ค.'!D173+'ม.ค.-มี.ค.'!E173+'ม.ค.-มี.ค.'!F173+'ม.ค.-มี.ค.'!G173+'ม.ค.-มี.ค.'!H173+'ม.ค.-มี.ค.'!I173+'ม.ค.-มี.ค.'!J173+'ม.ค.-มี.ค.'!K173+'ม.ค.-มี.ค.'!L173+'ม.ค.-มี.ค.'!M173+'ม.ค.-มี.ค.'!N173+'ม.ค.-มี.ค.'!O173+'ม.ค.-มี.ค.'!P173+'ม.ค.-มี.ค.'!Q173+'ม.ค.-มี.ค.'!R173+'ม.ค.-มี.ค.'!S173+'ม.ค.-มี.ค.'!U173+'ม.ค.-มี.ค.'!V173</f>
        <v>1200</v>
      </c>
      <c r="F174" s="554">
        <f>+'เม.ย.-มิ.ย.'!E173+'เม.ย.-มิ.ย.'!F173+'เม.ย.-มิ.ย.'!G173+'เม.ย.-มิ.ย.'!H173+'เม.ย.-มิ.ย.'!I173+'เม.ย.-มิ.ย.'!M173+'เม.ย.-มิ.ย.'!N173+'เม.ย.-มิ.ย.'!P173+'เม.ย.-มิ.ย.'!R173+'เม.ย.-มิ.ย.'!S173</f>
        <v>18800</v>
      </c>
      <c r="G174" s="561">
        <f>+ก.ค.!E173+ก.ค.!F173+ก.ค.!H173+ก.ค.!I173+ก.ค.!M173+ก.ค.!N173+ก.ค.!P173+ก.ค.!S173+ก.ค.!T173</f>
        <v>0</v>
      </c>
      <c r="H174" s="561">
        <f t="shared" si="14"/>
        <v>20000</v>
      </c>
      <c r="I174" s="556">
        <f t="shared" si="13"/>
        <v>0</v>
      </c>
      <c r="J174" s="233"/>
      <c r="K174" s="329"/>
      <c r="L174" s="330"/>
      <c r="M174" s="330"/>
    </row>
    <row r="175" spans="1:13" s="172" customFormat="1" ht="21.75" customHeight="1">
      <c r="A175" s="9"/>
      <c r="B175" s="187" t="s">
        <v>330</v>
      </c>
      <c r="C175" s="279"/>
      <c r="D175" s="554"/>
      <c r="E175" s="554">
        <f>+'ม.ค.-มี.ค.'!E174+'ม.ค.-มี.ค.'!F174+'ม.ค.-มี.ค.'!H174+'ม.ค.-มี.ค.'!I174+'ม.ค.-มี.ค.'!K174+'ม.ค.-มี.ค.'!M174+'ม.ค.-มี.ค.'!N174+'ม.ค.-มี.ค.'!V174</f>
        <v>0</v>
      </c>
      <c r="F175" s="554">
        <f>+'เม.ย.-มิ.ย.'!E174+'เม.ย.-มิ.ย.'!F174+'เม.ย.-มิ.ย.'!G174+'เม.ย.-มิ.ย.'!H174+'เม.ย.-มิ.ย.'!I174+'เม.ย.-มิ.ย.'!M174+'เม.ย.-มิ.ย.'!N174+'เม.ย.-มิ.ย.'!P174+'เม.ย.-มิ.ย.'!R174+'เม.ย.-มิ.ย.'!S174</f>
        <v>0</v>
      </c>
      <c r="G175" s="562"/>
      <c r="H175" s="561">
        <f t="shared" si="14"/>
        <v>0</v>
      </c>
      <c r="I175" s="556">
        <f t="shared" si="13"/>
        <v>0</v>
      </c>
      <c r="J175" s="233"/>
      <c r="K175" s="329"/>
      <c r="L175" s="330"/>
      <c r="M175" s="330"/>
    </row>
    <row r="176" spans="1:13" s="172" customFormat="1" ht="21.75" customHeight="1">
      <c r="A176" s="9"/>
      <c r="B176" s="187" t="s">
        <v>438</v>
      </c>
      <c r="C176" s="279">
        <v>60000</v>
      </c>
      <c r="D176" s="554"/>
      <c r="E176" s="554"/>
      <c r="F176" s="554"/>
      <c r="G176" s="562"/>
      <c r="H176" s="561">
        <f t="shared" si="14"/>
        <v>0</v>
      </c>
      <c r="I176" s="556">
        <f t="shared" si="13"/>
        <v>60000</v>
      </c>
      <c r="J176" s="233"/>
      <c r="K176" s="329"/>
      <c r="L176" s="330"/>
      <c r="M176" s="330"/>
    </row>
    <row r="177" spans="1:13" s="221" customFormat="1" ht="21.75" customHeight="1" thickBot="1">
      <c r="A177" s="15"/>
      <c r="B177" s="14" t="s">
        <v>5</v>
      </c>
      <c r="C177" s="170">
        <f>SUM(C52:C176)</f>
        <v>6466300</v>
      </c>
      <c r="D177" s="26">
        <f>SUM(D52:D176)</f>
        <v>1392690</v>
      </c>
      <c r="E177" s="26">
        <f>SUM(E52:E176)</f>
        <v>1541883</v>
      </c>
      <c r="F177" s="132">
        <f>SUM(F52:F176)</f>
        <v>1621792.04</v>
      </c>
      <c r="G177" s="26">
        <f>SUM(G52:G176)</f>
        <v>394679</v>
      </c>
      <c r="H177" s="26">
        <f t="shared" si="14"/>
        <v>4951044.04</v>
      </c>
      <c r="I177" s="563">
        <f>+C177-H177</f>
        <v>1515255.96</v>
      </c>
      <c r="J177" s="244"/>
      <c r="K177" s="329"/>
      <c r="L177" s="330"/>
      <c r="M177" s="330"/>
    </row>
    <row r="178" spans="1:13" ht="21.75" customHeight="1" thickTop="1">
      <c r="A178" s="3" t="s">
        <v>113</v>
      </c>
      <c r="B178" s="4"/>
      <c r="C178" s="287"/>
      <c r="D178" s="559"/>
      <c r="E178" s="559"/>
      <c r="F178" s="564"/>
      <c r="G178" s="559"/>
      <c r="H178" s="559"/>
      <c r="I178" s="565"/>
    </row>
    <row r="179" spans="1:13" ht="21.75" customHeight="1">
      <c r="A179" s="9"/>
      <c r="B179" s="130" t="s">
        <v>111</v>
      </c>
      <c r="C179" s="216">
        <f>50000+25000+5000+25000+10000+10000-8000+20000+200+10000+5000+10000+15000-5000+15000+9000</f>
        <v>196200</v>
      </c>
      <c r="D179" s="240">
        <f>+'ต.ค.-ธ.ค.'!D179+'ต.ค.-ธ.ค.'!E179+'ต.ค.-ธ.ค.'!F179+'ต.ค.-ธ.ค.'!H179+'ต.ค.-ธ.ค.'!I179+'ต.ค.-ธ.ค.'!M179+'ต.ค.-ธ.ค.'!S179</f>
        <v>15519</v>
      </c>
      <c r="E179" s="240">
        <f>+'ม.ค.-มี.ค.'!E178+'ม.ค.-มี.ค.'!F178+'ม.ค.-มี.ค.'!H178+'ม.ค.-มี.ค.'!I178+'ม.ค.-มี.ค.'!K178+'ม.ค.-มี.ค.'!M178+'ม.ค.-มี.ค.'!N178+'ม.ค.-มี.ค.'!V178</f>
        <v>50661.8</v>
      </c>
      <c r="F179" s="554">
        <f>+'เม.ย.-มิ.ย.'!E178+'เม.ย.-มิ.ย.'!F178+'เม.ย.-มิ.ย.'!G178+'เม.ย.-มิ.ย.'!H178+'เม.ย.-มิ.ย.'!I178+'เม.ย.-มิ.ย.'!M178+'เม.ย.-มิ.ย.'!N178+'เม.ย.-มิ.ย.'!P178+'เม.ย.-มิ.ย.'!R178+'เม.ย.-มิ.ย.'!S178</f>
        <v>29458</v>
      </c>
      <c r="G179" s="224">
        <f>+ก.ค.!E178+ก.ค.!F178+ก.ค.!H178+ก.ค.!I178+ก.ค.!M178+ก.ค.!N178+ก.ค.!P178+ก.ค.!S178+ก.ค.!T178</f>
        <v>9740</v>
      </c>
      <c r="H179" s="224">
        <f>SUM(D179:G179)</f>
        <v>105378.8</v>
      </c>
      <c r="I179" s="205">
        <f>+C179-H179</f>
        <v>90821.2</v>
      </c>
      <c r="J179" s="244"/>
    </row>
    <row r="180" spans="1:13" ht="21.75" customHeight="1">
      <c r="A180" s="9"/>
      <c r="B180" s="130" t="s">
        <v>302</v>
      </c>
      <c r="C180" s="216">
        <v>10000</v>
      </c>
      <c r="D180" s="240">
        <f>+'ต.ค.-ธ.ค.'!D180+'ต.ค.-ธ.ค.'!E180+'ต.ค.-ธ.ค.'!F180+'ต.ค.-ธ.ค.'!H180+'ต.ค.-ธ.ค.'!I180+'ต.ค.-ธ.ค.'!M180+'ต.ค.-ธ.ค.'!S180</f>
        <v>500</v>
      </c>
      <c r="E180" s="240">
        <f>+'ม.ค.-มี.ค.'!E179+'ม.ค.-มี.ค.'!F179+'ม.ค.-มี.ค.'!H179+'ม.ค.-มี.ค.'!I179+'ม.ค.-มี.ค.'!K179+'ม.ค.-มี.ค.'!M179+'ม.ค.-มี.ค.'!N179+'ม.ค.-มี.ค.'!V179</f>
        <v>0</v>
      </c>
      <c r="F180" s="554">
        <f>+'เม.ย.-มิ.ย.'!E179+'เม.ย.-มิ.ย.'!F179+'เม.ย.-มิ.ย.'!G179+'เม.ย.-มิ.ย.'!H179+'เม.ย.-มิ.ย.'!I179+'เม.ย.-มิ.ย.'!M179+'เม.ย.-มิ.ย.'!N179+'เม.ย.-มิ.ย.'!P179+'เม.ย.-มิ.ย.'!R179+'เม.ย.-มิ.ย.'!S179</f>
        <v>0</v>
      </c>
      <c r="G180" s="224">
        <f>+ก.ค.!E179+ก.ค.!F179+ก.ค.!H179+ก.ค.!I179+ก.ค.!M179+ก.ค.!N179+ก.ค.!P179+ก.ค.!S179+ก.ค.!T179</f>
        <v>0</v>
      </c>
      <c r="H180" s="224"/>
      <c r="I180" s="205"/>
      <c r="J180" s="244"/>
    </row>
    <row r="181" spans="1:13" s="168" customFormat="1" ht="21.75" customHeight="1">
      <c r="A181" s="9"/>
      <c r="B181" s="130" t="s">
        <v>16</v>
      </c>
      <c r="C181" s="216">
        <f>8000+200000+5000-3000</f>
        <v>210000</v>
      </c>
      <c r="D181" s="240">
        <f>+'ต.ค.-ธ.ค.'!D181+'ต.ค.-ธ.ค.'!E181+'ต.ค.-ธ.ค.'!F181+'ต.ค.-ธ.ค.'!H181+'ต.ค.-ธ.ค.'!I181+'ต.ค.-ธ.ค.'!M181+'ต.ค.-ธ.ค.'!S181</f>
        <v>1039</v>
      </c>
      <c r="E181" s="240">
        <f>+'ม.ค.-มี.ค.'!E180+'ม.ค.-มี.ค.'!F180+'ม.ค.-มี.ค.'!H180+'ม.ค.-มี.ค.'!I180+'ม.ค.-มี.ค.'!K180+'ม.ค.-มี.ค.'!M180+'ม.ค.-มี.ค.'!N180+'ม.ค.-มี.ค.'!V180</f>
        <v>79750</v>
      </c>
      <c r="F181" s="554">
        <f>+'เม.ย.-มิ.ย.'!E180+'เม.ย.-มิ.ย.'!F180+'เม.ย.-มิ.ย.'!G180+'เม.ย.-มิ.ย.'!H180+'เม.ย.-มิ.ย.'!I180+'เม.ย.-มิ.ย.'!M180+'เม.ย.-มิ.ย.'!N180+'เม.ย.-มิ.ย.'!P180+'เม.ย.-มิ.ย.'!R180+'เม.ย.-มิ.ย.'!S180</f>
        <v>1370</v>
      </c>
      <c r="G181" s="224">
        <f>+ก.ค.!E180+ก.ค.!F180+ก.ค.!H180+ก.ค.!I180+ก.ค.!M180+ก.ค.!N180+ก.ค.!P180+ก.ค.!S180+ก.ค.!T180</f>
        <v>91400</v>
      </c>
      <c r="H181" s="224">
        <f t="shared" ref="H181:H204" si="16">SUM(D181:G181)</f>
        <v>173559</v>
      </c>
      <c r="I181" s="205">
        <f t="shared" ref="I181:I204" si="17">+C181-H181</f>
        <v>36441</v>
      </c>
      <c r="J181" s="233"/>
      <c r="K181" s="331"/>
      <c r="L181" s="247"/>
      <c r="M181" s="247"/>
    </row>
    <row r="182" spans="1:13" s="172" customFormat="1" ht="21.75" customHeight="1">
      <c r="A182" s="9"/>
      <c r="B182" s="130" t="s">
        <v>12</v>
      </c>
      <c r="C182" s="216">
        <f>15000+10000+2200+6800+1300-3000</f>
        <v>32300</v>
      </c>
      <c r="D182" s="240">
        <f>+'ต.ค.-ธ.ค.'!D182+'ต.ค.-ธ.ค.'!E182+'ต.ค.-ธ.ค.'!F182+'ต.ค.-ธ.ค.'!H182+'ต.ค.-ธ.ค.'!I182+'ต.ค.-ธ.ค.'!M182+'ต.ค.-ธ.ค.'!S182</f>
        <v>9570</v>
      </c>
      <c r="E182" s="240">
        <f>+'ม.ค.-มี.ค.'!E181+'ม.ค.-มี.ค.'!F181+'ม.ค.-มี.ค.'!H181+'ม.ค.-มี.ค.'!I181+'ม.ค.-มี.ค.'!K181+'ม.ค.-มี.ค.'!M181+'ม.ค.-มี.ค.'!N181+'ม.ค.-มี.ค.'!V181</f>
        <v>8703</v>
      </c>
      <c r="F182" s="554">
        <f>+'เม.ย.-มิ.ย.'!E181+'เม.ย.-มิ.ย.'!F181+'เม.ย.-มิ.ย.'!G181+'เม.ย.-มิ.ย.'!H181+'เม.ย.-มิ.ย.'!I181+'เม.ย.-มิ.ย.'!M181+'เม.ย.-มิ.ย.'!N181+'เม.ย.-มิ.ย.'!P181+'เม.ย.-มิ.ย.'!R181+'เม.ย.-มิ.ย.'!S181</f>
        <v>1920</v>
      </c>
      <c r="G182" s="224">
        <f>+ก.ค.!E181+ก.ค.!F181+ก.ค.!H181+ก.ค.!I181+ก.ค.!M181+ก.ค.!N181+ก.ค.!P181+ก.ค.!S181+ก.ค.!T181</f>
        <v>0</v>
      </c>
      <c r="H182" s="224">
        <f t="shared" si="16"/>
        <v>20193</v>
      </c>
      <c r="I182" s="205">
        <f t="shared" si="17"/>
        <v>12107</v>
      </c>
      <c r="J182" s="244"/>
      <c r="K182" s="329"/>
      <c r="L182" s="330"/>
      <c r="M182" s="330"/>
    </row>
    <row r="183" spans="1:13" ht="21.75" customHeight="1">
      <c r="A183" s="9"/>
      <c r="B183" s="130" t="s">
        <v>17</v>
      </c>
      <c r="C183" s="216">
        <f>15000+25000+20000-10000+8000-3000+3000+1000+1000+5000</f>
        <v>65000</v>
      </c>
      <c r="D183" s="240">
        <f>+'ต.ค.-ธ.ค.'!D183+'ต.ค.-ธ.ค.'!E183+'ต.ค.-ธ.ค.'!F183+'ต.ค.-ธ.ค.'!H183+'ต.ค.-ธ.ค.'!I183+'ต.ค.-ธ.ค.'!M183+'ต.ค.-ธ.ค.'!S183</f>
        <v>4320</v>
      </c>
      <c r="E183" s="240">
        <f>+'ม.ค.-มี.ค.'!E182+'ม.ค.-มี.ค.'!F182+'ม.ค.-มี.ค.'!H182+'ม.ค.-มี.ค.'!I182+'ม.ค.-มี.ค.'!K182+'ม.ค.-มี.ค.'!M182+'ม.ค.-มี.ค.'!N182+'ม.ค.-มี.ค.'!V182</f>
        <v>11271</v>
      </c>
      <c r="F183" s="554">
        <f>+'เม.ย.-มิ.ย.'!E182+'เม.ย.-มิ.ย.'!F182+'เม.ย.-มิ.ย.'!G182+'เม.ย.-มิ.ย.'!H182+'เม.ย.-มิ.ย.'!I182+'เม.ย.-มิ.ย.'!M182+'เม.ย.-มิ.ย.'!N182+'เม.ย.-มิ.ย.'!P182+'เม.ย.-มิ.ย.'!R182+'เม.ย.-มิ.ย.'!S182</f>
        <v>0</v>
      </c>
      <c r="G183" s="224">
        <f>+ก.ค.!E182+ก.ค.!F182+ก.ค.!H182+ก.ค.!I182+ก.ค.!M182+ก.ค.!N182+ก.ค.!P182+ก.ค.!S182+ก.ค.!T182</f>
        <v>404</v>
      </c>
      <c r="H183" s="224">
        <f t="shared" si="16"/>
        <v>15995</v>
      </c>
      <c r="I183" s="205">
        <f t="shared" si="17"/>
        <v>49005</v>
      </c>
      <c r="J183" s="244"/>
    </row>
    <row r="184" spans="1:13" s="168" customFormat="1" ht="21.75" customHeight="1">
      <c r="A184" s="9"/>
      <c r="B184" s="130" t="s">
        <v>13</v>
      </c>
      <c r="C184" s="216">
        <f>15000-15000</f>
        <v>0</v>
      </c>
      <c r="D184" s="240">
        <f>+'ต.ค.-ธ.ค.'!D184+'ต.ค.-ธ.ค.'!E184+'ต.ค.-ธ.ค.'!F184+'ต.ค.-ธ.ค.'!H184+'ต.ค.-ธ.ค.'!I184+'ต.ค.-ธ.ค.'!M184+'ต.ค.-ธ.ค.'!S184</f>
        <v>0</v>
      </c>
      <c r="E184" s="240">
        <f>+'ม.ค.-มี.ค.'!E183+'ม.ค.-มี.ค.'!F183+'ม.ค.-มี.ค.'!H183+'ม.ค.-มี.ค.'!I183+'ม.ค.-มี.ค.'!K183+'ม.ค.-มี.ค.'!M183+'ม.ค.-มี.ค.'!N183+'ม.ค.-มี.ค.'!V183</f>
        <v>0</v>
      </c>
      <c r="F184" s="554">
        <f>+'เม.ย.-มิ.ย.'!E183+'เม.ย.-มิ.ย.'!F183+'เม.ย.-มิ.ย.'!G183+'เม.ย.-มิ.ย.'!H183+'เม.ย.-มิ.ย.'!I183+'เม.ย.-มิ.ย.'!M183+'เม.ย.-มิ.ย.'!N183+'เม.ย.-มิ.ย.'!P183+'เม.ย.-มิ.ย.'!R183+'เม.ย.-มิ.ย.'!S183</f>
        <v>0</v>
      </c>
      <c r="G184" s="224">
        <f>+ก.ค.!E183+ก.ค.!F183+ก.ค.!H183+ก.ค.!I183+ก.ค.!M183+ก.ค.!N183+ก.ค.!P183+ก.ค.!S183+ก.ค.!T183</f>
        <v>0</v>
      </c>
      <c r="H184" s="224">
        <f t="shared" si="16"/>
        <v>0</v>
      </c>
      <c r="I184" s="205">
        <f t="shared" si="17"/>
        <v>0</v>
      </c>
      <c r="J184" s="244"/>
      <c r="K184" s="331"/>
      <c r="L184" s="247"/>
      <c r="M184" s="247"/>
    </row>
    <row r="185" spans="1:13" s="168" customFormat="1" ht="21.75" customHeight="1">
      <c r="A185" s="9"/>
      <c r="B185" s="130" t="s">
        <v>14</v>
      </c>
      <c r="C185" s="216">
        <f>240000+5000+20000</f>
        <v>265000</v>
      </c>
      <c r="D185" s="240">
        <f>+'ต.ค.-ธ.ค.'!D185+'ต.ค.-ธ.ค.'!E185+'ต.ค.-ธ.ค.'!F185+'ต.ค.-ธ.ค.'!H185+'ต.ค.-ธ.ค.'!I185+'ต.ค.-ธ.ค.'!M185+'ต.ค.-ธ.ค.'!S185</f>
        <v>40588.5</v>
      </c>
      <c r="E185" s="240">
        <f>+'ม.ค.-มี.ค.'!E184+'ม.ค.-มี.ค.'!F184+'ม.ค.-มี.ค.'!H184+'ม.ค.-มี.ค.'!I184+'ม.ค.-มี.ค.'!K184+'ม.ค.-มี.ค.'!M184+'ม.ค.-มี.ค.'!N184+'ม.ค.-มี.ค.'!V184</f>
        <v>67289.3</v>
      </c>
      <c r="F185" s="554">
        <f>+'เม.ย.-มิ.ย.'!E184+'เม.ย.-มิ.ย.'!F184+'เม.ย.-มิ.ย.'!G184+'เม.ย.-มิ.ย.'!H184+'เม.ย.-มิ.ย.'!I184+'เม.ย.-มิ.ย.'!M184+'เม.ย.-มิ.ย.'!N184+'เม.ย.-มิ.ย.'!P184+'เม.ย.-มิ.ย.'!R184+'เม.ย.-มิ.ย.'!S184</f>
        <v>62405.61</v>
      </c>
      <c r="G185" s="224">
        <f>+ก.ค.!E184+ก.ค.!F184+ก.ค.!H184+ก.ค.!I184+ก.ค.!M184+ก.ค.!N184+ก.ค.!P184+ก.ค.!S184+ก.ค.!T184</f>
        <v>0</v>
      </c>
      <c r="H185" s="224">
        <f t="shared" si="16"/>
        <v>170283.41</v>
      </c>
      <c r="I185" s="205">
        <f t="shared" si="17"/>
        <v>94716.59</v>
      </c>
      <c r="J185" s="244"/>
      <c r="K185" s="331"/>
      <c r="L185" s="247"/>
      <c r="M185" s="247"/>
    </row>
    <row r="186" spans="1:13" ht="21.75" customHeight="1">
      <c r="A186" s="9"/>
      <c r="B186" s="130" t="s">
        <v>112</v>
      </c>
      <c r="C186" s="216">
        <f>5000+5000+5000-5000-5000-5000</f>
        <v>0</v>
      </c>
      <c r="D186" s="240">
        <f>+'ต.ค.-ธ.ค.'!D186+'ต.ค.-ธ.ค.'!E186+'ต.ค.-ธ.ค.'!F186+'ต.ค.-ธ.ค.'!H186+'ต.ค.-ธ.ค.'!I186+'ต.ค.-ธ.ค.'!M186+'ต.ค.-ธ.ค.'!S186</f>
        <v>0</v>
      </c>
      <c r="E186" s="240">
        <f>+'ม.ค.-มี.ค.'!E185+'ม.ค.-มี.ค.'!F185+'ม.ค.-มี.ค.'!H185+'ม.ค.-มี.ค.'!I185+'ม.ค.-มี.ค.'!K185+'ม.ค.-มี.ค.'!M185+'ม.ค.-มี.ค.'!N185+'ม.ค.-มี.ค.'!V185</f>
        <v>0</v>
      </c>
      <c r="F186" s="554">
        <f>+'เม.ย.-มิ.ย.'!E185+'เม.ย.-มิ.ย.'!F185+'เม.ย.-มิ.ย.'!G185+'เม.ย.-มิ.ย.'!H185+'เม.ย.-มิ.ย.'!I185+'เม.ย.-มิ.ย.'!M185+'เม.ย.-มิ.ย.'!N185+'เม.ย.-มิ.ย.'!P185+'เม.ย.-มิ.ย.'!R185+'เม.ย.-มิ.ย.'!S185</f>
        <v>0</v>
      </c>
      <c r="G186" s="224">
        <f>+ก.ค.!E185+ก.ค.!F185+ก.ค.!H185+ก.ค.!I185+ก.ค.!M185+ก.ค.!N185+ก.ค.!P185+ก.ค.!S185+ก.ค.!T185</f>
        <v>0</v>
      </c>
      <c r="H186" s="224">
        <f t="shared" si="16"/>
        <v>0</v>
      </c>
      <c r="I186" s="205">
        <f t="shared" si="17"/>
        <v>0</v>
      </c>
      <c r="J186" s="244"/>
    </row>
    <row r="187" spans="1:13" ht="21.75" customHeight="1">
      <c r="A187" s="9"/>
      <c r="B187" s="130" t="s">
        <v>208</v>
      </c>
      <c r="C187" s="216">
        <v>5000</v>
      </c>
      <c r="D187" s="240">
        <f>+'ต.ค.-ธ.ค.'!D187+'ต.ค.-ธ.ค.'!E187+'ต.ค.-ธ.ค.'!F187+'ต.ค.-ธ.ค.'!H187+'ต.ค.-ธ.ค.'!I187+'ต.ค.-ธ.ค.'!M187+'ต.ค.-ธ.ค.'!S187</f>
        <v>0</v>
      </c>
      <c r="E187" s="240">
        <f>+'ม.ค.-มี.ค.'!E186+'ม.ค.-มี.ค.'!F186+'ม.ค.-มี.ค.'!H186+'ม.ค.-มี.ค.'!I186+'ม.ค.-มี.ค.'!K186+'ม.ค.-มี.ค.'!M186+'ม.ค.-มี.ค.'!N186+'ม.ค.-มี.ค.'!V186</f>
        <v>540</v>
      </c>
      <c r="F187" s="554">
        <f>+'เม.ย.-มิ.ย.'!E186+'เม.ย.-มิ.ย.'!F186+'เม.ย.-มิ.ย.'!G186+'เม.ย.-มิ.ย.'!H186+'เม.ย.-มิ.ย.'!I186+'เม.ย.-มิ.ย.'!M186+'เม.ย.-มิ.ย.'!N186+'เม.ย.-มิ.ย.'!P186+'เม.ย.-มิ.ย.'!R186+'เม.ย.-มิ.ย.'!S186</f>
        <v>0</v>
      </c>
      <c r="G187" s="224">
        <f>+ก.ค.!E186+ก.ค.!F186+ก.ค.!H186+ก.ค.!I186+ก.ค.!M186+ก.ค.!N186+ก.ค.!P186+ก.ค.!S186+ก.ค.!T186</f>
        <v>0</v>
      </c>
      <c r="H187" s="224">
        <f t="shared" si="16"/>
        <v>540</v>
      </c>
      <c r="I187" s="205">
        <f t="shared" si="17"/>
        <v>4460</v>
      </c>
      <c r="J187" s="244"/>
    </row>
    <row r="188" spans="1:13" ht="21.75" customHeight="1">
      <c r="A188" s="9"/>
      <c r="B188" s="130" t="s">
        <v>15</v>
      </c>
      <c r="C188" s="216">
        <f>40000+15000+15000+40000+40000+15000+5000+5000+5000+5000+5000+5000+5000+5000</f>
        <v>205000</v>
      </c>
      <c r="D188" s="240">
        <f>+'ต.ค.-ธ.ค.'!D188+'ต.ค.-ธ.ค.'!E188+'ต.ค.-ธ.ค.'!F188+'ต.ค.-ธ.ค.'!H188+'ต.ค.-ธ.ค.'!I188+'ต.ค.-ธ.ค.'!M188+'ต.ค.-ธ.ค.'!S188</f>
        <v>33367</v>
      </c>
      <c r="E188" s="240">
        <f>+'ม.ค.-มี.ค.'!E187+'ม.ค.-มี.ค.'!F187+'ม.ค.-มี.ค.'!H187+'ม.ค.-มี.ค.'!I187+'ม.ค.-มี.ค.'!K187+'ม.ค.-มี.ค.'!M187+'ม.ค.-มี.ค.'!N187+'ม.ค.-มี.ค.'!V187</f>
        <v>10111</v>
      </c>
      <c r="F188" s="554">
        <f>+'เม.ย.-มิ.ย.'!E187+'เม.ย.-มิ.ย.'!F187+'เม.ย.-มิ.ย.'!G187+'เม.ย.-มิ.ย.'!H187+'เม.ย.-มิ.ย.'!I187+'เม.ย.-มิ.ย.'!M187+'เม.ย.-มิ.ย.'!N187+'เม.ย.-มิ.ย.'!P187+'เม.ย.-มิ.ย.'!R187+'เม.ย.-มิ.ย.'!S187</f>
        <v>67140</v>
      </c>
      <c r="G188" s="224">
        <f>+ก.ค.!E187+ก.ค.!F187+ก.ค.!H187+ก.ค.!I187+ก.ค.!M187+ก.ค.!N187+ก.ค.!P187+ก.ค.!S187+ก.ค.!T187</f>
        <v>0</v>
      </c>
      <c r="H188" s="224">
        <f t="shared" si="16"/>
        <v>110618</v>
      </c>
      <c r="I188" s="205">
        <f t="shared" si="17"/>
        <v>94382</v>
      </c>
      <c r="J188" s="244"/>
    </row>
    <row r="189" spans="1:13" s="172" customFormat="1" ht="21.75" customHeight="1">
      <c r="A189" s="9"/>
      <c r="B189" s="130" t="s">
        <v>303</v>
      </c>
      <c r="C189" s="216">
        <v>10000</v>
      </c>
      <c r="D189" s="240">
        <f>+'ต.ค.-ธ.ค.'!D189+'ต.ค.-ธ.ค.'!E189+'ต.ค.-ธ.ค.'!F189+'ต.ค.-ธ.ค.'!H189+'ต.ค.-ธ.ค.'!I189+'ต.ค.-ธ.ค.'!M189+'ต.ค.-ธ.ค.'!S189</f>
        <v>0</v>
      </c>
      <c r="E189" s="240">
        <f>+'ม.ค.-มี.ค.'!E188+'ม.ค.-มี.ค.'!F188+'ม.ค.-มี.ค.'!H188+'ม.ค.-มี.ค.'!I188+'ม.ค.-มี.ค.'!K188+'ม.ค.-มี.ค.'!M188+'ม.ค.-มี.ค.'!N188+'ม.ค.-มี.ค.'!V188</f>
        <v>0</v>
      </c>
      <c r="F189" s="554">
        <f>+'เม.ย.-มิ.ย.'!E188+'เม.ย.-มิ.ย.'!F188+'เม.ย.-มิ.ย.'!G188+'เม.ย.-มิ.ย.'!H188+'เม.ย.-มิ.ย.'!I188+'เม.ย.-มิ.ย.'!M188+'เม.ย.-มิ.ย.'!N188+'เม.ย.-มิ.ย.'!P188+'เม.ย.-มิ.ย.'!R188+'เม.ย.-มิ.ย.'!S188</f>
        <v>0</v>
      </c>
      <c r="G189" s="224">
        <f>+ก.ค.!E188+ก.ค.!F188+ก.ค.!H188+ก.ค.!I188+ก.ค.!M188+ก.ค.!N188+ก.ค.!P188+ก.ค.!S188+ก.ค.!T188</f>
        <v>0</v>
      </c>
      <c r="H189" s="224">
        <f t="shared" si="16"/>
        <v>0</v>
      </c>
      <c r="I189" s="205">
        <f t="shared" si="17"/>
        <v>10000</v>
      </c>
      <c r="J189" s="244"/>
      <c r="K189" s="329"/>
      <c r="L189" s="330"/>
      <c r="M189" s="330"/>
    </row>
    <row r="190" spans="1:13" s="67" customFormat="1" ht="21" customHeight="1">
      <c r="A190" s="9"/>
      <c r="B190" s="130" t="s">
        <v>304</v>
      </c>
      <c r="C190" s="216">
        <f>5000+20000</f>
        <v>25000</v>
      </c>
      <c r="D190" s="240">
        <f>+'ต.ค.-ธ.ค.'!D190+'ต.ค.-ธ.ค.'!E190+'ต.ค.-ธ.ค.'!F190+'ต.ค.-ธ.ค.'!H190+'ต.ค.-ธ.ค.'!I190+'ต.ค.-ธ.ค.'!M190+'ต.ค.-ธ.ค.'!S190</f>
        <v>1758</v>
      </c>
      <c r="E190" s="240">
        <f>+'ม.ค.-มี.ค.'!E189+'ม.ค.-มี.ค.'!F189+'ม.ค.-มี.ค.'!H189+'ม.ค.-มี.ค.'!I189+'ม.ค.-มี.ค.'!K189+'ม.ค.-มี.ค.'!M189+'ม.ค.-มี.ค.'!N189+'ม.ค.-มี.ค.'!V189</f>
        <v>4640</v>
      </c>
      <c r="F190" s="554">
        <f>+'เม.ย.-มิ.ย.'!E189+'เม.ย.-มิ.ย.'!F189+'เม.ย.-มิ.ย.'!G189+'เม.ย.-มิ.ย.'!H189+'เม.ย.-มิ.ย.'!I189+'เม.ย.-มิ.ย.'!M189+'เม.ย.-มิ.ย.'!N189+'เม.ย.-มิ.ย.'!P189+'เม.ย.-มิ.ย.'!R189+'เม.ย.-มิ.ย.'!S189</f>
        <v>0</v>
      </c>
      <c r="G190" s="224">
        <f>+ก.ค.!E189+ก.ค.!F189+ก.ค.!H189+ก.ค.!I189+ก.ค.!M189+ก.ค.!N189+ก.ค.!P189+ก.ค.!S189+ก.ค.!T189</f>
        <v>0</v>
      </c>
      <c r="H190" s="224">
        <f t="shared" si="16"/>
        <v>6398</v>
      </c>
      <c r="I190" s="205">
        <f t="shared" si="17"/>
        <v>18602</v>
      </c>
      <c r="J190" s="245"/>
      <c r="K190" s="329"/>
      <c r="L190" s="330"/>
      <c r="M190" s="330"/>
    </row>
    <row r="191" spans="1:13" s="67" customFormat="1" ht="21" customHeight="1">
      <c r="A191" s="9"/>
      <c r="B191" s="130" t="s">
        <v>332</v>
      </c>
      <c r="C191" s="216">
        <v>10000</v>
      </c>
      <c r="D191" s="240">
        <f>+'ต.ค.-ธ.ค.'!D191+'ต.ค.-ธ.ค.'!E191+'ต.ค.-ธ.ค.'!F191+'ต.ค.-ธ.ค.'!H191+'ต.ค.-ธ.ค.'!I191+'ต.ค.-ธ.ค.'!M191+'ต.ค.-ธ.ค.'!S191</f>
        <v>0</v>
      </c>
      <c r="E191" s="240">
        <f>+'ม.ค.-มี.ค.'!E190+'ม.ค.-มี.ค.'!F190+'ม.ค.-มี.ค.'!H190+'ม.ค.-มี.ค.'!I190+'ม.ค.-มี.ค.'!K190+'ม.ค.-มี.ค.'!M190+'ม.ค.-มี.ค.'!N190+'ม.ค.-มี.ค.'!V190</f>
        <v>0</v>
      </c>
      <c r="F191" s="554">
        <f>+'เม.ย.-มิ.ย.'!E190+'เม.ย.-มิ.ย.'!F190+'เม.ย.-มิ.ย.'!G190+'เม.ย.-มิ.ย.'!H190+'เม.ย.-มิ.ย.'!I190+'เม.ย.-มิ.ย.'!M190+'เม.ย.-มิ.ย.'!N190+'เม.ย.-มิ.ย.'!P190+'เม.ย.-มิ.ย.'!R190+'เม.ย.-มิ.ย.'!S190</f>
        <v>0</v>
      </c>
      <c r="G191" s="224">
        <f>+ก.ค.!E190+ก.ค.!F190+ก.ค.!H190+ก.ค.!I190+ก.ค.!M190+ก.ค.!N190+ก.ค.!P190+ก.ค.!S190+ก.ค.!T190</f>
        <v>0</v>
      </c>
      <c r="H191" s="224">
        <f>SUM(D191:G191)</f>
        <v>0</v>
      </c>
      <c r="I191" s="205">
        <f t="shared" si="17"/>
        <v>10000</v>
      </c>
      <c r="J191" s="245"/>
      <c r="K191" s="329"/>
      <c r="L191" s="330"/>
      <c r="M191" s="330"/>
    </row>
    <row r="192" spans="1:13" s="67" customFormat="1" ht="21" customHeight="1">
      <c r="A192" s="9"/>
      <c r="B192" s="130" t="s">
        <v>46</v>
      </c>
      <c r="C192" s="216">
        <f>80000-14000</f>
        <v>66000</v>
      </c>
      <c r="D192" s="240">
        <f>+'ต.ค.-ธ.ค.'!D192+'ต.ค.-ธ.ค.'!E192+'ต.ค.-ธ.ค.'!F192+'ต.ค.-ธ.ค.'!H192+'ต.ค.-ธ.ค.'!I192+'ต.ค.-ธ.ค.'!M192+'ต.ค.-ธ.ค.'!S192</f>
        <v>0</v>
      </c>
      <c r="E192" s="240">
        <f>+'ม.ค.-มี.ค.'!E191+'ม.ค.-มี.ค.'!F191+'ม.ค.-มี.ค.'!H191+'ม.ค.-มี.ค.'!I191+'ม.ค.-มี.ค.'!K191+'ม.ค.-มี.ค.'!M191+'ม.ค.-มี.ค.'!N191+'ม.ค.-มี.ค.'!V191</f>
        <v>0</v>
      </c>
      <c r="F192" s="554">
        <f>+'เม.ย.-มิ.ย.'!E191+'เม.ย.-มิ.ย.'!F191+'เม.ย.-มิ.ย.'!G191+'เม.ย.-มิ.ย.'!H191+'เม.ย.-มิ.ย.'!I191+'เม.ย.-มิ.ย.'!M191+'เม.ย.-มิ.ย.'!N191+'เม.ย.-มิ.ย.'!P191+'เม.ย.-มิ.ย.'!R191+'เม.ย.-มิ.ย.'!S191</f>
        <v>65658</v>
      </c>
      <c r="G192" s="224">
        <f>+ก.ค.!E191+ก.ค.!F191+ก.ค.!H191+ก.ค.!I191+ก.ค.!M191+ก.ค.!N191+ก.ค.!P191+ก.ค.!S191+ก.ค.!T191</f>
        <v>0</v>
      </c>
      <c r="H192" s="224">
        <f>SUM(D192:G192)</f>
        <v>65658</v>
      </c>
      <c r="I192" s="205">
        <f t="shared" si="17"/>
        <v>342</v>
      </c>
      <c r="J192" s="245"/>
      <c r="K192" s="329"/>
      <c r="L192" s="330"/>
      <c r="M192" s="330"/>
    </row>
    <row r="193" spans="1:13" s="67" customFormat="1" ht="21" customHeight="1">
      <c r="A193" s="9"/>
      <c r="B193" s="130" t="s">
        <v>316</v>
      </c>
      <c r="C193" s="216">
        <v>1216788</v>
      </c>
      <c r="D193" s="326">
        <v>-8000</v>
      </c>
      <c r="E193" s="240">
        <f>+'ม.ค.-มี.ค.'!E192+'ม.ค.-มี.ค.'!F192+'ม.ค.-มี.ค.'!H192+'ม.ค.-มี.ค.'!I192+'ม.ค.-มี.ค.'!K192+'ม.ค.-มี.ค.'!M192+'ม.ค.-มี.ค.'!N192+'ม.ค.-มี.ค.'!V192</f>
        <v>171612.98</v>
      </c>
      <c r="F193" s="554">
        <f>+'เม.ย.-มิ.ย.'!E192+'เม.ย.-มิ.ย.'!F192+'เม.ย.-มิ.ย.'!G192+'เม.ย.-มิ.ย.'!H192+'เม.ย.-มิ.ย.'!I192+'เม.ย.-มิ.ย.'!M192+'เม.ย.-มิ.ย.'!N192+'เม.ย.-มิ.ย.'!P192+'เม.ย.-มิ.ย.'!R192+'เม.ย.-มิ.ย.'!S192</f>
        <v>248460.79999999999</v>
      </c>
      <c r="G193" s="224">
        <f>+ก.ค.!E192+ก.ค.!F192+ก.ค.!H192+ก.ค.!I192+ก.ค.!M192+ก.ค.!N192+ก.ค.!P192+ก.ค.!S192+ก.ค.!T192</f>
        <v>180172.79999999999</v>
      </c>
      <c r="H193" s="224">
        <f>SUM(D193:G193)-8000</f>
        <v>584246.58000000007</v>
      </c>
      <c r="I193" s="205">
        <f t="shared" si="17"/>
        <v>632541.41999999993</v>
      </c>
      <c r="J193" s="245"/>
      <c r="K193" s="329"/>
      <c r="L193" s="330"/>
      <c r="M193" s="330"/>
    </row>
    <row r="194" spans="1:13" s="67" customFormat="1" ht="21" customHeight="1">
      <c r="A194" s="9"/>
      <c r="B194" s="130" t="s">
        <v>317</v>
      </c>
      <c r="C194" s="290">
        <v>0</v>
      </c>
      <c r="D194" s="240">
        <f>+'ต.ค.-ธ.ค.'!D194+'ต.ค.-ธ.ค.'!E194+'ต.ค.-ธ.ค.'!F194+'ต.ค.-ธ.ค.'!H194+'ต.ค.-ธ.ค.'!I194+'ต.ค.-ธ.ค.'!M194+'ต.ค.-ธ.ค.'!S194</f>
        <v>0</v>
      </c>
      <c r="E194" s="240">
        <f>+'ม.ค.-มี.ค.'!E193+'ม.ค.-มี.ค.'!F193+'ม.ค.-มี.ค.'!H193+'ม.ค.-มี.ค.'!I193+'ม.ค.-มี.ค.'!K193+'ม.ค.-มี.ค.'!M193+'ม.ค.-มี.ค.'!N193+'ม.ค.-มี.ค.'!V193</f>
        <v>0</v>
      </c>
      <c r="F194" s="554">
        <f>+'เม.ย.-มิ.ย.'!E193+'เม.ย.-มิ.ย.'!F193+'เม.ย.-มิ.ย.'!G193+'เม.ย.-มิ.ย.'!H193+'เม.ย.-มิ.ย.'!I193+'เม.ย.-มิ.ย.'!M193+'เม.ย.-มิ.ย.'!N193+'เม.ย.-มิ.ย.'!P193+'เม.ย.-มิ.ย.'!R193+'เม.ย.-มิ.ย.'!S193</f>
        <v>0</v>
      </c>
      <c r="G194" s="224">
        <f>+ก.ค.!E193+ก.ค.!F193+ก.ค.!H193+ก.ค.!I193+ก.ค.!M193+ก.ค.!N193+ก.ค.!P193+ก.ค.!S193+ก.ค.!T193</f>
        <v>0</v>
      </c>
      <c r="H194" s="224">
        <f t="shared" si="16"/>
        <v>0</v>
      </c>
      <c r="I194" s="205">
        <f t="shared" si="17"/>
        <v>0</v>
      </c>
      <c r="J194" s="244"/>
      <c r="K194" s="329"/>
      <c r="L194" s="330"/>
      <c r="M194" s="330"/>
    </row>
    <row r="195" spans="1:13" ht="21.75" customHeight="1">
      <c r="A195" s="9"/>
      <c r="B195" s="130" t="s">
        <v>318</v>
      </c>
      <c r="C195" s="216">
        <v>0</v>
      </c>
      <c r="D195" s="375">
        <v>0</v>
      </c>
      <c r="E195" s="375">
        <f>+'ม.ค.-มี.ค.'!E194+'ม.ค.-มี.ค.'!F194+'ม.ค.-มี.ค.'!H194+'ม.ค.-มี.ค.'!I194+'ม.ค.-มี.ค.'!K194+'ม.ค.-มี.ค.'!M194+'ม.ค.-มี.ค.'!N194+'ม.ค.-มี.ค.'!V194</f>
        <v>0</v>
      </c>
      <c r="F195" s="554">
        <f>+'เม.ย.-มิ.ย.'!E194+'เม.ย.-มิ.ย.'!F194+'เม.ย.-มิ.ย.'!G194+'เม.ย.-มิ.ย.'!H194+'เม.ย.-มิ.ย.'!I194+'เม.ย.-มิ.ย.'!M194+'เม.ย.-มิ.ย.'!N194+'เม.ย.-มิ.ย.'!P194+'เม.ย.-มิ.ย.'!R194+'เม.ย.-มิ.ย.'!S194</f>
        <v>0</v>
      </c>
      <c r="G195" s="224">
        <f>+ก.ค.!E194+ก.ค.!F194+ก.ค.!H194+ก.ค.!I194+ก.ค.!M194+ก.ค.!N194+ก.ค.!P194+ก.ค.!S194+ก.ค.!T194</f>
        <v>0</v>
      </c>
      <c r="H195" s="376">
        <f t="shared" si="16"/>
        <v>0</v>
      </c>
      <c r="I195" s="205">
        <f t="shared" si="17"/>
        <v>0</v>
      </c>
    </row>
    <row r="196" spans="1:13" ht="21.75" customHeight="1">
      <c r="A196" s="9"/>
      <c r="B196" s="185" t="s">
        <v>319</v>
      </c>
      <c r="C196" s="216">
        <f>388990-20000-35000-2500-25000-3700+3700</f>
        <v>306490</v>
      </c>
      <c r="D196" s="240">
        <f>+'ต.ค.-ธ.ค.'!D196+'ต.ค.-ธ.ค.'!E196+'ต.ค.-ธ.ค.'!F196+'ต.ค.-ธ.ค.'!H196+'ต.ค.-ธ.ค.'!I196+'ต.ค.-ธ.ค.'!M196+'ต.ค.-ธ.ค.'!S196</f>
        <v>0</v>
      </c>
      <c r="E196" s="240">
        <f>+'ม.ค.-มี.ค.'!E195+'ม.ค.-มี.ค.'!F195+'ม.ค.-มี.ค.'!H195+'ม.ค.-มี.ค.'!I195+'ม.ค.-มี.ค.'!K195+'ม.ค.-มี.ค.'!M195+'ม.ค.-มี.ค.'!N195+'ม.ค.-มี.ค.'!V195</f>
        <v>54614</v>
      </c>
      <c r="F196" s="554">
        <f>+'เม.ย.-มิ.ย.'!E195+'เม.ย.-มิ.ย.'!F195+'เม.ย.-มิ.ย.'!G195+'เม.ย.-มิ.ย.'!H195+'เม.ย.-มิ.ย.'!I195+'เม.ย.-มิ.ย.'!M195+'เม.ย.-มิ.ย.'!N195+'เม.ย.-มิ.ย.'!P195+'เม.ย.-มิ.ย.'!R195+'เม.ย.-มิ.ย.'!S195</f>
        <v>78420.44</v>
      </c>
      <c r="G196" s="224">
        <f>+ก.ค.!E195+ก.ค.!F195+ก.ค.!H195+ก.ค.!I195+ก.ค.!M195+ก.ค.!N195+ก.ค.!P195+ก.ค.!S195+ก.ค.!T195</f>
        <v>56585.52</v>
      </c>
      <c r="H196" s="224">
        <f>SUM(D196:G196)</f>
        <v>189619.96</v>
      </c>
      <c r="I196" s="205">
        <f t="shared" si="17"/>
        <v>116870.04000000001</v>
      </c>
      <c r="J196" s="244"/>
    </row>
    <row r="197" spans="1:13" ht="21.75" customHeight="1">
      <c r="A197" s="9"/>
      <c r="B197" s="185" t="s">
        <v>320</v>
      </c>
      <c r="C197" s="216">
        <v>0</v>
      </c>
      <c r="D197" s="240">
        <f>+'ต.ค.-ธ.ค.'!D197+'ต.ค.-ธ.ค.'!E197+'ต.ค.-ธ.ค.'!F197+'ต.ค.-ธ.ค.'!H197+'ต.ค.-ธ.ค.'!I197+'ต.ค.-ธ.ค.'!M197+'ต.ค.-ธ.ค.'!S197</f>
        <v>0</v>
      </c>
      <c r="E197" s="240">
        <f>+'ม.ค.-มี.ค.'!E196+'ม.ค.-มี.ค.'!F196+'ม.ค.-มี.ค.'!H196+'ม.ค.-มี.ค.'!I196+'ม.ค.-มี.ค.'!K196+'ม.ค.-มี.ค.'!M196+'ม.ค.-มี.ค.'!N196+'ม.ค.-มี.ค.'!V196</f>
        <v>0</v>
      </c>
      <c r="F197" s="554">
        <f>+'เม.ย.-มิ.ย.'!E196+'เม.ย.-มิ.ย.'!F196+'เม.ย.-มิ.ย.'!G196+'เม.ย.-มิ.ย.'!H196+'เม.ย.-มิ.ย.'!I196+'เม.ย.-มิ.ย.'!M196+'เม.ย.-มิ.ย.'!N196+'เม.ย.-มิ.ย.'!P196+'เม.ย.-มิ.ย.'!R196+'เม.ย.-มิ.ย.'!S196</f>
        <v>0</v>
      </c>
      <c r="G197" s="224">
        <f>+ก.ค.!E196+ก.ค.!F196+ก.ค.!H196+ก.ค.!I196+ก.ค.!M196+ก.ค.!N196+ก.ค.!P196+ก.ค.!S196+ก.ค.!T196</f>
        <v>0</v>
      </c>
      <c r="H197" s="224">
        <f t="shared" si="16"/>
        <v>0</v>
      </c>
      <c r="I197" s="205">
        <f t="shared" si="17"/>
        <v>0</v>
      </c>
    </row>
    <row r="198" spans="1:13" ht="21.75" customHeight="1">
      <c r="A198" s="9"/>
      <c r="B198" s="185" t="s">
        <v>321</v>
      </c>
      <c r="C198" s="216">
        <v>0</v>
      </c>
      <c r="D198" s="240">
        <f>+'ต.ค.-ธ.ค.'!D198+'ต.ค.-ธ.ค.'!E198+'ต.ค.-ธ.ค.'!F198+'ต.ค.-ธ.ค.'!H198+'ต.ค.-ธ.ค.'!I198+'ต.ค.-ธ.ค.'!M198+'ต.ค.-ธ.ค.'!S198</f>
        <v>0</v>
      </c>
      <c r="E198" s="240">
        <f>+'ม.ค.-มี.ค.'!E197+'ม.ค.-มี.ค.'!F197+'ม.ค.-มี.ค.'!H197+'ม.ค.-มี.ค.'!I197+'ม.ค.-มี.ค.'!K197+'ม.ค.-มี.ค.'!M197+'ม.ค.-มี.ค.'!N197+'ม.ค.-มี.ค.'!V197</f>
        <v>0</v>
      </c>
      <c r="F198" s="554">
        <f>+'เม.ย.-มิ.ย.'!E197+'เม.ย.-มิ.ย.'!F197+'เม.ย.-มิ.ย.'!G197+'เม.ย.-มิ.ย.'!H197+'เม.ย.-มิ.ย.'!I197+'เม.ย.-มิ.ย.'!M197+'เม.ย.-มิ.ย.'!N197+'เม.ย.-มิ.ย.'!P197+'เม.ย.-มิ.ย.'!R197+'เม.ย.-มิ.ย.'!S197</f>
        <v>0</v>
      </c>
      <c r="G198" s="224">
        <f>+ก.ค.!E197+ก.ค.!F197+ก.ค.!H197+ก.ค.!I197+ก.ค.!M197+ก.ค.!N197+ก.ค.!P197+ก.ค.!S197+ก.ค.!T197</f>
        <v>0</v>
      </c>
      <c r="H198" s="224">
        <f t="shared" si="16"/>
        <v>0</v>
      </c>
      <c r="I198" s="205">
        <f t="shared" si="17"/>
        <v>0</v>
      </c>
    </row>
    <row r="199" spans="1:13" s="168" customFormat="1" ht="21.75" customHeight="1">
      <c r="A199" s="165"/>
      <c r="B199" s="185" t="s">
        <v>322</v>
      </c>
      <c r="C199" s="216">
        <v>0</v>
      </c>
      <c r="D199" s="240">
        <f>+'ต.ค.-ธ.ค.'!D199+'ต.ค.-ธ.ค.'!E199+'ต.ค.-ธ.ค.'!F199+'ต.ค.-ธ.ค.'!H199+'ต.ค.-ธ.ค.'!I199+'ต.ค.-ธ.ค.'!M199+'ต.ค.-ธ.ค.'!S199</f>
        <v>0</v>
      </c>
      <c r="E199" s="240">
        <f>+'ม.ค.-มี.ค.'!E198+'ม.ค.-มี.ค.'!F198+'ม.ค.-มี.ค.'!H198+'ม.ค.-มี.ค.'!I198+'ม.ค.-มี.ค.'!K198+'ม.ค.-มี.ค.'!M198+'ม.ค.-มี.ค.'!N198+'ม.ค.-มี.ค.'!V198</f>
        <v>0</v>
      </c>
      <c r="F199" s="554">
        <f>+'เม.ย.-มิ.ย.'!E198+'เม.ย.-มิ.ย.'!F198+'เม.ย.-มิ.ย.'!G198+'เม.ย.-มิ.ย.'!H198+'เม.ย.-มิ.ย.'!I198+'เม.ย.-มิ.ย.'!M198+'เม.ย.-มิ.ย.'!N198+'เม.ย.-มิ.ย.'!P198+'เม.ย.-มิ.ย.'!R198+'เม.ย.-มิ.ย.'!S198</f>
        <v>0</v>
      </c>
      <c r="G199" s="224">
        <f>+ก.ค.!E198+ก.ค.!F198+ก.ค.!H198+ก.ค.!I198+ก.ค.!M198+ก.ค.!N198+ก.ค.!P198+ก.ค.!S198+ก.ค.!T198</f>
        <v>0</v>
      </c>
      <c r="H199" s="224">
        <f t="shared" si="16"/>
        <v>0</v>
      </c>
      <c r="I199" s="205">
        <f t="shared" si="17"/>
        <v>0</v>
      </c>
      <c r="J199" s="233"/>
      <c r="K199" s="331"/>
      <c r="L199" s="247"/>
      <c r="M199" s="247"/>
    </row>
    <row r="200" spans="1:13" ht="21.75" customHeight="1">
      <c r="A200" s="9"/>
      <c r="B200" s="185"/>
      <c r="C200" s="216"/>
      <c r="D200" s="240"/>
      <c r="E200" s="224"/>
      <c r="F200" s="554"/>
      <c r="G200" s="554"/>
      <c r="H200" s="224">
        <f t="shared" si="16"/>
        <v>0</v>
      </c>
      <c r="I200" s="205">
        <f t="shared" si="17"/>
        <v>0</v>
      </c>
    </row>
    <row r="201" spans="1:13" s="183" customFormat="1" ht="20.25" customHeight="1">
      <c r="A201" s="9"/>
      <c r="B201" s="185"/>
      <c r="C201" s="216"/>
      <c r="D201" s="240"/>
      <c r="E201" s="224"/>
      <c r="F201" s="554"/>
      <c r="G201" s="554"/>
      <c r="H201" s="224">
        <f t="shared" si="16"/>
        <v>0</v>
      </c>
      <c r="I201" s="205">
        <f t="shared" si="17"/>
        <v>0</v>
      </c>
      <c r="J201" s="241"/>
      <c r="K201" s="339"/>
      <c r="L201" s="340"/>
      <c r="M201" s="340"/>
    </row>
    <row r="202" spans="1:13" ht="21.75" customHeight="1">
      <c r="A202" s="9"/>
      <c r="B202" s="185"/>
      <c r="C202" s="216"/>
      <c r="D202" s="240"/>
      <c r="E202" s="224"/>
      <c r="F202" s="554"/>
      <c r="G202" s="554"/>
      <c r="H202" s="224">
        <f t="shared" si="16"/>
        <v>0</v>
      </c>
      <c r="I202" s="205">
        <f t="shared" si="17"/>
        <v>0</v>
      </c>
    </row>
    <row r="203" spans="1:13" ht="21.75" customHeight="1">
      <c r="A203" s="9"/>
      <c r="B203" s="130"/>
      <c r="C203" s="216"/>
      <c r="D203" s="240"/>
      <c r="E203" s="224"/>
      <c r="F203" s="554"/>
      <c r="G203" s="554"/>
      <c r="H203" s="224">
        <f t="shared" si="16"/>
        <v>0</v>
      </c>
      <c r="I203" s="205">
        <f t="shared" si="17"/>
        <v>0</v>
      </c>
      <c r="J203" s="244"/>
    </row>
    <row r="204" spans="1:13" s="168" customFormat="1" ht="21.75" customHeight="1">
      <c r="A204" s="197"/>
      <c r="B204" s="198"/>
      <c r="C204" s="216"/>
      <c r="D204" s="240"/>
      <c r="E204" s="224"/>
      <c r="F204" s="554"/>
      <c r="G204" s="554"/>
      <c r="H204" s="224">
        <f t="shared" si="16"/>
        <v>0</v>
      </c>
      <c r="I204" s="205">
        <f t="shared" si="17"/>
        <v>0</v>
      </c>
      <c r="J204" s="244"/>
      <c r="K204" s="331"/>
      <c r="L204" s="247"/>
      <c r="M204" s="247"/>
    </row>
    <row r="205" spans="1:13" s="234" customFormat="1" ht="21.75" customHeight="1" thickBot="1">
      <c r="A205" s="46"/>
      <c r="B205" s="47" t="s">
        <v>5</v>
      </c>
      <c r="C205" s="170">
        <f>SUM(C179:C204)</f>
        <v>2622778</v>
      </c>
      <c r="D205" s="26">
        <f>SUM(D179:D204)</f>
        <v>98661.5</v>
      </c>
      <c r="E205" s="26">
        <f>SUM(E179:E204)</f>
        <v>459193.07999999996</v>
      </c>
      <c r="F205" s="26">
        <f>SUM(F179:F204)</f>
        <v>554832.85</v>
      </c>
      <c r="G205" s="26">
        <f>SUM(G179:G204)</f>
        <v>338302.32</v>
      </c>
      <c r="H205" s="26">
        <f>SUM(D205:G205)</f>
        <v>1450989.75</v>
      </c>
      <c r="I205" s="139">
        <f>+C205-H205</f>
        <v>1171788.25</v>
      </c>
      <c r="J205" s="233"/>
      <c r="K205" s="331"/>
      <c r="L205" s="247"/>
      <c r="M205" s="247"/>
    </row>
    <row r="206" spans="1:13" s="168" customFormat="1" ht="21.75" customHeight="1" thickTop="1">
      <c r="A206" s="5" t="s">
        <v>114</v>
      </c>
      <c r="B206" s="6"/>
      <c r="C206" s="190"/>
      <c r="D206" s="566"/>
      <c r="E206" s="566"/>
      <c r="F206" s="566"/>
      <c r="G206" s="559"/>
      <c r="H206" s="559"/>
      <c r="I206" s="567"/>
      <c r="J206" s="233"/>
      <c r="K206" s="331"/>
      <c r="L206" s="247"/>
      <c r="M206" s="247"/>
    </row>
    <row r="207" spans="1:13" s="168" customFormat="1" ht="21.75" customHeight="1">
      <c r="A207" s="9"/>
      <c r="B207" s="130" t="s">
        <v>20</v>
      </c>
      <c r="C207" s="216">
        <f>240000+35000+1500</f>
        <v>276500</v>
      </c>
      <c r="D207" s="225">
        <f>+'ต.ค.-ธ.ค.'!E207+'ต.ค.-ธ.ค.'!H207</f>
        <v>46787.21</v>
      </c>
      <c r="E207" s="225">
        <f>+'ม.ค.-มี.ค.'!E206+'ม.ค.-มี.ค.'!H206</f>
        <v>65192.31</v>
      </c>
      <c r="F207" s="225">
        <f>+'เม.ย.-มิ.ย.'!E206+'เม.ย.-มิ.ย.'!H206</f>
        <v>82314.01999999999</v>
      </c>
      <c r="G207" s="225">
        <f>+ก.ค.!E206+ก.ค.!H206</f>
        <v>25759.919999999998</v>
      </c>
      <c r="H207" s="225">
        <f>SUM(D207:G207)</f>
        <v>220053.45999999996</v>
      </c>
      <c r="I207" s="205">
        <f>+C207-H207</f>
        <v>56446.540000000037</v>
      </c>
      <c r="J207" s="244"/>
      <c r="K207" s="331"/>
      <c r="L207" s="247"/>
      <c r="M207" s="247"/>
    </row>
    <row r="208" spans="1:13" s="172" customFormat="1" ht="21.75" customHeight="1">
      <c r="A208" s="9"/>
      <c r="B208" s="130" t="s">
        <v>283</v>
      </c>
      <c r="C208" s="216">
        <f>100000+12000</f>
        <v>112000</v>
      </c>
      <c r="D208" s="225">
        <f>+'ต.ค.-ธ.ค.'!E208+'ต.ค.-ธ.ค.'!H208</f>
        <v>15013.61</v>
      </c>
      <c r="E208" s="225">
        <f>+'ม.ค.-มี.ค.'!E207+'ม.ค.-มี.ค.'!H207</f>
        <v>24370.48</v>
      </c>
      <c r="F208" s="225">
        <f>+'เม.ย.-มิ.ย.'!E207+'เม.ย.-มิ.ย.'!H207</f>
        <v>22515.89</v>
      </c>
      <c r="G208" s="225">
        <f>+ก.ค.!E207+ก.ค.!H207</f>
        <v>7903.91</v>
      </c>
      <c r="H208" s="225">
        <f>SUM(D208:G208)</f>
        <v>69803.89</v>
      </c>
      <c r="I208" s="205">
        <f>+C208-H208</f>
        <v>42196.11</v>
      </c>
      <c r="J208" s="244"/>
      <c r="K208" s="329"/>
      <c r="L208" s="330"/>
      <c r="M208" s="330"/>
    </row>
    <row r="209" spans="1:13" ht="21.75" customHeight="1">
      <c r="A209" s="9"/>
      <c r="B209" s="130" t="s">
        <v>284</v>
      </c>
      <c r="C209" s="216">
        <f>15000+3000</f>
        <v>18000</v>
      </c>
      <c r="D209" s="225">
        <f>+'ต.ค.-ธ.ค.'!E209+'ต.ค.-ธ.ค.'!H209</f>
        <v>3685</v>
      </c>
      <c r="E209" s="225">
        <f>+'ม.ค.-มี.ค.'!E208+'ม.ค.-มี.ค.'!H208</f>
        <v>10790</v>
      </c>
      <c r="F209" s="225">
        <f>+'เม.ย.-มิ.ย.'!E208+'เม.ย.-มิ.ย.'!H208</f>
        <v>487</v>
      </c>
      <c r="G209" s="225">
        <f>+ก.ค.!E208+ก.ค.!H208</f>
        <v>326</v>
      </c>
      <c r="H209" s="225">
        <f>SUM(D209:G209)</f>
        <v>15288</v>
      </c>
      <c r="I209" s="205">
        <f>+C209-H209</f>
        <v>2712</v>
      </c>
      <c r="J209" s="244"/>
    </row>
    <row r="210" spans="1:13" ht="21.75" customHeight="1">
      <c r="A210" s="9"/>
      <c r="B210" s="130" t="s">
        <v>285</v>
      </c>
      <c r="C210" s="216">
        <f>72000+32000+16100</f>
        <v>120100</v>
      </c>
      <c r="D210" s="225">
        <f>+'ต.ค.-ธ.ค.'!E210+'ต.ค.-ธ.ค.'!H210</f>
        <v>41681.85</v>
      </c>
      <c r="E210" s="225">
        <f>+'ม.ค.-มี.ค.'!E209+'ม.ค.-มี.ค.'!H209</f>
        <v>18981.8</v>
      </c>
      <c r="F210" s="225">
        <f>+'เม.ย.-มิ.ย.'!E209+'เม.ย.-มิ.ย.'!H209</f>
        <v>32281.9</v>
      </c>
      <c r="G210" s="225">
        <f>+ก.ค.!E209+ก.ค.!H209</f>
        <v>8543.9500000000007</v>
      </c>
      <c r="H210" s="225">
        <f>SUM(D210:G210)</f>
        <v>101489.49999999999</v>
      </c>
      <c r="I210" s="205">
        <f>+C210-H210</f>
        <v>18610.500000000015</v>
      </c>
      <c r="J210" s="244"/>
    </row>
    <row r="211" spans="1:13" s="221" customFormat="1" ht="21.75" customHeight="1" thickBot="1">
      <c r="A211" s="15"/>
      <c r="B211" s="14" t="s">
        <v>5</v>
      </c>
      <c r="C211" s="170">
        <f t="shared" ref="C211:I211" si="18">SUM(C207:C210)</f>
        <v>526600</v>
      </c>
      <c r="D211" s="26">
        <f t="shared" si="18"/>
        <v>107167.67</v>
      </c>
      <c r="E211" s="26">
        <f t="shared" si="18"/>
        <v>119334.59</v>
      </c>
      <c r="F211" s="26">
        <f t="shared" si="18"/>
        <v>137598.81</v>
      </c>
      <c r="G211" s="26">
        <f>SUM(G207:G210)</f>
        <v>42533.78</v>
      </c>
      <c r="H211" s="26">
        <f t="shared" si="18"/>
        <v>406634.85</v>
      </c>
      <c r="I211" s="139">
        <f t="shared" si="18"/>
        <v>119965.15000000005</v>
      </c>
      <c r="J211" s="233"/>
      <c r="K211" s="329"/>
      <c r="L211" s="330"/>
      <c r="M211" s="330"/>
    </row>
    <row r="212" spans="1:13" ht="21.75" customHeight="1" thickTop="1">
      <c r="A212" s="3" t="s">
        <v>122</v>
      </c>
      <c r="B212" s="4"/>
      <c r="C212" s="287"/>
      <c r="D212" s="554"/>
      <c r="E212" s="554"/>
      <c r="F212" s="554"/>
      <c r="G212" s="554"/>
      <c r="H212" s="554"/>
      <c r="I212" s="556"/>
    </row>
    <row r="213" spans="1:13" ht="21.75" customHeight="1">
      <c r="A213" s="169"/>
      <c r="B213" s="185" t="s">
        <v>323</v>
      </c>
      <c r="C213" s="190">
        <f>864000+25000</f>
        <v>889000</v>
      </c>
      <c r="D213" s="554">
        <f>+'ต.ค.-ธ.ค.'!E213+'ต.ค.-ธ.ค.'!F213+'ต.ค.-ธ.ค.'!H213+'ต.ค.-ธ.ค.'!I213</f>
        <v>216000</v>
      </c>
      <c r="E213" s="554">
        <f>+'ม.ค.-มี.ค.'!I212</f>
        <v>236000</v>
      </c>
      <c r="F213" s="554">
        <f>+'เม.ย.-มิ.ย.'!E212+'เม.ย.-มิ.ย.'!F212+'เม.ย.-มิ.ย.'!G212+'เม.ย.-มิ.ย.'!H212+'เม.ย.-มิ.ย.'!I212</f>
        <v>224000</v>
      </c>
      <c r="G213" s="554">
        <f>+ก.ค.!D212+ก.ค.!E212+ก.ค.!F212+ก.ค.!H212+ก.ค.!I212+ก.ค.!M212+ก.ค.!N212+ก.ค.!P212+ก.ค.!S212+ก.ค.!T212</f>
        <v>0</v>
      </c>
      <c r="H213" s="554">
        <f>SUM(D213:G213)</f>
        <v>676000</v>
      </c>
      <c r="I213" s="556">
        <f>+C213-H213</f>
        <v>213000</v>
      </c>
    </row>
    <row r="214" spans="1:13" ht="21.75" customHeight="1">
      <c r="A214" s="169"/>
      <c r="B214" s="185" t="s">
        <v>324</v>
      </c>
      <c r="C214" s="190">
        <v>1096000</v>
      </c>
      <c r="D214" s="554">
        <f>+'ต.ค.-ธ.ค.'!E214+'ต.ค.-ธ.ค.'!F214+'ต.ค.-ธ.ค.'!H214+'ต.ค.-ธ.ค.'!I214</f>
        <v>274000</v>
      </c>
      <c r="E214" s="554">
        <f>+'ม.ค.-มี.ค.'!I213</f>
        <v>282000</v>
      </c>
      <c r="F214" s="554">
        <f>+'เม.ย.-มิ.ย.'!E213+'เม.ย.-มิ.ย.'!F213+'เม.ย.-มิ.ย.'!G213+'เม.ย.-มิ.ย.'!H213+'เม.ย.-มิ.ย.'!I213</f>
        <v>276000</v>
      </c>
      <c r="G214" s="554">
        <f>+ก.ค.!D213+ก.ค.!E213+ก.ค.!F213+ก.ค.!H213+ก.ค.!I213+ก.ค.!M213+ก.ค.!N213+ก.ค.!P213+ก.ค.!S213+ก.ค.!T213</f>
        <v>0</v>
      </c>
      <c r="H214" s="554">
        <f t="shared" ref="H214:H221" si="19">SUM(D214:G214)</f>
        <v>832000</v>
      </c>
      <c r="I214" s="556">
        <f t="shared" ref="I214:I221" si="20">+C214-H214</f>
        <v>264000</v>
      </c>
    </row>
    <row r="215" spans="1:13" ht="21.75" customHeight="1">
      <c r="A215" s="169"/>
      <c r="B215" s="185" t="s">
        <v>325</v>
      </c>
      <c r="C215" s="190">
        <v>580000</v>
      </c>
      <c r="D215" s="554">
        <f>+'ต.ค.-ธ.ค.'!E215+'ต.ค.-ธ.ค.'!F215+'ต.ค.-ธ.ค.'!H215+'ต.ค.-ธ.ค.'!I215</f>
        <v>145000</v>
      </c>
      <c r="E215" s="554">
        <f>+'ม.ค.-มี.ค.'!I214</f>
        <v>140000</v>
      </c>
      <c r="F215" s="554">
        <f>+'เม.ย.-มิ.ย.'!E214+'เม.ย.-มิ.ย.'!F214+'เม.ย.-มิ.ย.'!G214+'เม.ย.-มิ.ย.'!H214+'เม.ย.-มิ.ย.'!I214</f>
        <v>140000</v>
      </c>
      <c r="G215" s="554">
        <f>+ก.ค.!D214+ก.ค.!E214+ก.ค.!F214+ก.ค.!H214+ก.ค.!I214+ก.ค.!M214+ก.ค.!N214+ก.ค.!P214+ก.ค.!S214+ก.ค.!T214</f>
        <v>0</v>
      </c>
      <c r="H215" s="554">
        <f t="shared" si="19"/>
        <v>425000</v>
      </c>
      <c r="I215" s="556">
        <f t="shared" si="20"/>
        <v>155000</v>
      </c>
    </row>
    <row r="216" spans="1:13" ht="21.75" customHeight="1">
      <c r="A216" s="169"/>
      <c r="B216" s="185" t="s">
        <v>351</v>
      </c>
      <c r="C216" s="190">
        <v>223000</v>
      </c>
      <c r="D216" s="554">
        <f>+'ต.ค.-ธ.ค.'!E216+'ต.ค.-ธ.ค.'!F216+'ต.ค.-ธ.ค.'!H216+'ต.ค.-ธ.ค.'!I216</f>
        <v>0</v>
      </c>
      <c r="E216" s="554">
        <f>+'ม.ค.-มี.ค.'!I215</f>
        <v>0</v>
      </c>
      <c r="F216" s="554">
        <f>+'เม.ย.-มิ.ย.'!E215+'เม.ย.-มิ.ย.'!F215+'เม.ย.-มิ.ย.'!G215+'เม.ย.-มิ.ย.'!H215+'เม.ย.-มิ.ย.'!I215</f>
        <v>0</v>
      </c>
      <c r="G216" s="554">
        <f>+ก.ค.!D215+ก.ค.!E215+ก.ค.!F215+ก.ค.!H215+ก.ค.!I215+ก.ค.!M215+ก.ค.!N215+ก.ค.!P215+ก.ค.!S215+ก.ค.!T215</f>
        <v>0</v>
      </c>
      <c r="H216" s="554">
        <f t="shared" si="19"/>
        <v>0</v>
      </c>
      <c r="I216" s="556">
        <f t="shared" si="20"/>
        <v>223000</v>
      </c>
    </row>
    <row r="217" spans="1:13" ht="21.75" customHeight="1">
      <c r="A217" s="169"/>
      <c r="B217" s="185" t="s">
        <v>436</v>
      </c>
      <c r="C217" s="190">
        <v>100000</v>
      </c>
      <c r="D217" s="554"/>
      <c r="E217" s="554"/>
      <c r="F217" s="554"/>
      <c r="G217" s="554"/>
      <c r="H217" s="554">
        <f t="shared" si="19"/>
        <v>0</v>
      </c>
      <c r="I217" s="556">
        <f t="shared" si="20"/>
        <v>100000</v>
      </c>
    </row>
    <row r="218" spans="1:13" ht="21.75" customHeight="1">
      <c r="A218" s="169"/>
      <c r="B218" s="185"/>
      <c r="C218" s="190"/>
      <c r="D218" s="554"/>
      <c r="E218" s="554"/>
      <c r="F218" s="554"/>
      <c r="G218" s="554"/>
      <c r="H218" s="554">
        <f t="shared" si="19"/>
        <v>0</v>
      </c>
      <c r="I218" s="556">
        <f t="shared" si="20"/>
        <v>0</v>
      </c>
    </row>
    <row r="219" spans="1:13" ht="21.75" customHeight="1">
      <c r="A219" s="169"/>
      <c r="B219" s="185"/>
      <c r="C219" s="190"/>
      <c r="D219" s="554"/>
      <c r="E219" s="554"/>
      <c r="F219" s="554"/>
      <c r="G219" s="554"/>
      <c r="H219" s="554">
        <f t="shared" si="19"/>
        <v>0</v>
      </c>
      <c r="I219" s="556">
        <f t="shared" si="20"/>
        <v>0</v>
      </c>
    </row>
    <row r="220" spans="1:13" ht="21.75" customHeight="1">
      <c r="A220" s="5"/>
      <c r="B220" s="185"/>
      <c r="C220" s="216"/>
      <c r="D220" s="554"/>
      <c r="E220" s="554"/>
      <c r="F220" s="554"/>
      <c r="G220" s="554"/>
      <c r="H220" s="554">
        <f t="shared" si="19"/>
        <v>0</v>
      </c>
      <c r="I220" s="556">
        <f t="shared" si="20"/>
        <v>0</v>
      </c>
    </row>
    <row r="221" spans="1:13" ht="21.75" customHeight="1">
      <c r="A221" s="5"/>
      <c r="B221" s="130"/>
      <c r="C221" s="285"/>
      <c r="D221" s="554"/>
      <c r="E221" s="554"/>
      <c r="F221" s="554"/>
      <c r="G221" s="554"/>
      <c r="H221" s="554">
        <f t="shared" si="19"/>
        <v>0</v>
      </c>
      <c r="I221" s="556">
        <f t="shared" si="20"/>
        <v>0</v>
      </c>
    </row>
    <row r="222" spans="1:13" s="221" customFormat="1" ht="21.75" customHeight="1" thickBot="1">
      <c r="A222" s="15"/>
      <c r="B222" s="14" t="s">
        <v>5</v>
      </c>
      <c r="C222" s="170">
        <f>SUM(C213:C221)</f>
        <v>2888000</v>
      </c>
      <c r="D222" s="26">
        <f>SUM(D213:D221)</f>
        <v>635000</v>
      </c>
      <c r="E222" s="26">
        <f>SUM(E213:E221)</f>
        <v>658000</v>
      </c>
      <c r="F222" s="26">
        <f>SUM(F213:F221)</f>
        <v>640000</v>
      </c>
      <c r="G222" s="26"/>
      <c r="H222" s="26">
        <f>SUM(H213:H221)</f>
        <v>1933000</v>
      </c>
      <c r="I222" s="139">
        <f>SUM(I213:I221)</f>
        <v>955000</v>
      </c>
      <c r="J222" s="233"/>
      <c r="K222" s="329"/>
      <c r="L222" s="330"/>
      <c r="M222" s="330"/>
    </row>
    <row r="223" spans="1:13" ht="21.75" customHeight="1" thickTop="1">
      <c r="A223" s="20" t="s">
        <v>71</v>
      </c>
      <c r="B223" s="82"/>
      <c r="C223" s="291"/>
      <c r="D223" s="554"/>
      <c r="E223" s="554"/>
      <c r="F223" s="554"/>
      <c r="G223" s="554"/>
      <c r="H223" s="554"/>
      <c r="I223" s="556"/>
    </row>
    <row r="224" spans="1:13" ht="21.75" customHeight="1">
      <c r="A224" s="66"/>
      <c r="B224" s="96"/>
      <c r="C224" s="216"/>
      <c r="D224" s="554"/>
      <c r="E224" s="554"/>
      <c r="F224" s="554"/>
      <c r="G224" s="554"/>
      <c r="H224" s="554"/>
      <c r="I224" s="556"/>
    </row>
    <row r="225" spans="1:13" s="168" customFormat="1" ht="21.75" customHeight="1" thickBot="1">
      <c r="A225" s="167"/>
      <c r="B225" s="95" t="s">
        <v>5</v>
      </c>
      <c r="C225" s="292">
        <f>SUM(C223:C224)</f>
        <v>0</v>
      </c>
      <c r="D225" s="191">
        <f t="shared" ref="D225:I225" si="21">SUM(D224)</f>
        <v>0</v>
      </c>
      <c r="E225" s="191">
        <f t="shared" si="21"/>
        <v>0</v>
      </c>
      <c r="F225" s="191">
        <f t="shared" si="21"/>
        <v>0</v>
      </c>
      <c r="G225" s="191">
        <f t="shared" si="21"/>
        <v>0</v>
      </c>
      <c r="H225" s="191">
        <f t="shared" si="21"/>
        <v>0</v>
      </c>
      <c r="I225" s="214">
        <f t="shared" si="21"/>
        <v>0</v>
      </c>
      <c r="J225" s="233"/>
      <c r="K225" s="331"/>
      <c r="L225" s="247"/>
      <c r="M225" s="247"/>
    </row>
    <row r="226" spans="1:13" s="172" customFormat="1" ht="21.75" customHeight="1" thickTop="1">
      <c r="A226" s="20" t="s">
        <v>115</v>
      </c>
      <c r="B226" s="284"/>
      <c r="C226" s="293"/>
      <c r="D226" s="568"/>
      <c r="E226" s="568"/>
      <c r="F226" s="568"/>
      <c r="G226" s="568"/>
      <c r="H226" s="568"/>
      <c r="I226" s="565"/>
      <c r="J226" s="233"/>
      <c r="K226" s="329"/>
      <c r="L226" s="330"/>
      <c r="M226" s="330"/>
    </row>
    <row r="227" spans="1:13" s="172" customFormat="1" ht="21.75" customHeight="1">
      <c r="A227" s="20"/>
      <c r="B227" s="252" t="s">
        <v>291</v>
      </c>
      <c r="C227" s="293"/>
      <c r="D227" s="569"/>
      <c r="E227" s="569"/>
      <c r="F227" s="569"/>
      <c r="G227" s="569"/>
      <c r="H227" s="569"/>
      <c r="I227" s="570"/>
      <c r="J227" s="233"/>
      <c r="K227" s="329"/>
      <c r="L227" s="330"/>
      <c r="M227" s="330"/>
    </row>
    <row r="228" spans="1:13" ht="21.75" customHeight="1">
      <c r="A228" s="20"/>
      <c r="B228" s="186" t="s">
        <v>286</v>
      </c>
      <c r="C228" s="294">
        <v>10000</v>
      </c>
      <c r="D228" s="554"/>
      <c r="E228" s="554">
        <f>+'ม.ค.-มี.ค.'!E227+'ม.ค.-มี.ค.'!F227+'ม.ค.-มี.ค.'!H227+'ม.ค.-มี.ค.'!I227+'ม.ค.-มี.ค.'!K227+'ม.ค.-มี.ค.'!M227+'ม.ค.-มี.ค.'!N227+'ม.ค.-มี.ค.'!V227</f>
        <v>0</v>
      </c>
      <c r="F228" s="554">
        <f>+'เม.ย.-มิ.ย.'!E227+'เม.ย.-มิ.ย.'!F227+'เม.ย.-มิ.ย.'!G227+'เม.ย.-มิ.ย.'!H227+'เม.ย.-มิ.ย.'!I227+'เม.ย.-มิ.ย.'!M227+'เม.ย.-มิ.ย.'!N227+'เม.ย.-มิ.ย.'!P227+'เม.ย.-มิ.ย.'!R227+'เม.ย.-มิ.ย.'!S227</f>
        <v>0</v>
      </c>
      <c r="G228" s="554">
        <f>+ก.ค.!E227+ก.ค.!F227+ก.ค.!H227</f>
        <v>0</v>
      </c>
      <c r="H228" s="554">
        <f>SUM(D228:G228)</f>
        <v>0</v>
      </c>
      <c r="I228" s="556">
        <f>+C228-H228</f>
        <v>10000</v>
      </c>
    </row>
    <row r="229" spans="1:13" ht="21.75" customHeight="1">
      <c r="A229" s="20"/>
      <c r="B229" s="186" t="s">
        <v>287</v>
      </c>
      <c r="C229" s="294">
        <v>4500</v>
      </c>
      <c r="D229" s="554"/>
      <c r="E229" s="554">
        <f>+'ม.ค.-มี.ค.'!E228+'ม.ค.-มี.ค.'!F228+'ม.ค.-มี.ค.'!H228+'ม.ค.-มี.ค.'!I228+'ม.ค.-มี.ค.'!K228+'ม.ค.-มี.ค.'!M228+'ม.ค.-มี.ค.'!N228+'ม.ค.-มี.ค.'!V228</f>
        <v>0</v>
      </c>
      <c r="F229" s="554">
        <f>+'เม.ย.-มิ.ย.'!E228+'เม.ย.-มิ.ย.'!F228+'เม.ย.-มิ.ย.'!G228+'เม.ย.-มิ.ย.'!H228+'เม.ย.-มิ.ย.'!I228+'เม.ย.-มิ.ย.'!M228+'เม.ย.-มิ.ย.'!N228+'เม.ย.-มิ.ย.'!P228+'เม.ย.-มิ.ย.'!R228+'เม.ย.-มิ.ย.'!S228</f>
        <v>0</v>
      </c>
      <c r="G229" s="554">
        <f>+ก.ค.!E228+ก.ค.!F228+ก.ค.!H228</f>
        <v>0</v>
      </c>
      <c r="H229" s="554">
        <f t="shared" ref="H229:H235" si="22">SUM(D229:G229)</f>
        <v>0</v>
      </c>
      <c r="I229" s="556">
        <f t="shared" ref="I229:I235" si="23">+C229-H229</f>
        <v>4500</v>
      </c>
    </row>
    <row r="230" spans="1:13" ht="21.75" customHeight="1">
      <c r="A230" s="20"/>
      <c r="B230" s="186" t="s">
        <v>288</v>
      </c>
      <c r="C230" s="294">
        <v>3000</v>
      </c>
      <c r="D230" s="554"/>
      <c r="E230" s="554">
        <f>+'ม.ค.-มี.ค.'!E229+'ม.ค.-มี.ค.'!F229+'ม.ค.-มี.ค.'!H229+'ม.ค.-มี.ค.'!I229+'ม.ค.-มี.ค.'!K229+'ม.ค.-มี.ค.'!M229+'ม.ค.-มี.ค.'!N229+'ม.ค.-มี.ค.'!V229</f>
        <v>1600</v>
      </c>
      <c r="F230" s="554">
        <f>+'เม.ย.-มิ.ย.'!E229+'เม.ย.-มิ.ย.'!F229+'เม.ย.-มิ.ย.'!G229+'เม.ย.-มิ.ย.'!H229+'เม.ย.-มิ.ย.'!I229+'เม.ย.-มิ.ย.'!M229+'เม.ย.-มิ.ย.'!N229+'เม.ย.-มิ.ย.'!P229+'เม.ย.-มิ.ย.'!R229+'เม.ย.-มิ.ย.'!S229</f>
        <v>0</v>
      </c>
      <c r="G230" s="554">
        <f>+ก.ค.!E229+ก.ค.!F229+ก.ค.!H229</f>
        <v>0</v>
      </c>
      <c r="H230" s="554">
        <f t="shared" si="22"/>
        <v>1600</v>
      </c>
      <c r="I230" s="556">
        <f t="shared" si="23"/>
        <v>1400</v>
      </c>
    </row>
    <row r="231" spans="1:13" ht="21.75" customHeight="1">
      <c r="A231" s="20"/>
      <c r="B231" s="186" t="s">
        <v>289</v>
      </c>
      <c r="C231" s="294">
        <v>20000</v>
      </c>
      <c r="D231" s="554"/>
      <c r="E231" s="554">
        <f>+'ม.ค.-มี.ค.'!E230+'ม.ค.-มี.ค.'!F230+'ม.ค.-มี.ค.'!H230+'ม.ค.-มี.ค.'!I230+'ม.ค.-มี.ค.'!K230+'ม.ค.-มี.ค.'!M230+'ม.ค.-มี.ค.'!N230+'ม.ค.-มี.ค.'!V230</f>
        <v>0</v>
      </c>
      <c r="F231" s="554">
        <f>+'เม.ย.-มิ.ย.'!E230+'เม.ย.-มิ.ย.'!F230+'เม.ย.-มิ.ย.'!G230+'เม.ย.-มิ.ย.'!H230+'เม.ย.-มิ.ย.'!I230+'เม.ย.-มิ.ย.'!M230+'เม.ย.-มิ.ย.'!N230+'เม.ย.-มิ.ย.'!P230+'เม.ย.-มิ.ย.'!R230+'เม.ย.-มิ.ย.'!S230</f>
        <v>0</v>
      </c>
      <c r="G231" s="554">
        <f>+ก.ค.!E230+ก.ค.!F230+ก.ค.!H230</f>
        <v>19800</v>
      </c>
      <c r="H231" s="554">
        <f t="shared" si="22"/>
        <v>19800</v>
      </c>
      <c r="I231" s="556">
        <f t="shared" si="23"/>
        <v>200</v>
      </c>
    </row>
    <row r="232" spans="1:13" ht="21.75" customHeight="1">
      <c r="A232" s="20"/>
      <c r="B232" s="186" t="s">
        <v>290</v>
      </c>
      <c r="C232" s="295">
        <f>5500+5500</f>
        <v>11000</v>
      </c>
      <c r="D232" s="554"/>
      <c r="E232" s="554">
        <f>+'ม.ค.-มี.ค.'!E231+'ม.ค.-มี.ค.'!F231+'ม.ค.-มี.ค.'!H231+'ม.ค.-มี.ค.'!I231+'ม.ค.-มี.ค.'!K231+'ม.ค.-มี.ค.'!M231+'ม.ค.-มี.ค.'!N231+'ม.ค.-มี.ค.'!V231</f>
        <v>0</v>
      </c>
      <c r="F232" s="554">
        <f>+'เม.ย.-มิ.ย.'!E231+'เม.ย.-มิ.ย.'!F231+'เม.ย.-มิ.ย.'!G231+'เม.ย.-มิ.ย.'!H231+'เม.ย.-มิ.ย.'!I231+'เม.ย.-มิ.ย.'!M231+'เม.ย.-มิ.ย.'!N231+'เม.ย.-มิ.ย.'!P231+'เม.ย.-มิ.ย.'!R231+'เม.ย.-มิ.ย.'!S231</f>
        <v>0</v>
      </c>
      <c r="G232" s="554">
        <f>+ก.ค.!E231+ก.ค.!F231+ก.ค.!H231</f>
        <v>0</v>
      </c>
      <c r="H232" s="554">
        <f t="shared" si="22"/>
        <v>0</v>
      </c>
      <c r="I232" s="556">
        <f t="shared" si="23"/>
        <v>11000</v>
      </c>
    </row>
    <row r="233" spans="1:13" ht="21.75" customHeight="1">
      <c r="A233" s="20"/>
      <c r="B233" s="186" t="s">
        <v>305</v>
      </c>
      <c r="C233" s="295">
        <v>16000</v>
      </c>
      <c r="D233" s="554"/>
      <c r="E233" s="554">
        <f>+'ม.ค.-มี.ค.'!E232+'ม.ค.-มี.ค.'!F232+'ม.ค.-มี.ค.'!H232+'ม.ค.-มี.ค.'!I232+'ม.ค.-มี.ค.'!K232+'ม.ค.-มี.ค.'!M232+'ม.ค.-มี.ค.'!N232+'ม.ค.-มี.ค.'!V232</f>
        <v>0</v>
      </c>
      <c r="F233" s="554">
        <f>+'เม.ย.-มิ.ย.'!E232+'เม.ย.-มิ.ย.'!F232+'เม.ย.-มิ.ย.'!G232+'เม.ย.-มิ.ย.'!H232+'เม.ย.-มิ.ย.'!I232+'เม.ย.-มิ.ย.'!M232+'เม.ย.-มิ.ย.'!N232+'เม.ย.-มิ.ย.'!P232+'เม.ย.-มิ.ย.'!R232+'เม.ย.-มิ.ย.'!S232</f>
        <v>0</v>
      </c>
      <c r="G233" s="554">
        <f>+ก.ค.!E232+ก.ค.!F232+ก.ค.!H232</f>
        <v>0</v>
      </c>
      <c r="H233" s="554">
        <f t="shared" si="22"/>
        <v>0</v>
      </c>
      <c r="I233" s="556">
        <f t="shared" si="23"/>
        <v>16000</v>
      </c>
    </row>
    <row r="234" spans="1:13" ht="21.75" customHeight="1">
      <c r="A234" s="20"/>
      <c r="B234" s="186" t="s">
        <v>334</v>
      </c>
      <c r="C234" s="295">
        <v>4500</v>
      </c>
      <c r="D234" s="554"/>
      <c r="E234" s="554">
        <f>+'ม.ค.-มี.ค.'!E233+'ม.ค.-มี.ค.'!F233+'ม.ค.-มี.ค.'!H233+'ม.ค.-มี.ค.'!I233+'ม.ค.-มี.ค.'!K233+'ม.ค.-มี.ค.'!M233+'ม.ค.-มี.ค.'!N233+'ม.ค.-มี.ค.'!V233</f>
        <v>0</v>
      </c>
      <c r="F234" s="554">
        <f>+'เม.ย.-มิ.ย.'!E233+'เม.ย.-มิ.ย.'!F233+'เม.ย.-มิ.ย.'!G233+'เม.ย.-มิ.ย.'!H233+'เม.ย.-มิ.ย.'!I233+'เม.ย.-มิ.ย.'!M233+'เม.ย.-มิ.ย.'!N233+'เม.ย.-มิ.ย.'!P233+'เม.ย.-มิ.ย.'!R233+'เม.ย.-มิ.ย.'!S233</f>
        <v>0</v>
      </c>
      <c r="G234" s="554">
        <f>+ก.ค.!E233+ก.ค.!F233+ก.ค.!H233</f>
        <v>0</v>
      </c>
      <c r="H234" s="554">
        <f t="shared" si="22"/>
        <v>0</v>
      </c>
      <c r="I234" s="556">
        <f t="shared" si="23"/>
        <v>4500</v>
      </c>
    </row>
    <row r="235" spans="1:13" ht="21.75" customHeight="1">
      <c r="A235" s="20"/>
      <c r="B235" s="186" t="s">
        <v>335</v>
      </c>
      <c r="C235" s="295">
        <v>4500</v>
      </c>
      <c r="D235" s="554"/>
      <c r="E235" s="554">
        <f>+'ม.ค.-มี.ค.'!E234+'ม.ค.-มี.ค.'!F234+'ม.ค.-มี.ค.'!H234+'ม.ค.-มี.ค.'!I234+'ม.ค.-มี.ค.'!K234+'ม.ค.-มี.ค.'!M234+'ม.ค.-มี.ค.'!N234+'ม.ค.-มี.ค.'!V234</f>
        <v>0</v>
      </c>
      <c r="F235" s="554">
        <f>+'เม.ย.-มิ.ย.'!E234+'เม.ย.-มิ.ย.'!F234+'เม.ย.-มิ.ย.'!G234+'เม.ย.-มิ.ย.'!H234+'เม.ย.-มิ.ย.'!I234+'เม.ย.-มิ.ย.'!M234+'เม.ย.-มิ.ย.'!N234+'เม.ย.-มิ.ย.'!P234+'เม.ย.-มิ.ย.'!R234+'เม.ย.-มิ.ย.'!S234</f>
        <v>0</v>
      </c>
      <c r="G235" s="554">
        <f>+ก.ค.!E234+ก.ค.!F234+ก.ค.!H234</f>
        <v>0</v>
      </c>
      <c r="H235" s="554">
        <f t="shared" si="22"/>
        <v>0</v>
      </c>
      <c r="I235" s="556">
        <f t="shared" si="23"/>
        <v>4500</v>
      </c>
    </row>
    <row r="236" spans="1:13" s="364" customFormat="1" ht="21.75" customHeight="1" thickBot="1">
      <c r="A236" s="110"/>
      <c r="B236" s="363" t="s">
        <v>5</v>
      </c>
      <c r="C236" s="365">
        <f t="shared" ref="C236:I236" si="24">SUM(C228:C235)</f>
        <v>73500</v>
      </c>
      <c r="D236" s="365">
        <f t="shared" si="24"/>
        <v>0</v>
      </c>
      <c r="E236" s="365">
        <f t="shared" si="24"/>
        <v>1600</v>
      </c>
      <c r="F236" s="365">
        <f t="shared" si="24"/>
        <v>0</v>
      </c>
      <c r="G236" s="365">
        <f>SUM(G228:G235)</f>
        <v>19800</v>
      </c>
      <c r="H236" s="365">
        <f t="shared" si="24"/>
        <v>21400</v>
      </c>
      <c r="I236" s="366">
        <f t="shared" si="24"/>
        <v>52100</v>
      </c>
      <c r="J236" s="233"/>
      <c r="K236" s="329"/>
      <c r="L236" s="330"/>
      <c r="M236" s="330"/>
    </row>
    <row r="237" spans="1:13" ht="21.75" customHeight="1" thickTop="1">
      <c r="A237" s="20"/>
      <c r="B237" s="360" t="s">
        <v>292</v>
      </c>
      <c r="C237" s="361"/>
      <c r="D237" s="564"/>
      <c r="E237" s="564"/>
      <c r="F237" s="564"/>
      <c r="G237" s="564"/>
      <c r="H237" s="564"/>
      <c r="I237" s="571"/>
    </row>
    <row r="238" spans="1:13" ht="21.75" customHeight="1">
      <c r="A238" s="20"/>
      <c r="B238" s="186" t="s">
        <v>293</v>
      </c>
      <c r="C238" s="295">
        <v>32000</v>
      </c>
      <c r="D238" s="554"/>
      <c r="E238" s="554">
        <f>+'ม.ค.-มี.ค.'!F237</f>
        <v>0</v>
      </c>
      <c r="F238" s="554">
        <f>+'เม.ย.-มิ.ย.'!E237+'เม.ย.-มิ.ย.'!F237+'เม.ย.-มิ.ย.'!G237+'เม.ย.-มิ.ย.'!H237+'เม.ย.-มิ.ย.'!I237+'เม.ย.-มิ.ย.'!M237+'เม.ย.-มิ.ย.'!N237+'เม.ย.-มิ.ย.'!P237+'เม.ย.-มิ.ย.'!R237+'เม.ย.-มิ.ย.'!S237</f>
        <v>0</v>
      </c>
      <c r="G238" s="554">
        <f>+ก.ค.!D237+ก.ค.!D237+ก.ค.!E237</f>
        <v>0</v>
      </c>
      <c r="H238" s="554">
        <f>SUM(D238:G238)</f>
        <v>0</v>
      </c>
      <c r="I238" s="556">
        <f>+C238-H238</f>
        <v>32000</v>
      </c>
    </row>
    <row r="239" spans="1:13" ht="21.75" customHeight="1">
      <c r="A239" s="20"/>
      <c r="B239" s="186" t="s">
        <v>125</v>
      </c>
      <c r="C239" s="295">
        <f>2800+2800+2300</f>
        <v>7900</v>
      </c>
      <c r="D239" s="554"/>
      <c r="E239" s="554">
        <f>+'ม.ค.-มี.ค.'!F238</f>
        <v>2800</v>
      </c>
      <c r="F239" s="554">
        <f>+'เม.ย.-มิ.ย.'!E238+'เม.ย.-มิ.ย.'!F238+'เม.ย.-มิ.ย.'!G238+'เม.ย.-มิ.ย.'!H238+'เม.ย.-มิ.ย.'!I238+'เม.ย.-มิ.ย.'!M238+'เม.ย.-มิ.ย.'!N238+'เม.ย.-มิ.ย.'!P238+'เม.ย.-มิ.ย.'!R238+'เม.ย.-มิ.ย.'!S238</f>
        <v>2300</v>
      </c>
      <c r="G239" s="554">
        <f>+ก.ค.!D238+ก.ค.!D238+ก.ค.!E238</f>
        <v>0</v>
      </c>
      <c r="H239" s="554">
        <f>SUM(D239:G239)</f>
        <v>5100</v>
      </c>
      <c r="I239" s="556">
        <f>+C239-H239</f>
        <v>2800</v>
      </c>
    </row>
    <row r="240" spans="1:13" ht="21.75" customHeight="1">
      <c r="A240" s="20"/>
      <c r="B240" s="186" t="s">
        <v>294</v>
      </c>
      <c r="C240" s="295">
        <v>21000</v>
      </c>
      <c r="D240" s="554"/>
      <c r="E240" s="554">
        <f>+'ม.ค.-มี.ค.'!F239</f>
        <v>21000</v>
      </c>
      <c r="F240" s="554">
        <f>+'เม.ย.-มิ.ย.'!E239+'เม.ย.-มิ.ย.'!F239+'เม.ย.-มิ.ย.'!G239+'เม.ย.-มิ.ย.'!H239+'เม.ย.-มิ.ย.'!I239+'เม.ย.-มิ.ย.'!M239+'เม.ย.-มิ.ย.'!N239+'เม.ย.-มิ.ย.'!P239+'เม.ย.-มิ.ย.'!R239+'เม.ย.-มิ.ย.'!S239</f>
        <v>0</v>
      </c>
      <c r="G240" s="554">
        <f>+ก.ค.!D239+ก.ค.!D239+ก.ค.!E239</f>
        <v>0</v>
      </c>
      <c r="H240" s="554">
        <f>SUM(D240:G240)</f>
        <v>21000</v>
      </c>
      <c r="I240" s="556">
        <f>+C240-H240</f>
        <v>0</v>
      </c>
    </row>
    <row r="241" spans="1:13" ht="21.75" customHeight="1">
      <c r="A241" s="20"/>
      <c r="B241" s="186" t="s">
        <v>293</v>
      </c>
      <c r="C241" s="295">
        <v>16000</v>
      </c>
      <c r="D241" s="554"/>
      <c r="E241" s="554">
        <f>+'ม.ค.-มี.ค.'!F240</f>
        <v>0</v>
      </c>
      <c r="F241" s="554">
        <f>+'เม.ย.-มิ.ย.'!E240+'เม.ย.-มิ.ย.'!F240+'เม.ย.-มิ.ย.'!G240+'เม.ย.-มิ.ย.'!H240+'เม.ย.-มิ.ย.'!I240+'เม.ย.-มิ.ย.'!M240+'เม.ย.-มิ.ย.'!N240+'เม.ย.-มิ.ย.'!P240+'เม.ย.-มิ.ย.'!R240+'เม.ย.-มิ.ย.'!S240</f>
        <v>16000</v>
      </c>
      <c r="G241" s="554">
        <f>+ก.ค.!D240+ก.ค.!D240+ก.ค.!E240</f>
        <v>0</v>
      </c>
      <c r="H241" s="554">
        <f>SUM(D241:G241)</f>
        <v>16000</v>
      </c>
      <c r="I241" s="556">
        <f>+C241-H241</f>
        <v>0</v>
      </c>
    </row>
    <row r="242" spans="1:13" ht="21.75" customHeight="1">
      <c r="A242" s="20"/>
      <c r="B242" s="186" t="s">
        <v>306</v>
      </c>
      <c r="C242" s="295">
        <v>7700</v>
      </c>
      <c r="D242" s="554"/>
      <c r="E242" s="554">
        <f>+'ม.ค.-มี.ค.'!F241</f>
        <v>0</v>
      </c>
      <c r="F242" s="554">
        <f>+'เม.ย.-มิ.ย.'!E241+'เม.ย.-มิ.ย.'!F241+'เม.ย.-มิ.ย.'!G241+'เม.ย.-มิ.ย.'!H241+'เม.ย.-มิ.ย.'!I241+'เม.ย.-มิ.ย.'!M241+'เม.ย.-มิ.ย.'!N241+'เม.ย.-มิ.ย.'!P241+'เม.ย.-มิ.ย.'!R241+'เม.ย.-มิ.ย.'!S241</f>
        <v>7700</v>
      </c>
      <c r="G242" s="554">
        <f>+ก.ค.!D241+ก.ค.!D241+ก.ค.!E241</f>
        <v>0</v>
      </c>
      <c r="H242" s="554">
        <f>SUM(D242:G242)</f>
        <v>7700</v>
      </c>
      <c r="I242" s="556">
        <f>+C242-H242</f>
        <v>0</v>
      </c>
    </row>
    <row r="243" spans="1:13" s="364" customFormat="1" ht="21.75" customHeight="1" thickBot="1">
      <c r="A243" s="110"/>
      <c r="B243" s="363" t="s">
        <v>5</v>
      </c>
      <c r="C243" s="365">
        <f t="shared" ref="C243:I243" si="25">SUM(C238:C242)</f>
        <v>84600</v>
      </c>
      <c r="D243" s="365">
        <f t="shared" si="25"/>
        <v>0</v>
      </c>
      <c r="E243" s="365">
        <f t="shared" si="25"/>
        <v>23800</v>
      </c>
      <c r="F243" s="365">
        <f t="shared" si="25"/>
        <v>26000</v>
      </c>
      <c r="G243" s="365">
        <f>SUM(G238:G242)</f>
        <v>0</v>
      </c>
      <c r="H243" s="365">
        <f>SUM(H238:H242)</f>
        <v>49800</v>
      </c>
      <c r="I243" s="366">
        <f t="shared" si="25"/>
        <v>34800</v>
      </c>
      <c r="J243" s="233"/>
      <c r="K243" s="329"/>
      <c r="L243" s="330"/>
      <c r="M243" s="330"/>
    </row>
    <row r="244" spans="1:13" ht="21.75" customHeight="1" thickTop="1">
      <c r="A244" s="20"/>
      <c r="B244" s="360" t="s">
        <v>336</v>
      </c>
      <c r="C244" s="295"/>
      <c r="D244" s="554"/>
      <c r="E244" s="554"/>
      <c r="F244" s="554">
        <f>+'เม.ย.-มิ.ย.'!E243+'เม.ย.-มิ.ย.'!F243+'เม.ย.-มิ.ย.'!G243+'เม.ย.-มิ.ย.'!H243+'เม.ย.-มิ.ย.'!I243+'เม.ย.-มิ.ย.'!M243+'เม.ย.-มิ.ย.'!N243+'เม.ย.-มิ.ย.'!P243+'เม.ย.-มิ.ย.'!R243+'เม.ย.-มิ.ย.'!S243</f>
        <v>0</v>
      </c>
      <c r="G244" s="554"/>
      <c r="H244" s="554"/>
      <c r="I244" s="556"/>
    </row>
    <row r="245" spans="1:13" ht="21.75" customHeight="1">
      <c r="A245" s="20"/>
      <c r="B245" s="186" t="s">
        <v>337</v>
      </c>
      <c r="C245" s="295">
        <v>9000</v>
      </c>
      <c r="D245" s="554"/>
      <c r="E245" s="554">
        <f>+'ม.ค.-มี.ค.'!F244</f>
        <v>0</v>
      </c>
      <c r="F245" s="554">
        <f>+'เม.ย.-มิ.ย.'!E244+'เม.ย.-มิ.ย.'!F244+'เม.ย.-มิ.ย.'!G244+'เม.ย.-มิ.ย.'!H244+'เม.ย.-มิ.ย.'!I244+'เม.ย.-มิ.ย.'!M244+'เม.ย.-มิ.ย.'!N244+'เม.ย.-มิ.ย.'!P244+'เม.ย.-มิ.ย.'!R244+'เม.ย.-มิ.ย.'!S244</f>
        <v>0</v>
      </c>
      <c r="G245" s="554">
        <f>+ก.ค.!D244</f>
        <v>0</v>
      </c>
      <c r="H245" s="554">
        <f>SUM(D245:G245)</f>
        <v>0</v>
      </c>
      <c r="I245" s="556">
        <f>+C245-H245</f>
        <v>9000</v>
      </c>
    </row>
    <row r="246" spans="1:13" ht="21.75" customHeight="1" thickBot="1">
      <c r="A246" s="46"/>
      <c r="B246" s="363" t="s">
        <v>5</v>
      </c>
      <c r="C246" s="365">
        <f>SUM(C245)</f>
        <v>9000</v>
      </c>
      <c r="D246" s="365">
        <f t="shared" ref="D246:I246" si="26">SUM(D245)</f>
        <v>0</v>
      </c>
      <c r="E246" s="365">
        <f t="shared" si="26"/>
        <v>0</v>
      </c>
      <c r="F246" s="365">
        <f t="shared" si="26"/>
        <v>0</v>
      </c>
      <c r="G246" s="365">
        <f>SUM(G245)</f>
        <v>0</v>
      </c>
      <c r="H246" s="365">
        <f t="shared" si="26"/>
        <v>0</v>
      </c>
      <c r="I246" s="366">
        <f t="shared" si="26"/>
        <v>9000</v>
      </c>
    </row>
    <row r="247" spans="1:13" ht="21.75" customHeight="1" thickTop="1">
      <c r="A247" s="20"/>
      <c r="B247" s="360" t="s">
        <v>338</v>
      </c>
      <c r="C247" s="295"/>
      <c r="D247" s="554"/>
      <c r="E247" s="554"/>
      <c r="F247" s="554"/>
      <c r="G247" s="554"/>
      <c r="H247" s="554"/>
      <c r="I247" s="556"/>
    </row>
    <row r="248" spans="1:13" ht="21.75" customHeight="1">
      <c r="A248" s="20"/>
      <c r="B248" s="186" t="s">
        <v>339</v>
      </c>
      <c r="C248" s="295">
        <v>8000</v>
      </c>
      <c r="D248" s="554"/>
      <c r="E248" s="554">
        <f>+'ม.ค.-มี.ค.'!F247</f>
        <v>0</v>
      </c>
      <c r="F248" s="554">
        <f>+'เม.ย.-มิ.ย.'!E247+'เม.ย.-มิ.ย.'!F247+'เม.ย.-มิ.ย.'!G247+'เม.ย.-มิ.ย.'!H247+'เม.ย.-มิ.ย.'!I247+'เม.ย.-มิ.ย.'!M247+'เม.ย.-มิ.ย.'!N247+'เม.ย.-มิ.ย.'!P247+'เม.ย.-มิ.ย.'!R247+'เม.ย.-มิ.ย.'!S247</f>
        <v>0</v>
      </c>
      <c r="G248" s="554">
        <f>+ก.ค.!D247</f>
        <v>0</v>
      </c>
      <c r="H248" s="554">
        <f>SUM(D248:G248)</f>
        <v>0</v>
      </c>
      <c r="I248" s="556">
        <f>+C248-H248</f>
        <v>8000</v>
      </c>
    </row>
    <row r="249" spans="1:13" ht="21.75" customHeight="1">
      <c r="A249" s="20"/>
      <c r="B249" s="186" t="s">
        <v>340</v>
      </c>
      <c r="C249" s="295">
        <v>6000</v>
      </c>
      <c r="D249" s="554"/>
      <c r="E249" s="554">
        <f>+'ม.ค.-มี.ค.'!F248</f>
        <v>0</v>
      </c>
      <c r="F249" s="554">
        <f>+'เม.ย.-มิ.ย.'!E248+'เม.ย.-มิ.ย.'!F248+'เม.ย.-มิ.ย.'!G248+'เม.ย.-มิ.ย.'!H248+'เม.ย.-มิ.ย.'!I248+'เม.ย.-มิ.ย.'!M248+'เม.ย.-มิ.ย.'!N248+'เม.ย.-มิ.ย.'!P248+'เม.ย.-มิ.ย.'!R248+'เม.ย.-มิ.ย.'!S248</f>
        <v>0</v>
      </c>
      <c r="G249" s="554">
        <f>+ก.ค.!D248</f>
        <v>0</v>
      </c>
      <c r="H249" s="554">
        <f>SUM(D249:G249)</f>
        <v>0</v>
      </c>
      <c r="I249" s="556">
        <f>+C249-H249</f>
        <v>6000</v>
      </c>
    </row>
    <row r="250" spans="1:13" ht="21.75" customHeight="1" thickBot="1">
      <c r="A250" s="46"/>
      <c r="B250" s="363" t="s">
        <v>5</v>
      </c>
      <c r="C250" s="365">
        <f t="shared" ref="C250:I250" si="27">SUM(C248:C249)</f>
        <v>14000</v>
      </c>
      <c r="D250" s="365">
        <f t="shared" si="27"/>
        <v>0</v>
      </c>
      <c r="E250" s="365">
        <f t="shared" si="27"/>
        <v>0</v>
      </c>
      <c r="F250" s="365">
        <f t="shared" si="27"/>
        <v>0</v>
      </c>
      <c r="G250" s="365">
        <f>SUM(G248:G249)</f>
        <v>0</v>
      </c>
      <c r="H250" s="365">
        <f t="shared" si="27"/>
        <v>0</v>
      </c>
      <c r="I250" s="366">
        <f t="shared" si="27"/>
        <v>14000</v>
      </c>
    </row>
    <row r="251" spans="1:13" ht="21.75" customHeight="1" thickTop="1">
      <c r="A251" s="20"/>
      <c r="B251" s="360" t="s">
        <v>341</v>
      </c>
      <c r="C251" s="295"/>
      <c r="D251" s="554"/>
      <c r="E251" s="554"/>
      <c r="F251" s="554"/>
      <c r="G251" s="554"/>
      <c r="H251" s="554"/>
      <c r="I251" s="556"/>
    </row>
    <row r="252" spans="1:13" ht="21.75" customHeight="1">
      <c r="A252" s="20"/>
      <c r="B252" s="186" t="s">
        <v>342</v>
      </c>
      <c r="C252" s="295">
        <v>45300</v>
      </c>
      <c r="D252" s="554"/>
      <c r="E252" s="554">
        <f>+'ม.ค.-มี.ค.'!E251+'ม.ค.-มี.ค.'!F251+'ม.ค.-มี.ค.'!H251+'ม.ค.-มี.ค.'!I251+'ม.ค.-มี.ค.'!K251+'ม.ค.-มี.ค.'!M251+'ม.ค.-มี.ค.'!N251+'ม.ค.-มี.ค.'!V251</f>
        <v>0</v>
      </c>
      <c r="F252" s="554">
        <f>+'เม.ย.-มิ.ย.'!E251+'เม.ย.-มิ.ย.'!F251+'เม.ย.-มิ.ย.'!G251+'เม.ย.-มิ.ย.'!H251+'เม.ย.-มิ.ย.'!I251+'เม.ย.-มิ.ย.'!M251+'เม.ย.-มิ.ย.'!N251+'เม.ย.-มิ.ย.'!P251+'เม.ย.-มิ.ย.'!R251+'เม.ย.-มิ.ย.'!S251</f>
        <v>0</v>
      </c>
      <c r="G252" s="554">
        <f>+ก.ค.!D251+ก.ค.!E251+ก.ค.!F251+ก.ค.!H251+ก.ค.!I251+ก.ค.!M251+ก.ค.!N251+ก.ค.!P251+ก.ค.!S251+ก.ค.!T251</f>
        <v>0</v>
      </c>
      <c r="H252" s="554">
        <f>SUM(D252:G252)</f>
        <v>0</v>
      </c>
      <c r="I252" s="556">
        <f>+C252-H252</f>
        <v>45300</v>
      </c>
    </row>
    <row r="253" spans="1:13" ht="21.75" customHeight="1">
      <c r="A253" s="20"/>
      <c r="B253" s="186" t="s">
        <v>343</v>
      </c>
      <c r="C253" s="295">
        <v>128000</v>
      </c>
      <c r="D253" s="554"/>
      <c r="E253" s="554">
        <f>+'ม.ค.-มี.ค.'!E252+'ม.ค.-มี.ค.'!F252+'ม.ค.-มี.ค.'!H252+'ม.ค.-มี.ค.'!I252+'ม.ค.-มี.ค.'!K252+'ม.ค.-มี.ค.'!M252+'ม.ค.-มี.ค.'!N252+'ม.ค.-มี.ค.'!V252</f>
        <v>0</v>
      </c>
      <c r="F253" s="554">
        <f>+'เม.ย.-มิ.ย.'!E252+'เม.ย.-มิ.ย.'!F252+'เม.ย.-มิ.ย.'!G252+'เม.ย.-มิ.ย.'!H252+'เม.ย.-มิ.ย.'!I252+'เม.ย.-มิ.ย.'!M252+'เม.ย.-มิ.ย.'!N252+'เม.ย.-มิ.ย.'!P252+'เม.ย.-มิ.ย.'!R252+'เม.ย.-มิ.ย.'!S252</f>
        <v>0</v>
      </c>
      <c r="G253" s="554">
        <f>+ก.ค.!D252+ก.ค.!E252+ก.ค.!F252+ก.ค.!H252+ก.ค.!I252+ก.ค.!M252+ก.ค.!N252+ก.ค.!P252+ก.ค.!S252+ก.ค.!T252</f>
        <v>0</v>
      </c>
      <c r="H253" s="554">
        <f t="shared" ref="H253:H262" si="28">SUM(D253:G253)</f>
        <v>0</v>
      </c>
      <c r="I253" s="556">
        <f t="shared" ref="I253:I262" si="29">+C253-H253</f>
        <v>128000</v>
      </c>
    </row>
    <row r="254" spans="1:13" ht="21.75" customHeight="1">
      <c r="A254" s="20"/>
      <c r="B254" s="186" t="s">
        <v>264</v>
      </c>
      <c r="C254" s="295">
        <v>204000</v>
      </c>
      <c r="D254" s="554"/>
      <c r="E254" s="554">
        <f>+'ม.ค.-มี.ค.'!E253+'ม.ค.-มี.ค.'!F253+'ม.ค.-มี.ค.'!H253+'ม.ค.-มี.ค.'!I253+'ม.ค.-มี.ค.'!K253+'ม.ค.-มี.ค.'!M253+'ม.ค.-มี.ค.'!N253+'ม.ค.-มี.ค.'!V253</f>
        <v>200000</v>
      </c>
      <c r="F254" s="554">
        <f>+'เม.ย.-มิ.ย.'!E253+'เม.ย.-มิ.ย.'!F253+'เม.ย.-มิ.ย.'!G253+'เม.ย.-มิ.ย.'!H253+'เม.ย.-มิ.ย.'!I253+'เม.ย.-มิ.ย.'!M253+'เม.ย.-มิ.ย.'!N253+'เม.ย.-มิ.ย.'!P253+'เม.ย.-มิ.ย.'!R253+'เม.ย.-มิ.ย.'!S253</f>
        <v>0</v>
      </c>
      <c r="G254" s="554">
        <f>+ก.ค.!D253+ก.ค.!E253+ก.ค.!F253+ก.ค.!H253+ก.ค.!I253+ก.ค.!M253+ก.ค.!N253+ก.ค.!P253+ก.ค.!S253+ก.ค.!T253</f>
        <v>0</v>
      </c>
      <c r="H254" s="554">
        <f t="shared" si="28"/>
        <v>200000</v>
      </c>
      <c r="I254" s="556">
        <f t="shared" si="29"/>
        <v>4000</v>
      </c>
    </row>
    <row r="255" spans="1:13" ht="21.75" customHeight="1">
      <c r="A255" s="20"/>
      <c r="B255" s="186" t="s">
        <v>381</v>
      </c>
      <c r="C255" s="295">
        <v>204000</v>
      </c>
      <c r="D255" s="554"/>
      <c r="E255" s="554">
        <f>+'ม.ค.-มี.ค.'!E254+'ม.ค.-มี.ค.'!F254+'ม.ค.-มี.ค.'!H254+'ม.ค.-มี.ค.'!I254+'ม.ค.-มี.ค.'!K254+'ม.ค.-มี.ค.'!M254+'ม.ค.-มี.ค.'!N254+'ม.ค.-มี.ค.'!V254</f>
        <v>0</v>
      </c>
      <c r="F255" s="554">
        <f>+'เม.ย.-มิ.ย.'!E254+'เม.ย.-มิ.ย.'!F254+'เม.ย.-มิ.ย.'!G254+'เม.ย.-มิ.ย.'!H254+'เม.ย.-มิ.ย.'!I254+'เม.ย.-มิ.ย.'!M254+'เม.ย.-มิ.ย.'!N254+'เม.ย.-มิ.ย.'!P254+'เม.ย.-มิ.ย.'!R254+'เม.ย.-มิ.ย.'!S254</f>
        <v>204000</v>
      </c>
      <c r="G255" s="554">
        <f>+ก.ค.!D254+ก.ค.!E254+ก.ค.!F254+ก.ค.!H254+ก.ค.!I254+ก.ค.!M254+ก.ค.!N254+ก.ค.!P254+ก.ค.!S254+ก.ค.!T254</f>
        <v>0</v>
      </c>
      <c r="H255" s="554">
        <f t="shared" si="28"/>
        <v>204000</v>
      </c>
      <c r="I255" s="556">
        <f t="shared" si="29"/>
        <v>0</v>
      </c>
    </row>
    <row r="256" spans="1:13" ht="21.75" customHeight="1">
      <c r="A256" s="20"/>
      <c r="B256" s="186" t="s">
        <v>344</v>
      </c>
      <c r="C256" s="295">
        <v>204000</v>
      </c>
      <c r="D256" s="554"/>
      <c r="E256" s="554">
        <f>+'ม.ค.-มี.ค.'!E255+'ม.ค.-มี.ค.'!F255+'ม.ค.-มี.ค.'!H255+'ม.ค.-มี.ค.'!I255+'ม.ค.-มี.ค.'!K255+'ม.ค.-มี.ค.'!M255+'ม.ค.-มี.ค.'!N255+'ม.ค.-มี.ค.'!V255</f>
        <v>0</v>
      </c>
      <c r="F256" s="554">
        <f>+'เม.ย.-มิ.ย.'!E255+'เม.ย.-มิ.ย.'!F255+'เม.ย.-มิ.ย.'!G255+'เม.ย.-มิ.ย.'!H255+'เม.ย.-มิ.ย.'!I255+'เม.ย.-มิ.ย.'!M255+'เม.ย.-มิ.ย.'!N255+'เม.ย.-มิ.ย.'!P255+'เม.ย.-มิ.ย.'!R255+'เม.ย.-มิ.ย.'!S255</f>
        <v>202000</v>
      </c>
      <c r="G256" s="554">
        <f>+ก.ค.!D255+ก.ค.!E255+ก.ค.!F255+ก.ค.!H255+ก.ค.!I255+ก.ค.!M255+ก.ค.!N255+ก.ค.!P255+ก.ค.!S255+ก.ค.!T255</f>
        <v>0</v>
      </c>
      <c r="H256" s="554">
        <f t="shared" si="28"/>
        <v>202000</v>
      </c>
      <c r="I256" s="556">
        <f t="shared" si="29"/>
        <v>2000</v>
      </c>
    </row>
    <row r="257" spans="1:13" ht="21.75" customHeight="1">
      <c r="A257" s="20"/>
      <c r="B257" s="186" t="s">
        <v>345</v>
      </c>
      <c r="C257" s="295">
        <v>217000</v>
      </c>
      <c r="D257" s="554"/>
      <c r="E257" s="554">
        <f>+'ม.ค.-มี.ค.'!E256+'ม.ค.-มี.ค.'!F256+'ม.ค.-มี.ค.'!H256+'ม.ค.-มี.ค.'!I256+'ม.ค.-มี.ค.'!K256+'ม.ค.-มี.ค.'!M256+'ม.ค.-มี.ค.'!N256+'ม.ค.-มี.ค.'!V256</f>
        <v>0</v>
      </c>
      <c r="F257" s="554">
        <f>+'เม.ย.-มิ.ย.'!E256+'เม.ย.-มิ.ย.'!F256+'เม.ย.-มิ.ย.'!G256+'เม.ย.-มิ.ย.'!H256+'เม.ย.-มิ.ย.'!I256+'เม.ย.-มิ.ย.'!M256+'เม.ย.-มิ.ย.'!N256+'เม.ย.-มิ.ย.'!P256+'เม.ย.-มิ.ย.'!R256+'เม.ย.-มิ.ย.'!S256</f>
        <v>216000</v>
      </c>
      <c r="G257" s="554">
        <f>+ก.ค.!D256+ก.ค.!E256+ก.ค.!F256+ก.ค.!H256+ก.ค.!I256+ก.ค.!M256+ก.ค.!N256+ก.ค.!P256+ก.ค.!S256+ก.ค.!T256</f>
        <v>0</v>
      </c>
      <c r="H257" s="554">
        <f t="shared" si="28"/>
        <v>216000</v>
      </c>
      <c r="I257" s="556">
        <f t="shared" si="29"/>
        <v>1000</v>
      </c>
    </row>
    <row r="258" spans="1:13" ht="21.75" customHeight="1">
      <c r="A258" s="20"/>
      <c r="B258" s="186" t="s">
        <v>346</v>
      </c>
      <c r="C258" s="295">
        <v>27000</v>
      </c>
      <c r="D258" s="554"/>
      <c r="E258" s="554">
        <f>+'ม.ค.-มี.ค.'!E257+'ม.ค.-มี.ค.'!F257+'ม.ค.-มี.ค.'!H257+'ม.ค.-มี.ค.'!I257+'ม.ค.-มี.ค.'!K257+'ม.ค.-มี.ค.'!M257+'ม.ค.-มี.ค.'!N257+'ม.ค.-มี.ค.'!V257</f>
        <v>0</v>
      </c>
      <c r="F258" s="554">
        <f>+'เม.ย.-มิ.ย.'!E257+'เม.ย.-มิ.ย.'!F257+'เม.ย.-มิ.ย.'!G257+'เม.ย.-มิ.ย.'!H257+'เม.ย.-มิ.ย.'!I257+'เม.ย.-มิ.ย.'!M257+'เม.ย.-มิ.ย.'!N257+'เม.ย.-มิ.ย.'!P257+'เม.ย.-มิ.ย.'!R257+'เม.ย.-มิ.ย.'!S257</f>
        <v>0</v>
      </c>
      <c r="G258" s="554">
        <f>+ก.ค.!D257+ก.ค.!E257+ก.ค.!F257+ก.ค.!H257+ก.ค.!I257+ก.ค.!M257+ก.ค.!N257+ก.ค.!P257+ก.ค.!S257+ก.ค.!T257</f>
        <v>0</v>
      </c>
      <c r="H258" s="554">
        <f t="shared" si="28"/>
        <v>0</v>
      </c>
      <c r="I258" s="556">
        <f t="shared" si="29"/>
        <v>27000</v>
      </c>
    </row>
    <row r="259" spans="1:13" ht="21.75" customHeight="1">
      <c r="A259" s="20"/>
      <c r="B259" s="186" t="s">
        <v>347</v>
      </c>
      <c r="C259" s="295">
        <v>211000</v>
      </c>
      <c r="D259" s="554"/>
      <c r="E259" s="554">
        <f>+'ม.ค.-มี.ค.'!E258+'ม.ค.-มี.ค.'!F258+'ม.ค.-มี.ค.'!H258+'ม.ค.-มี.ค.'!I258+'ม.ค.-มี.ค.'!K258+'ม.ค.-มี.ค.'!M258+'ม.ค.-มี.ค.'!N258+'ม.ค.-มี.ค.'!V258</f>
        <v>0</v>
      </c>
      <c r="F259" s="554">
        <f>+'เม.ย.-มิ.ย.'!E258+'เม.ย.-มิ.ย.'!F258+'เม.ย.-มิ.ย.'!G258+'เม.ย.-มิ.ย.'!H258+'เม.ย.-มิ.ย.'!I258+'เม.ย.-มิ.ย.'!M258+'เม.ย.-มิ.ย.'!N258+'เม.ย.-มิ.ย.'!P258+'เม.ย.-มิ.ย.'!R258+'เม.ย.-มิ.ย.'!S258</f>
        <v>0</v>
      </c>
      <c r="G259" s="554">
        <f>+ก.ค.!D258+ก.ค.!E258+ก.ค.!F258+ก.ค.!H258+ก.ค.!I258+ก.ค.!M258+ก.ค.!N258+ก.ค.!P258+ก.ค.!S258+ก.ค.!T258</f>
        <v>210000</v>
      </c>
      <c r="H259" s="554">
        <f t="shared" si="28"/>
        <v>210000</v>
      </c>
      <c r="I259" s="556">
        <f t="shared" si="29"/>
        <v>1000</v>
      </c>
    </row>
    <row r="260" spans="1:13" ht="21.75" customHeight="1">
      <c r="A260" s="20"/>
      <c r="B260" s="186" t="s">
        <v>348</v>
      </c>
      <c r="C260" s="295">
        <v>211000</v>
      </c>
      <c r="D260" s="554"/>
      <c r="E260" s="554">
        <f>+'ม.ค.-มี.ค.'!E259+'ม.ค.-มี.ค.'!F259+'ม.ค.-มี.ค.'!H259+'ม.ค.-มี.ค.'!I259+'ม.ค.-มี.ค.'!K259+'ม.ค.-มี.ค.'!M259+'ม.ค.-มี.ค.'!N259+'ม.ค.-มี.ค.'!V259</f>
        <v>210000</v>
      </c>
      <c r="F260" s="554">
        <f>+'เม.ย.-มิ.ย.'!E259+'เม.ย.-มิ.ย.'!F259+'เม.ย.-มิ.ย.'!G259+'เม.ย.-มิ.ย.'!H259+'เม.ย.-มิ.ย.'!I259+'เม.ย.-มิ.ย.'!M259+'เม.ย.-มิ.ย.'!N259+'เม.ย.-มิ.ย.'!P259+'เม.ย.-มิ.ย.'!R259+'เม.ย.-มิ.ย.'!S259</f>
        <v>0</v>
      </c>
      <c r="G260" s="554">
        <f>+ก.ค.!D259+ก.ค.!E259+ก.ค.!F259+ก.ค.!H259+ก.ค.!I259+ก.ค.!M259+ก.ค.!N259+ก.ค.!P259+ก.ค.!S259+ก.ค.!T259</f>
        <v>0</v>
      </c>
      <c r="H260" s="554">
        <f t="shared" si="28"/>
        <v>210000</v>
      </c>
      <c r="I260" s="556">
        <f t="shared" si="29"/>
        <v>1000</v>
      </c>
    </row>
    <row r="261" spans="1:13" ht="21.75" customHeight="1">
      <c r="A261" s="20"/>
      <c r="B261" s="186" t="s">
        <v>349</v>
      </c>
      <c r="C261" s="296">
        <v>688700</v>
      </c>
      <c r="D261" s="554"/>
      <c r="E261" s="554">
        <f>+'ม.ค.-มี.ค.'!E260+'ม.ค.-มี.ค.'!F260+'ม.ค.-มี.ค.'!H260+'ม.ค.-มี.ค.'!I260+'ม.ค.-มี.ค.'!K260+'ม.ค.-มี.ค.'!M260+'ม.ค.-มี.ค.'!N260+'ม.ค.-มี.ค.'!V260</f>
        <v>0</v>
      </c>
      <c r="F261" s="554">
        <f>+'เม.ย.-มิ.ย.'!E260+'เม.ย.-มิ.ย.'!F260+'เม.ย.-มิ.ย.'!G260+'เม.ย.-มิ.ย.'!H260+'เม.ย.-มิ.ย.'!I260+'เม.ย.-มิ.ย.'!M260+'เม.ย.-มิ.ย.'!N260+'เม.ย.-มิ.ย.'!P260+'เม.ย.-มิ.ย.'!R260+'เม.ย.-มิ.ย.'!S260</f>
        <v>0</v>
      </c>
      <c r="G261" s="554">
        <f>+ก.ค.!D260+ก.ค.!E260+ก.ค.!F260+ก.ค.!H260+ก.ค.!I260+ก.ค.!M260+ก.ค.!N260+ก.ค.!P260+ก.ค.!S260+ก.ค.!T260</f>
        <v>0</v>
      </c>
      <c r="H261" s="554">
        <f t="shared" si="28"/>
        <v>0</v>
      </c>
      <c r="I261" s="556">
        <f t="shared" si="29"/>
        <v>688700</v>
      </c>
    </row>
    <row r="262" spans="1:13" ht="21.75" customHeight="1">
      <c r="A262" s="20"/>
      <c r="B262" s="186" t="s">
        <v>350</v>
      </c>
      <c r="C262" s="297">
        <v>62000</v>
      </c>
      <c r="D262" s="557"/>
      <c r="E262" s="554">
        <f>+'ม.ค.-มี.ค.'!E261+'ม.ค.-มี.ค.'!F261+'ม.ค.-มี.ค.'!H261+'ม.ค.-มี.ค.'!I261+'ม.ค.-มี.ค.'!K261+'ม.ค.-มี.ค.'!M261+'ม.ค.-มี.ค.'!N261+'ม.ค.-มี.ค.'!V261</f>
        <v>0</v>
      </c>
      <c r="F262" s="554">
        <f>+'เม.ย.-มิ.ย.'!E261+'เม.ย.-มิ.ย.'!F261+'เม.ย.-มิ.ย.'!G261+'เม.ย.-มิ.ย.'!H261+'เม.ย.-มิ.ย.'!I261+'เม.ย.-มิ.ย.'!M261+'เม.ย.-มิ.ย.'!N261+'เม.ย.-มิ.ย.'!P261+'เม.ย.-มิ.ย.'!R261+'เม.ย.-มิ.ย.'!S261</f>
        <v>0</v>
      </c>
      <c r="G262" s="554">
        <f>+ก.ค.!D261+ก.ค.!E261+ก.ค.!F261+ก.ค.!H261+ก.ค.!I261+ก.ค.!M261+ก.ค.!N261+ก.ค.!P261+ก.ค.!S261+ก.ค.!T261</f>
        <v>0</v>
      </c>
      <c r="H262" s="554">
        <f t="shared" si="28"/>
        <v>0</v>
      </c>
      <c r="I262" s="556">
        <f t="shared" si="29"/>
        <v>62000</v>
      </c>
    </row>
    <row r="263" spans="1:13" s="221" customFormat="1" ht="21.75" customHeight="1" thickBot="1">
      <c r="A263" s="15"/>
      <c r="B263" s="14" t="s">
        <v>5</v>
      </c>
      <c r="C263" s="170">
        <f t="shared" ref="C263:I263" si="30">SUM(C252:C262)</f>
        <v>2202000</v>
      </c>
      <c r="D263" s="170">
        <f t="shared" si="30"/>
        <v>0</v>
      </c>
      <c r="E263" s="170">
        <f t="shared" si="30"/>
        <v>410000</v>
      </c>
      <c r="F263" s="170">
        <f t="shared" si="30"/>
        <v>622000</v>
      </c>
      <c r="G263" s="170">
        <f>SUM(G252:G262)</f>
        <v>210000</v>
      </c>
      <c r="H263" s="170">
        <f t="shared" si="30"/>
        <v>1242000</v>
      </c>
      <c r="I263" s="367">
        <f t="shared" si="30"/>
        <v>960000</v>
      </c>
      <c r="J263" s="233"/>
      <c r="K263" s="329"/>
      <c r="L263" s="330"/>
      <c r="M263" s="330"/>
    </row>
    <row r="264" spans="1:13" ht="21.75" customHeight="1" thickTop="1">
      <c r="A264" s="9" t="s">
        <v>149</v>
      </c>
      <c r="B264" s="6"/>
      <c r="C264" s="368"/>
      <c r="D264" s="564"/>
      <c r="E264" s="564"/>
      <c r="F264" s="564"/>
      <c r="G264" s="564"/>
      <c r="H264" s="564"/>
      <c r="I264" s="571"/>
    </row>
    <row r="265" spans="1:13" ht="21.75" customHeight="1">
      <c r="A265" s="9"/>
      <c r="B265" s="186"/>
      <c r="C265" s="296"/>
      <c r="D265" s="554"/>
      <c r="E265" s="554"/>
      <c r="F265" s="554"/>
      <c r="G265" s="554"/>
      <c r="H265" s="554"/>
      <c r="I265" s="556"/>
    </row>
    <row r="266" spans="1:13" ht="21.75" customHeight="1">
      <c r="A266" s="9"/>
      <c r="B266" s="186"/>
      <c r="C266" s="296"/>
      <c r="D266" s="554"/>
      <c r="E266" s="554"/>
      <c r="F266" s="554"/>
      <c r="G266" s="554"/>
      <c r="H266" s="554"/>
      <c r="I266" s="556"/>
    </row>
    <row r="267" spans="1:13" ht="21.75" customHeight="1">
      <c r="A267" s="9"/>
      <c r="B267" s="186"/>
      <c r="C267" s="296"/>
      <c r="D267" s="554"/>
      <c r="E267" s="554"/>
      <c r="F267" s="554"/>
      <c r="G267" s="554"/>
      <c r="H267" s="554"/>
      <c r="I267" s="556"/>
    </row>
    <row r="268" spans="1:13" ht="21.75" customHeight="1">
      <c r="A268" s="9"/>
      <c r="B268" s="186"/>
      <c r="C268" s="296"/>
      <c r="D268" s="554"/>
      <c r="E268" s="554"/>
      <c r="F268" s="554"/>
      <c r="G268" s="554"/>
      <c r="H268" s="554"/>
      <c r="I268" s="556"/>
    </row>
    <row r="269" spans="1:13" s="172" customFormat="1" ht="21.75" customHeight="1">
      <c r="A269" s="9"/>
      <c r="B269" s="186"/>
      <c r="C269" s="296"/>
      <c r="D269" s="554"/>
      <c r="E269" s="554"/>
      <c r="F269" s="554"/>
      <c r="G269" s="562"/>
      <c r="H269" s="554"/>
      <c r="I269" s="556"/>
      <c r="J269" s="233"/>
      <c r="K269" s="331"/>
      <c r="L269" s="330"/>
      <c r="M269" s="330"/>
    </row>
    <row r="270" spans="1:13" ht="21.75" customHeight="1">
      <c r="A270" s="9"/>
      <c r="B270" s="186"/>
      <c r="C270" s="296"/>
      <c r="D270" s="554"/>
      <c r="E270" s="554"/>
      <c r="F270" s="554"/>
      <c r="G270" s="554"/>
      <c r="H270" s="554"/>
      <c r="I270" s="556"/>
    </row>
    <row r="271" spans="1:13" ht="21.75" customHeight="1">
      <c r="A271" s="9"/>
      <c r="B271" s="186"/>
      <c r="C271" s="296"/>
      <c r="D271" s="554"/>
      <c r="E271" s="554"/>
      <c r="F271" s="554"/>
      <c r="G271" s="554"/>
      <c r="H271" s="554"/>
      <c r="I271" s="556"/>
      <c r="J271" s="242"/>
    </row>
    <row r="272" spans="1:13" ht="21.75" customHeight="1">
      <c r="A272" s="9"/>
      <c r="B272" s="186"/>
      <c r="C272" s="296"/>
      <c r="D272" s="554"/>
      <c r="E272" s="554"/>
      <c r="F272" s="554"/>
      <c r="G272" s="554"/>
      <c r="H272" s="554"/>
      <c r="I272" s="556"/>
    </row>
    <row r="273" spans="1:13" s="221" customFormat="1" ht="21.75" customHeight="1" thickBot="1">
      <c r="A273" s="15"/>
      <c r="B273" s="14" t="s">
        <v>5</v>
      </c>
      <c r="C273" s="170">
        <f>SUM(C265:C272)</f>
        <v>0</v>
      </c>
      <c r="D273" s="26">
        <f t="shared" ref="D273:I273" si="31">SUM(D265:D272)</f>
        <v>0</v>
      </c>
      <c r="E273" s="26">
        <f t="shared" si="31"/>
        <v>0</v>
      </c>
      <c r="F273" s="26">
        <f>SUM(F265:F272)</f>
        <v>0</v>
      </c>
      <c r="G273" s="26">
        <f t="shared" si="31"/>
        <v>0</v>
      </c>
      <c r="H273" s="26">
        <f>SUM(H265:H272)</f>
        <v>0</v>
      </c>
      <c r="I273" s="139">
        <f t="shared" si="31"/>
        <v>0</v>
      </c>
      <c r="J273" s="233"/>
      <c r="K273" s="329"/>
      <c r="L273" s="330"/>
      <c r="M273" s="330"/>
    </row>
    <row r="274" spans="1:13" ht="21.75" customHeight="1" thickTop="1">
      <c r="A274" s="20" t="s">
        <v>24</v>
      </c>
      <c r="B274" s="23"/>
      <c r="C274" s="190"/>
      <c r="D274" s="554"/>
      <c r="E274" s="554"/>
      <c r="F274" s="554"/>
      <c r="G274" s="554"/>
      <c r="H274" s="554"/>
      <c r="I274" s="556"/>
    </row>
    <row r="275" spans="1:13" ht="21.75" customHeight="1">
      <c r="A275" s="20"/>
      <c r="B275" s="130" t="s">
        <v>406</v>
      </c>
      <c r="C275" s="192">
        <v>121500</v>
      </c>
      <c r="D275" s="554"/>
      <c r="E275" s="554">
        <f>+'ม.ค.-มี.ค.'!D274</f>
        <v>121500</v>
      </c>
      <c r="F275" s="554"/>
      <c r="G275" s="554">
        <v>0</v>
      </c>
      <c r="H275" s="554">
        <f>SUM(D275:G275)</f>
        <v>121500</v>
      </c>
      <c r="I275" s="556">
        <f>+C275-H275</f>
        <v>0</v>
      </c>
    </row>
    <row r="276" spans="1:13" ht="21.75" customHeight="1">
      <c r="A276" s="20"/>
      <c r="B276" s="130" t="s">
        <v>405</v>
      </c>
      <c r="C276" s="192">
        <v>105000</v>
      </c>
      <c r="D276" s="554"/>
      <c r="E276" s="554">
        <f>+'ม.ค.-มี.ค.'!D275</f>
        <v>105000</v>
      </c>
      <c r="F276" s="554"/>
      <c r="G276" s="554">
        <v>0</v>
      </c>
      <c r="H276" s="554">
        <f>SUM(D276:G276)</f>
        <v>105000</v>
      </c>
      <c r="I276" s="556">
        <f>+C276-H276</f>
        <v>0</v>
      </c>
    </row>
    <row r="277" spans="1:13" ht="21.75" customHeight="1" thickBot="1">
      <c r="A277" s="15"/>
      <c r="B277" s="14" t="s">
        <v>5</v>
      </c>
      <c r="C277" s="298">
        <f>SUM(C275:C276)</f>
        <v>226500</v>
      </c>
      <c r="D277" s="189">
        <f>SUM(D275:D276)</f>
        <v>0</v>
      </c>
      <c r="E277" s="189">
        <f>SUM(E275:E276)</f>
        <v>226500</v>
      </c>
      <c r="F277" s="189">
        <f>SUM(F275:F275)</f>
        <v>0</v>
      </c>
      <c r="G277" s="189">
        <f>SUM(G275:G276)</f>
        <v>0</v>
      </c>
      <c r="H277" s="189">
        <f>SUM(H275:H276)</f>
        <v>226500</v>
      </c>
      <c r="I277" s="200">
        <f>SUM(I275:I276)</f>
        <v>0</v>
      </c>
    </row>
    <row r="278" spans="1:13" s="172" customFormat="1" ht="21" customHeight="1" thickTop="1">
      <c r="A278" s="20" t="s">
        <v>44</v>
      </c>
      <c r="B278" s="23"/>
      <c r="C278" s="193"/>
      <c r="D278" s="568"/>
      <c r="E278" s="568"/>
      <c r="F278" s="568"/>
      <c r="G278" s="568"/>
      <c r="H278" s="568"/>
      <c r="I278" s="565"/>
      <c r="J278" s="233"/>
      <c r="K278" s="329"/>
      <c r="L278" s="330"/>
      <c r="M278" s="330"/>
    </row>
    <row r="279" spans="1:13" ht="24" customHeight="1">
      <c r="A279" s="20"/>
      <c r="B279" s="185" t="s">
        <v>420</v>
      </c>
      <c r="C279" s="192">
        <v>20000</v>
      </c>
      <c r="D279" s="554">
        <f>+'เม.ย.-มิ.ย.'!D278</f>
        <v>20000</v>
      </c>
      <c r="E279" s="554"/>
      <c r="F279" s="554"/>
      <c r="G279" s="554">
        <v>0</v>
      </c>
      <c r="H279" s="554">
        <f>SUM(D279:G279)</f>
        <v>20000</v>
      </c>
      <c r="I279" s="556">
        <f>+C279-H279</f>
        <v>0</v>
      </c>
    </row>
    <row r="280" spans="1:13" ht="24" customHeight="1">
      <c r="A280" s="20"/>
      <c r="B280" s="185"/>
      <c r="C280" s="190"/>
      <c r="D280" s="554"/>
      <c r="E280" s="554"/>
      <c r="F280" s="554"/>
      <c r="G280" s="554"/>
      <c r="H280" s="554"/>
      <c r="I280" s="556"/>
    </row>
    <row r="281" spans="1:13" ht="24" customHeight="1">
      <c r="A281" s="20"/>
      <c r="B281" s="23"/>
      <c r="C281" s="290"/>
      <c r="D281" s="557"/>
      <c r="E281" s="557"/>
      <c r="F281" s="557"/>
      <c r="G281" s="557"/>
      <c r="H281" s="557"/>
      <c r="I281" s="598"/>
    </row>
    <row r="282" spans="1:13" s="221" customFormat="1" ht="24" customHeight="1" thickBot="1">
      <c r="A282" s="15"/>
      <c r="B282" s="53" t="s">
        <v>5</v>
      </c>
      <c r="C282" s="105">
        <f>SUM(C279:C280)</f>
        <v>20000</v>
      </c>
      <c r="D282" s="105">
        <f>SUM(D279:D280)</f>
        <v>20000</v>
      </c>
      <c r="E282" s="105">
        <f>SUM(E279:E280)</f>
        <v>0</v>
      </c>
      <c r="F282" s="105">
        <f>SUM(F279:F280)</f>
        <v>0</v>
      </c>
      <c r="G282" s="105">
        <f>SUM(G279)</f>
        <v>0</v>
      </c>
      <c r="H282" s="105">
        <f>SUM(D282:G282)</f>
        <v>20000</v>
      </c>
      <c r="I282" s="39">
        <f>+C282-H282</f>
        <v>0</v>
      </c>
      <c r="J282" s="233"/>
      <c r="K282" s="329"/>
      <c r="L282" s="330"/>
      <c r="M282" s="330"/>
    </row>
    <row r="283" spans="1:13" ht="24" customHeight="1" thickTop="1">
      <c r="A283" s="20" t="s">
        <v>276</v>
      </c>
      <c r="B283" s="23"/>
      <c r="C283" s="193"/>
      <c r="D283" s="554"/>
      <c r="E283" s="554"/>
      <c r="F283" s="554"/>
      <c r="G283" s="554"/>
      <c r="H283" s="554"/>
      <c r="I283" s="556"/>
    </row>
    <row r="284" spans="1:13" ht="24" customHeight="1">
      <c r="A284" s="20"/>
      <c r="B284" s="185" t="s">
        <v>226</v>
      </c>
      <c r="C284" s="192">
        <v>236250</v>
      </c>
      <c r="D284" s="554">
        <f>+'ต.ค.-ธ.ค.'!E283+'ต.ค.-ธ.ค.'!F283+'ต.ค.-ธ.ค.'!H283+'ต.ค.-ธ.ค.'!I283+'ต.ค.-ธ.ค.'!M283+'ต.ค.-ธ.ค.'!Q283</f>
        <v>236250</v>
      </c>
      <c r="E284" s="554">
        <f>+'ม.ค.-มี.ค.'!E282+'ม.ค.-มี.ค.'!F282+'ม.ค.-มี.ค.'!H282+'ม.ค.-มี.ค.'!I282+'ม.ค.-มี.ค.'!K282+'ม.ค.-มี.ค.'!M282+'ม.ค.-มี.ค.'!N282+'ม.ค.-มี.ค.'!V282</f>
        <v>0</v>
      </c>
      <c r="F284" s="554"/>
      <c r="G284" s="554">
        <f>+'ไตรมาส งป.2561 ok'!G287+'ไตรมาส งป.2561 ok'!G287</f>
        <v>0</v>
      </c>
      <c r="H284" s="554">
        <f>SUM(D284:G284)</f>
        <v>236250</v>
      </c>
      <c r="I284" s="556">
        <f>+C284-H284</f>
        <v>0</v>
      </c>
    </row>
    <row r="285" spans="1:13" ht="24" customHeight="1">
      <c r="A285" s="20"/>
      <c r="B285" s="185" t="s">
        <v>233</v>
      </c>
      <c r="C285" s="299">
        <v>7500</v>
      </c>
      <c r="D285" s="554">
        <f>+'ต.ค.-ธ.ค.'!E284+'ต.ค.-ธ.ค.'!F284+'ต.ค.-ธ.ค.'!H284+'ต.ค.-ธ.ค.'!I284+'ต.ค.-ธ.ค.'!M284+'ต.ค.-ธ.ค.'!Q284</f>
        <v>7500</v>
      </c>
      <c r="E285" s="554">
        <f>+'ม.ค.-มี.ค.'!E283+'ม.ค.-มี.ค.'!F283+'ม.ค.-มี.ค.'!H283+'ม.ค.-มี.ค.'!I283+'ม.ค.-มี.ค.'!K283+'ม.ค.-มี.ค.'!M283+'ม.ค.-มี.ค.'!N283+'ม.ค.-มี.ค.'!V283</f>
        <v>0</v>
      </c>
      <c r="F285" s="554"/>
      <c r="G285" s="554">
        <f>+'ไตรมาส งป.2561 ok'!G288+'ไตรมาส งป.2561 ok'!G288</f>
        <v>0</v>
      </c>
      <c r="H285" s="554">
        <f t="shared" ref="H285:H291" si="32">SUM(D285:G285)</f>
        <v>7500</v>
      </c>
      <c r="I285" s="556">
        <f t="shared" ref="I285:I291" si="33">+C285-H285</f>
        <v>0</v>
      </c>
    </row>
    <row r="286" spans="1:13" ht="24" customHeight="1">
      <c r="A286" s="20"/>
      <c r="B286" s="274" t="s">
        <v>378</v>
      </c>
      <c r="C286" s="299">
        <v>37500</v>
      </c>
      <c r="D286" s="554">
        <f>+'ต.ค.-ธ.ค.'!E285+'ต.ค.-ธ.ค.'!F285+'ต.ค.-ธ.ค.'!H285+'ต.ค.-ธ.ค.'!I285+'ต.ค.-ธ.ค.'!M285+'ต.ค.-ธ.ค.'!Q285</f>
        <v>37500</v>
      </c>
      <c r="E286" s="554">
        <f>+'ม.ค.-มี.ค.'!E284+'ม.ค.-มี.ค.'!F284+'ม.ค.-มี.ค.'!H284+'ม.ค.-มี.ค.'!I284+'ม.ค.-มี.ค.'!K284+'ม.ค.-มี.ค.'!M284+'ม.ค.-มี.ค.'!N284+'ม.ค.-มี.ค.'!V284</f>
        <v>0</v>
      </c>
      <c r="F286" s="554"/>
      <c r="G286" s="554">
        <f>+'ไตรมาส งป.2561 ok'!G289+'ไตรมาส งป.2561 ok'!G289</f>
        <v>0</v>
      </c>
      <c r="H286" s="554">
        <f t="shared" si="32"/>
        <v>37500</v>
      </c>
      <c r="I286" s="556">
        <f t="shared" si="33"/>
        <v>0</v>
      </c>
    </row>
    <row r="287" spans="1:13" ht="24" customHeight="1">
      <c r="A287" s="20"/>
      <c r="B287" s="185" t="s">
        <v>379</v>
      </c>
      <c r="C287" s="299">
        <v>10000</v>
      </c>
      <c r="D287" s="554">
        <f>+'ต.ค.-ธ.ค.'!E286+'ต.ค.-ธ.ค.'!F286+'ต.ค.-ธ.ค.'!H286+'ต.ค.-ธ.ค.'!I286+'ต.ค.-ธ.ค.'!M286+'ต.ค.-ธ.ค.'!Q286</f>
        <v>10000</v>
      </c>
      <c r="E287" s="554">
        <f>+'ม.ค.-มี.ค.'!E285+'ม.ค.-มี.ค.'!F285+'ม.ค.-มี.ค.'!H285+'ม.ค.-มี.ค.'!I285+'ม.ค.-มี.ค.'!K285+'ม.ค.-มี.ค.'!M285+'ม.ค.-มี.ค.'!N285+'ม.ค.-มี.ค.'!V285</f>
        <v>0</v>
      </c>
      <c r="F287" s="554"/>
      <c r="G287" s="554">
        <f>+'ไตรมาส งป.2561 ok'!G290+'ไตรมาส งป.2561 ok'!G290</f>
        <v>0</v>
      </c>
      <c r="H287" s="554">
        <f t="shared" si="32"/>
        <v>10000</v>
      </c>
      <c r="I287" s="556">
        <f t="shared" si="33"/>
        <v>0</v>
      </c>
    </row>
    <row r="288" spans="1:13" ht="24" customHeight="1">
      <c r="A288" s="20"/>
      <c r="B288" s="185" t="s">
        <v>382</v>
      </c>
      <c r="C288" s="299">
        <v>1950</v>
      </c>
      <c r="D288" s="554">
        <f>+'ต.ค.-ธ.ค.'!E287+'ต.ค.-ธ.ค.'!F287+'ต.ค.-ธ.ค.'!H287+'ต.ค.-ธ.ค.'!I287+'ต.ค.-ธ.ค.'!M287+'ต.ค.-ธ.ค.'!Q287</f>
        <v>1950</v>
      </c>
      <c r="E288" s="554">
        <f>+'ม.ค.-มี.ค.'!E286+'ม.ค.-มี.ค.'!F286+'ม.ค.-มี.ค.'!H286+'ม.ค.-มี.ค.'!I286+'ม.ค.-มี.ค.'!K286+'ม.ค.-มี.ค.'!M286+'ม.ค.-มี.ค.'!N286+'ม.ค.-มี.ค.'!V286</f>
        <v>0</v>
      </c>
      <c r="F288" s="554"/>
      <c r="G288" s="554">
        <f>+'ไตรมาส งป.2561 ok'!G291+'ไตรมาส งป.2561 ok'!G291</f>
        <v>0</v>
      </c>
      <c r="H288" s="554">
        <f t="shared" si="32"/>
        <v>1950</v>
      </c>
      <c r="I288" s="556">
        <f t="shared" si="33"/>
        <v>0</v>
      </c>
      <c r="J288" s="243"/>
    </row>
    <row r="289" spans="1:13" ht="24" customHeight="1">
      <c r="A289" s="20"/>
      <c r="B289" s="185" t="s">
        <v>380</v>
      </c>
      <c r="C289" s="299">
        <v>13125</v>
      </c>
      <c r="D289" s="554">
        <f>+'ต.ค.-ธ.ค.'!E288+'ต.ค.-ธ.ค.'!F288+'ต.ค.-ธ.ค.'!H288+'ต.ค.-ธ.ค.'!I288+'ต.ค.-ธ.ค.'!M288+'ต.ค.-ธ.ค.'!Q288</f>
        <v>13125</v>
      </c>
      <c r="E289" s="554">
        <f>+'ม.ค.-มี.ค.'!E287+'ม.ค.-มี.ค.'!F287+'ม.ค.-มี.ค.'!H287+'ม.ค.-มี.ค.'!I287+'ม.ค.-มี.ค.'!K287+'ม.ค.-มี.ค.'!M287+'ม.ค.-มี.ค.'!N287+'ม.ค.-มี.ค.'!V287</f>
        <v>0</v>
      </c>
      <c r="F289" s="554"/>
      <c r="G289" s="554">
        <f>+'ไตรมาส งป.2561 ok'!G292+'ไตรมาส งป.2561 ok'!G292</f>
        <v>0</v>
      </c>
      <c r="H289" s="554">
        <f t="shared" si="32"/>
        <v>13125</v>
      </c>
      <c r="I289" s="556">
        <f t="shared" si="33"/>
        <v>0</v>
      </c>
      <c r="J289" s="243"/>
    </row>
    <row r="290" spans="1:13" ht="24" customHeight="1">
      <c r="A290" s="20"/>
      <c r="B290" s="372" t="s">
        <v>386</v>
      </c>
      <c r="C290" s="192">
        <v>409940.96</v>
      </c>
      <c r="D290" s="554">
        <f>+'ต.ค.-ธ.ค.'!E289+'ต.ค.-ธ.ค.'!F289+'ต.ค.-ธ.ค.'!H289+'ต.ค.-ธ.ค.'!I289+'ต.ค.-ธ.ค.'!M289+'ต.ค.-ธ.ค.'!Q289</f>
        <v>409940.96</v>
      </c>
      <c r="E290" s="554">
        <f>+'ม.ค.-มี.ค.'!E288+'ม.ค.-มี.ค.'!F288+'ม.ค.-มี.ค.'!H288+'ม.ค.-มี.ค.'!I288+'ม.ค.-มี.ค.'!K288+'ม.ค.-มี.ค.'!M288+'ม.ค.-มี.ค.'!N288+'ม.ค.-มี.ค.'!V288</f>
        <v>0</v>
      </c>
      <c r="F290" s="554"/>
      <c r="G290" s="554">
        <f>+'ไตรมาส งป.2561 ok'!G293+'ไตรมาส งป.2561 ok'!G293</f>
        <v>0</v>
      </c>
      <c r="H290" s="554">
        <f t="shared" si="32"/>
        <v>409940.96</v>
      </c>
      <c r="I290" s="556">
        <f t="shared" si="33"/>
        <v>0</v>
      </c>
      <c r="J290" s="243"/>
    </row>
    <row r="291" spans="1:13" ht="24" customHeight="1">
      <c r="A291" s="20"/>
      <c r="B291" s="372" t="s">
        <v>387</v>
      </c>
      <c r="C291" s="192">
        <v>40000</v>
      </c>
      <c r="D291" s="554">
        <f>+'ต.ค.-ธ.ค.'!E290+'ต.ค.-ธ.ค.'!F290+'ต.ค.-ธ.ค.'!H290+'ต.ค.-ธ.ค.'!I290+'ต.ค.-ธ.ค.'!M290+'ต.ค.-ธ.ค.'!Q290</f>
        <v>40000</v>
      </c>
      <c r="E291" s="554">
        <f>+'ม.ค.-มี.ค.'!E289+'ม.ค.-มี.ค.'!F289+'ม.ค.-มี.ค.'!H289+'ม.ค.-มี.ค.'!I289+'ม.ค.-มี.ค.'!K289+'ม.ค.-มี.ค.'!M289+'ม.ค.-มี.ค.'!N289+'ม.ค.-มี.ค.'!V289</f>
        <v>0</v>
      </c>
      <c r="F291" s="554"/>
      <c r="G291" s="554">
        <f>+'ไตรมาส งป.2561 ok'!G294+'ไตรมาส งป.2561 ok'!G294</f>
        <v>0</v>
      </c>
      <c r="H291" s="554">
        <f t="shared" si="32"/>
        <v>40000</v>
      </c>
      <c r="I291" s="556">
        <f t="shared" si="33"/>
        <v>0</v>
      </c>
      <c r="J291" s="243"/>
    </row>
    <row r="292" spans="1:13" ht="24" customHeight="1">
      <c r="A292" s="20"/>
      <c r="B292" s="373" t="s">
        <v>429</v>
      </c>
      <c r="C292" s="192">
        <v>175000</v>
      </c>
      <c r="D292" s="572"/>
      <c r="E292" s="554">
        <f>+'ม.ค.-มี.ค.'!E290+'ม.ค.-มี.ค.'!F290+'ม.ค.-มี.ค.'!H290+'ม.ค.-มี.ค.'!I290+'ม.ค.-มี.ค.'!K290+'ม.ค.-มี.ค.'!M290+'ม.ค.-มี.ค.'!N290+'ม.ค.-มี.ค.'!V290</f>
        <v>174000</v>
      </c>
      <c r="F292" s="572"/>
      <c r="G292" s="554">
        <f>+'ไตรมาส งป.2561 ok'!G295+'ไตรมาส งป.2561 ok'!G295</f>
        <v>0</v>
      </c>
      <c r="H292" s="554">
        <f>SUM(D292:G292)</f>
        <v>174000</v>
      </c>
      <c r="I292" s="556">
        <f>+C292-H292</f>
        <v>1000</v>
      </c>
      <c r="J292" s="243"/>
    </row>
    <row r="293" spans="1:13" ht="24" customHeight="1">
      <c r="A293" s="20"/>
      <c r="B293" s="348"/>
      <c r="C293" s="350"/>
      <c r="D293" s="573"/>
      <c r="E293" s="573"/>
      <c r="F293" s="573"/>
      <c r="G293" s="573"/>
      <c r="H293" s="573"/>
      <c r="I293" s="574"/>
      <c r="J293" s="243"/>
    </row>
    <row r="294" spans="1:13" ht="25.5" customHeight="1" thickBot="1">
      <c r="A294" s="15"/>
      <c r="B294" s="53" t="s">
        <v>5</v>
      </c>
      <c r="C294" s="105">
        <f t="shared" ref="C294:I294" si="34">SUM(C284:C293)</f>
        <v>931265.96</v>
      </c>
      <c r="D294" s="105">
        <f t="shared" si="34"/>
        <v>756265.96</v>
      </c>
      <c r="E294" s="105">
        <f t="shared" si="34"/>
        <v>174000</v>
      </c>
      <c r="F294" s="105">
        <f t="shared" si="34"/>
        <v>0</v>
      </c>
      <c r="G294" s="105">
        <f>SUM(G284:G293)</f>
        <v>0</v>
      </c>
      <c r="H294" s="105">
        <f>SUM(H284:H293)</f>
        <v>930265.96</v>
      </c>
      <c r="I294" s="39">
        <f t="shared" si="34"/>
        <v>1000</v>
      </c>
      <c r="J294" s="370"/>
      <c r="K294" s="331"/>
      <c r="L294" s="247"/>
      <c r="M294" s="247"/>
    </row>
    <row r="295" spans="1:13" ht="25.5" customHeight="1" thickTop="1" thickBot="1">
      <c r="A295" s="16"/>
      <c r="B295" s="52" t="s">
        <v>49</v>
      </c>
      <c r="C295" s="229">
        <f t="shared" ref="C295:H295" si="35">+C273+C263+C222+C211+C205++C50+C39+C21+C177+C28+C225+C250+C246+C243+C236</f>
        <v>39183280</v>
      </c>
      <c r="D295" s="229">
        <f>+D273+D263+D222+D211+D205++D50+D39+D21+D177+D28+D225+D250+D246+D243+D236</f>
        <v>8114439.4499999993</v>
      </c>
      <c r="E295" s="229">
        <f t="shared" si="35"/>
        <v>9074602.6699999999</v>
      </c>
      <c r="F295" s="229">
        <f t="shared" si="35"/>
        <v>9600166.6999999993</v>
      </c>
      <c r="G295" s="229">
        <f t="shared" si="35"/>
        <v>2920334.1</v>
      </c>
      <c r="H295" s="229">
        <f t="shared" si="35"/>
        <v>29709542.919999998</v>
      </c>
      <c r="I295" s="51">
        <f>+C295-H295</f>
        <v>9473737.0800000019</v>
      </c>
      <c r="J295" s="243"/>
      <c r="K295" s="331"/>
      <c r="L295" s="247"/>
      <c r="M295" s="247"/>
    </row>
    <row r="296" spans="1:13" ht="25.5" customHeight="1" thickTop="1" thickBot="1">
      <c r="A296" s="16"/>
      <c r="B296" s="41" t="s">
        <v>25</v>
      </c>
      <c r="C296" s="260">
        <f t="shared" ref="C296:H296" si="36">+C294+C282+C277+C273+C263+C225+C222+C211+C177+C50+C28+C21+C39++C205+C250+C246+C243+C236</f>
        <v>40361045.960000001</v>
      </c>
      <c r="D296" s="260">
        <f>+D294+D282+D277+D273+D263+D225+D222+D211+D177+D50+D28+D21+D39++D205+D250+D246+D243+D236</f>
        <v>8890705.4100000001</v>
      </c>
      <c r="E296" s="260">
        <f t="shared" si="36"/>
        <v>9475102.6699999999</v>
      </c>
      <c r="F296" s="260">
        <f t="shared" si="36"/>
        <v>9600166.6999999993</v>
      </c>
      <c r="G296" s="260">
        <f t="shared" si="36"/>
        <v>2920334.1</v>
      </c>
      <c r="H296" s="260">
        <f t="shared" si="36"/>
        <v>30886308.879999999</v>
      </c>
      <c r="I296" s="309">
        <f>+C296-H296</f>
        <v>9474737.0800000019</v>
      </c>
      <c r="J296" s="374"/>
      <c r="K296" s="331"/>
      <c r="L296" s="338"/>
      <c r="M296" s="247"/>
    </row>
    <row r="297" spans="1:13" ht="30" customHeight="1" thickTop="1">
      <c r="B297" s="246" t="s">
        <v>273</v>
      </c>
      <c r="D297" s="64"/>
      <c r="E297" s="64"/>
      <c r="F297" s="64"/>
      <c r="G297" s="64"/>
      <c r="H297" s="64"/>
      <c r="I297" s="575"/>
      <c r="J297" s="243"/>
      <c r="K297" s="331"/>
      <c r="L297" s="247"/>
      <c r="M297" s="247"/>
    </row>
    <row r="298" spans="1:13" ht="17.25" customHeight="1">
      <c r="D298" s="64"/>
      <c r="E298" s="64"/>
      <c r="F298" s="64"/>
      <c r="G298" s="64"/>
      <c r="H298" s="64"/>
      <c r="I298" s="575"/>
      <c r="J298" s="243"/>
      <c r="K298" s="331"/>
      <c r="L298" s="247"/>
      <c r="M298" s="247"/>
    </row>
    <row r="299" spans="1:13" ht="17.25" customHeight="1">
      <c r="D299" s="64"/>
      <c r="E299" s="64"/>
      <c r="F299" s="64"/>
      <c r="G299" s="64"/>
      <c r="H299" s="64"/>
      <c r="I299" s="575"/>
      <c r="J299" s="243"/>
    </row>
    <row r="300" spans="1:13" ht="36.75" customHeight="1">
      <c r="B300" s="253">
        <f>39148280-C295</f>
        <v>-35000</v>
      </c>
      <c r="D300" s="64"/>
      <c r="E300" s="64"/>
      <c r="F300" s="64"/>
      <c r="G300" s="64"/>
      <c r="H300" s="64"/>
      <c r="I300" s="575"/>
    </row>
    <row r="301" spans="1:13" ht="17.25" customHeight="1">
      <c r="D301" s="64"/>
      <c r="E301" s="64"/>
      <c r="F301" s="64"/>
      <c r="G301" s="64"/>
      <c r="H301" s="64"/>
      <c r="I301" s="575"/>
    </row>
    <row r="302" spans="1:13" ht="17.25" customHeight="1">
      <c r="D302" s="64"/>
      <c r="E302" s="64"/>
      <c r="F302" s="64"/>
      <c r="G302" s="64"/>
      <c r="H302" s="64"/>
      <c r="I302" s="575"/>
    </row>
    <row r="303" spans="1:13" ht="17.25" customHeight="1">
      <c r="D303" s="64"/>
      <c r="E303" s="64"/>
      <c r="F303" s="64"/>
      <c r="G303" s="64"/>
      <c r="H303" s="64"/>
      <c r="I303" s="575"/>
    </row>
    <row r="304" spans="1:13" ht="17.25" customHeight="1">
      <c r="D304" s="64"/>
      <c r="E304" s="64"/>
      <c r="F304" s="64"/>
      <c r="G304" s="64"/>
      <c r="H304" s="64"/>
      <c r="I304" s="575"/>
    </row>
    <row r="305" spans="4:9" ht="17.25" customHeight="1">
      <c r="D305" s="64"/>
      <c r="E305" s="64"/>
      <c r="F305" s="64"/>
      <c r="G305" s="64"/>
      <c r="H305" s="64"/>
      <c r="I305" s="575"/>
    </row>
    <row r="306" spans="4:9" ht="17.25" customHeight="1">
      <c r="D306" s="64"/>
      <c r="E306" s="64"/>
      <c r="F306" s="64"/>
      <c r="G306" s="64"/>
      <c r="H306" s="64"/>
      <c r="I306" s="575"/>
    </row>
    <row r="307" spans="4:9" ht="17.25" customHeight="1">
      <c r="D307" s="64"/>
      <c r="E307" s="64"/>
      <c r="F307" s="64"/>
      <c r="G307" s="64"/>
      <c r="H307" s="64"/>
      <c r="I307" s="575"/>
    </row>
    <row r="308" spans="4:9" ht="17.25" customHeight="1">
      <c r="D308" s="64"/>
      <c r="E308" s="64"/>
      <c r="F308" s="64"/>
      <c r="G308" s="64"/>
      <c r="H308" s="64"/>
      <c r="I308" s="575"/>
    </row>
    <row r="309" spans="4:9" ht="17.25" customHeight="1">
      <c r="D309" s="64"/>
      <c r="E309" s="64"/>
      <c r="F309" s="64"/>
      <c r="G309" s="64"/>
      <c r="H309" s="64"/>
      <c r="I309" s="575"/>
    </row>
    <row r="310" spans="4:9" ht="17.25" customHeight="1">
      <c r="D310" s="64"/>
      <c r="E310" s="64"/>
      <c r="F310" s="64"/>
      <c r="G310" s="64"/>
      <c r="H310" s="64"/>
      <c r="I310" s="575"/>
    </row>
    <row r="311" spans="4:9" ht="17.25" customHeight="1">
      <c r="D311" s="64"/>
      <c r="E311" s="64"/>
      <c r="F311" s="64"/>
      <c r="G311" s="64"/>
      <c r="H311" s="64"/>
      <c r="I311" s="575"/>
    </row>
    <row r="312" spans="4:9" ht="17.25" customHeight="1">
      <c r="D312" s="64"/>
      <c r="E312" s="64"/>
      <c r="F312" s="64"/>
      <c r="G312" s="64"/>
      <c r="H312" s="64"/>
      <c r="I312" s="575"/>
    </row>
    <row r="313" spans="4:9" ht="15" customHeight="1">
      <c r="D313" s="64"/>
      <c r="E313" s="64"/>
      <c r="F313" s="64"/>
      <c r="G313" s="64"/>
      <c r="H313" s="64"/>
      <c r="I313" s="575"/>
    </row>
    <row r="314" spans="4:9" ht="15" customHeight="1">
      <c r="D314" s="64"/>
      <c r="E314" s="64"/>
      <c r="F314" s="64"/>
      <c r="G314" s="64"/>
      <c r="H314" s="64"/>
      <c r="I314" s="575"/>
    </row>
    <row r="315" spans="4:9" ht="15" customHeight="1">
      <c r="D315" s="64"/>
      <c r="E315" s="64"/>
      <c r="F315" s="64"/>
      <c r="G315" s="64"/>
      <c r="H315" s="64"/>
      <c r="I315" s="575"/>
    </row>
    <row r="316" spans="4:9" ht="15" customHeight="1">
      <c r="D316" s="64"/>
      <c r="E316" s="64"/>
      <c r="F316" s="64"/>
      <c r="G316" s="64"/>
      <c r="H316" s="64"/>
      <c r="I316" s="575"/>
    </row>
    <row r="317" spans="4:9" ht="15" customHeight="1">
      <c r="D317" s="64"/>
      <c r="E317" s="64"/>
      <c r="F317" s="64"/>
      <c r="G317" s="64"/>
      <c r="H317" s="64"/>
      <c r="I317" s="575"/>
    </row>
    <row r="318" spans="4:9" ht="15" customHeight="1">
      <c r="D318" s="64"/>
      <c r="E318" s="64"/>
      <c r="F318" s="64"/>
      <c r="G318" s="64"/>
      <c r="H318" s="64"/>
      <c r="I318" s="575"/>
    </row>
    <row r="319" spans="4:9" ht="15" customHeight="1">
      <c r="D319" s="64"/>
      <c r="E319" s="64"/>
      <c r="F319" s="64"/>
      <c r="G319" s="64"/>
      <c r="H319" s="64"/>
      <c r="I319" s="575"/>
    </row>
    <row r="320" spans="4:9" ht="15" customHeight="1">
      <c r="D320" s="64"/>
      <c r="E320" s="64"/>
      <c r="F320" s="64"/>
      <c r="G320" s="64"/>
      <c r="H320" s="64"/>
      <c r="I320" s="575"/>
    </row>
    <row r="321" spans="4:9" ht="15" customHeight="1">
      <c r="D321" s="64"/>
      <c r="E321" s="64"/>
      <c r="F321" s="64"/>
      <c r="G321" s="64"/>
      <c r="H321" s="64"/>
      <c r="I321" s="575"/>
    </row>
    <row r="322" spans="4:9" ht="15" customHeight="1">
      <c r="D322" s="64"/>
      <c r="E322" s="64"/>
      <c r="F322" s="64"/>
      <c r="G322" s="64"/>
      <c r="H322" s="64"/>
      <c r="I322" s="575"/>
    </row>
    <row r="323" spans="4:9" ht="15" customHeight="1">
      <c r="D323" s="64"/>
      <c r="E323" s="64"/>
      <c r="F323" s="64"/>
      <c r="G323" s="64"/>
      <c r="H323" s="64"/>
      <c r="I323" s="575"/>
    </row>
    <row r="324" spans="4:9" ht="15" customHeight="1">
      <c r="D324" s="64"/>
      <c r="E324" s="64"/>
      <c r="F324" s="64"/>
      <c r="G324" s="64"/>
      <c r="H324" s="64"/>
      <c r="I324" s="575"/>
    </row>
    <row r="325" spans="4:9" ht="15" customHeight="1">
      <c r="D325" s="64"/>
      <c r="E325" s="64"/>
      <c r="F325" s="64"/>
      <c r="G325" s="64"/>
      <c r="H325" s="64"/>
      <c r="I325" s="575"/>
    </row>
    <row r="326" spans="4:9" ht="15" customHeight="1">
      <c r="D326" s="64"/>
      <c r="E326" s="64"/>
      <c r="F326" s="64"/>
      <c r="G326" s="64"/>
      <c r="H326" s="64"/>
      <c r="I326" s="575"/>
    </row>
    <row r="327" spans="4:9" ht="15" customHeight="1">
      <c r="D327" s="64"/>
      <c r="E327" s="64"/>
      <c r="F327" s="64"/>
      <c r="G327" s="64"/>
      <c r="H327" s="64"/>
      <c r="I327" s="575"/>
    </row>
    <row r="328" spans="4:9" ht="15" customHeight="1">
      <c r="D328" s="64"/>
      <c r="E328" s="64"/>
      <c r="F328" s="64"/>
      <c r="G328" s="64"/>
      <c r="H328" s="64"/>
      <c r="I328" s="575"/>
    </row>
    <row r="329" spans="4:9" ht="15" customHeight="1">
      <c r="D329" s="64"/>
      <c r="E329" s="64"/>
      <c r="F329" s="64"/>
      <c r="G329" s="64"/>
      <c r="H329" s="64"/>
      <c r="I329" s="575"/>
    </row>
    <row r="330" spans="4:9" ht="15" customHeight="1">
      <c r="D330" s="64"/>
      <c r="E330" s="64"/>
      <c r="F330" s="64"/>
      <c r="G330" s="64"/>
      <c r="H330" s="64"/>
      <c r="I330" s="575"/>
    </row>
    <row r="331" spans="4:9" ht="15" customHeight="1">
      <c r="D331" s="64"/>
      <c r="E331" s="64"/>
      <c r="F331" s="64"/>
      <c r="G331" s="64"/>
      <c r="H331" s="64"/>
      <c r="I331" s="575"/>
    </row>
    <row r="332" spans="4:9" ht="15" customHeight="1">
      <c r="D332" s="64"/>
      <c r="E332" s="64"/>
      <c r="F332" s="64"/>
      <c r="G332" s="64"/>
      <c r="H332" s="64"/>
      <c r="I332" s="575"/>
    </row>
    <row r="333" spans="4:9" ht="15" customHeight="1">
      <c r="D333" s="64"/>
      <c r="E333" s="64"/>
      <c r="F333" s="64"/>
      <c r="G333" s="64"/>
      <c r="H333" s="64"/>
      <c r="I333" s="575"/>
    </row>
    <row r="334" spans="4:9" ht="15" customHeight="1">
      <c r="D334" s="64"/>
      <c r="E334" s="64"/>
      <c r="F334" s="64"/>
      <c r="G334" s="64"/>
      <c r="H334" s="64"/>
      <c r="I334" s="575"/>
    </row>
    <row r="335" spans="4:9" ht="15" customHeight="1">
      <c r="D335" s="64"/>
      <c r="E335" s="64"/>
      <c r="F335" s="64"/>
      <c r="G335" s="64"/>
      <c r="H335" s="64"/>
      <c r="I335" s="575"/>
    </row>
    <row r="336" spans="4:9" ht="15" customHeight="1">
      <c r="D336" s="64"/>
      <c r="E336" s="64"/>
      <c r="F336" s="64"/>
      <c r="G336" s="64"/>
      <c r="H336" s="64"/>
      <c r="I336" s="575"/>
    </row>
    <row r="337" spans="4:9" ht="15" customHeight="1">
      <c r="D337" s="64"/>
      <c r="E337" s="64"/>
      <c r="F337" s="64"/>
      <c r="G337" s="64"/>
      <c r="H337" s="64"/>
      <c r="I337" s="575"/>
    </row>
    <row r="338" spans="4:9" ht="15" customHeight="1">
      <c r="D338" s="64"/>
      <c r="E338" s="64"/>
      <c r="F338" s="64"/>
      <c r="G338" s="64"/>
      <c r="H338" s="64"/>
      <c r="I338" s="575"/>
    </row>
    <row r="339" spans="4:9" ht="15" customHeight="1">
      <c r="D339" s="64"/>
      <c r="E339" s="64"/>
      <c r="F339" s="64"/>
      <c r="G339" s="64"/>
      <c r="H339" s="64"/>
      <c r="I339" s="575"/>
    </row>
    <row r="340" spans="4:9" ht="15" customHeight="1">
      <c r="D340" s="64"/>
      <c r="E340" s="64"/>
      <c r="F340" s="64"/>
      <c r="G340" s="64"/>
      <c r="H340" s="64"/>
      <c r="I340" s="575"/>
    </row>
    <row r="341" spans="4:9" ht="15" customHeight="1">
      <c r="D341" s="64"/>
      <c r="E341" s="64"/>
      <c r="F341" s="64"/>
      <c r="G341" s="64"/>
      <c r="H341" s="64"/>
      <c r="I341" s="575"/>
    </row>
    <row r="342" spans="4:9" ht="15" customHeight="1">
      <c r="D342" s="64"/>
      <c r="E342" s="64"/>
      <c r="F342" s="64"/>
      <c r="G342" s="64"/>
      <c r="H342" s="64"/>
      <c r="I342" s="575"/>
    </row>
    <row r="343" spans="4:9" ht="15" customHeight="1">
      <c r="D343" s="64"/>
      <c r="E343" s="64"/>
      <c r="F343" s="64"/>
      <c r="G343" s="64"/>
      <c r="H343" s="64"/>
      <c r="I343" s="575"/>
    </row>
    <row r="344" spans="4:9" ht="15" customHeight="1">
      <c r="D344" s="64"/>
      <c r="E344" s="64"/>
      <c r="F344" s="64"/>
      <c r="G344" s="64"/>
      <c r="H344" s="64"/>
      <c r="I344" s="575"/>
    </row>
    <row r="345" spans="4:9" ht="15" customHeight="1">
      <c r="D345" s="64"/>
      <c r="E345" s="64"/>
      <c r="F345" s="64"/>
      <c r="G345" s="64"/>
      <c r="H345" s="64"/>
      <c r="I345" s="575"/>
    </row>
    <row r="346" spans="4:9" ht="15" customHeight="1">
      <c r="D346" s="64"/>
      <c r="E346" s="64"/>
      <c r="F346" s="64"/>
      <c r="G346" s="64"/>
      <c r="H346" s="64"/>
      <c r="I346" s="575"/>
    </row>
    <row r="347" spans="4:9" ht="15" customHeight="1">
      <c r="D347" s="64"/>
      <c r="E347" s="64"/>
      <c r="F347" s="64"/>
      <c r="G347" s="64"/>
      <c r="H347" s="64"/>
      <c r="I347" s="575"/>
    </row>
    <row r="348" spans="4:9" ht="15" customHeight="1">
      <c r="D348" s="64"/>
      <c r="E348" s="64"/>
      <c r="F348" s="64"/>
      <c r="G348" s="64"/>
      <c r="H348" s="64"/>
      <c r="I348" s="575"/>
    </row>
    <row r="349" spans="4:9" ht="15" customHeight="1">
      <c r="D349" s="64"/>
      <c r="E349" s="64"/>
      <c r="F349" s="64"/>
      <c r="G349" s="64"/>
      <c r="H349" s="64"/>
      <c r="I349" s="575"/>
    </row>
    <row r="350" spans="4:9" ht="15" customHeight="1">
      <c r="D350" s="64"/>
      <c r="E350" s="64"/>
      <c r="F350" s="64"/>
      <c r="G350" s="64"/>
      <c r="H350" s="64"/>
      <c r="I350" s="575"/>
    </row>
    <row r="351" spans="4:9" ht="15" customHeight="1">
      <c r="D351" s="64"/>
      <c r="E351" s="64"/>
      <c r="F351" s="64"/>
      <c r="G351" s="64"/>
      <c r="H351" s="64"/>
      <c r="I351" s="575"/>
    </row>
    <row r="352" spans="4:9" ht="15" customHeight="1">
      <c r="D352" s="64"/>
      <c r="E352" s="64"/>
      <c r="F352" s="64"/>
      <c r="G352" s="64"/>
      <c r="H352" s="64"/>
      <c r="I352" s="575"/>
    </row>
    <row r="353" spans="4:9" ht="15" customHeight="1">
      <c r="D353" s="64"/>
      <c r="E353" s="64"/>
      <c r="F353" s="64"/>
      <c r="G353" s="64"/>
      <c r="H353" s="64"/>
      <c r="I353" s="575"/>
    </row>
    <row r="354" spans="4:9" ht="15" customHeight="1">
      <c r="D354" s="64"/>
      <c r="E354" s="64"/>
      <c r="F354" s="64"/>
      <c r="G354" s="64"/>
      <c r="H354" s="64"/>
      <c r="I354" s="575"/>
    </row>
    <row r="355" spans="4:9" ht="15" customHeight="1">
      <c r="D355" s="64"/>
      <c r="E355" s="64"/>
      <c r="F355" s="64"/>
      <c r="G355" s="64"/>
      <c r="H355" s="64"/>
      <c r="I355" s="575"/>
    </row>
    <row r="356" spans="4:9" ht="15" customHeight="1">
      <c r="D356" s="64"/>
      <c r="E356" s="64"/>
      <c r="F356" s="64"/>
      <c r="G356" s="64"/>
      <c r="H356" s="64"/>
      <c r="I356" s="575"/>
    </row>
    <row r="357" spans="4:9" ht="15" customHeight="1">
      <c r="D357" s="64"/>
      <c r="E357" s="64"/>
      <c r="F357" s="64"/>
      <c r="G357" s="64"/>
      <c r="H357" s="64"/>
      <c r="I357" s="575"/>
    </row>
    <row r="358" spans="4:9" ht="15" customHeight="1">
      <c r="D358" s="64"/>
      <c r="E358" s="64"/>
      <c r="F358" s="64"/>
      <c r="G358" s="64"/>
      <c r="H358" s="64"/>
      <c r="I358" s="575"/>
    </row>
    <row r="359" spans="4:9" ht="15" customHeight="1">
      <c r="D359" s="64"/>
      <c r="E359" s="64"/>
      <c r="F359" s="64"/>
      <c r="G359" s="64"/>
      <c r="H359" s="64"/>
      <c r="I359" s="575"/>
    </row>
    <row r="360" spans="4:9" ht="15" customHeight="1">
      <c r="D360" s="64"/>
      <c r="E360" s="64"/>
      <c r="F360" s="64"/>
      <c r="G360" s="64"/>
      <c r="H360" s="64"/>
      <c r="I360" s="575"/>
    </row>
    <row r="361" spans="4:9" ht="15" customHeight="1">
      <c r="D361" s="64"/>
      <c r="E361" s="64"/>
      <c r="F361" s="64"/>
      <c r="G361" s="64"/>
      <c r="H361" s="64"/>
      <c r="I361" s="575"/>
    </row>
    <row r="362" spans="4:9" ht="15" customHeight="1">
      <c r="D362" s="64"/>
      <c r="E362" s="64"/>
      <c r="F362" s="64"/>
      <c r="G362" s="64"/>
      <c r="H362" s="64"/>
      <c r="I362" s="575"/>
    </row>
    <row r="363" spans="4:9" ht="15" customHeight="1">
      <c r="D363" s="64"/>
      <c r="E363" s="64"/>
      <c r="F363" s="64"/>
      <c r="G363" s="64"/>
      <c r="H363" s="64"/>
      <c r="I363" s="575"/>
    </row>
    <row r="364" spans="4:9" ht="15" customHeight="1">
      <c r="D364" s="64"/>
      <c r="E364" s="64"/>
      <c r="F364" s="64"/>
      <c r="G364" s="64"/>
      <c r="H364" s="64"/>
      <c r="I364" s="575"/>
    </row>
    <row r="365" spans="4:9" ht="15" customHeight="1">
      <c r="D365" s="64"/>
      <c r="E365" s="64"/>
      <c r="F365" s="64"/>
      <c r="G365" s="64"/>
      <c r="H365" s="64"/>
      <c r="I365" s="575"/>
    </row>
    <row r="366" spans="4:9" ht="15" customHeight="1">
      <c r="D366" s="64"/>
      <c r="E366" s="64"/>
      <c r="F366" s="64"/>
      <c r="G366" s="64"/>
      <c r="H366" s="64"/>
      <c r="I366" s="575"/>
    </row>
    <row r="367" spans="4:9" ht="15" customHeight="1">
      <c r="D367" s="64"/>
      <c r="E367" s="64"/>
      <c r="F367" s="64"/>
      <c r="G367" s="64"/>
      <c r="H367" s="64"/>
      <c r="I367" s="575"/>
    </row>
    <row r="368" spans="4:9" ht="15" customHeight="1">
      <c r="D368" s="64"/>
      <c r="E368" s="64"/>
      <c r="F368" s="64"/>
      <c r="G368" s="64"/>
      <c r="H368" s="64"/>
      <c r="I368" s="575"/>
    </row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</sheetData>
  <mergeCells count="15">
    <mergeCell ref="D5:D6"/>
    <mergeCell ref="E5:E6"/>
    <mergeCell ref="F5:F6"/>
    <mergeCell ref="G5:G6"/>
    <mergeCell ref="H5:H8"/>
    <mergeCell ref="I5:I8"/>
    <mergeCell ref="D7:D8"/>
    <mergeCell ref="E7:E8"/>
    <mergeCell ref="F7:F8"/>
    <mergeCell ref="G7:G8"/>
    <mergeCell ref="A1:I1"/>
    <mergeCell ref="A2:I2"/>
    <mergeCell ref="A3:I3"/>
    <mergeCell ref="A5:B8"/>
    <mergeCell ref="C5:C8"/>
  </mergeCells>
  <pageMargins left="0.17" right="0.12" top="0.19685039370078741" bottom="0.23622047244094491" header="0.19685039370078741" footer="0.1574803149606299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N446"/>
  <sheetViews>
    <sheetView workbookViewId="0">
      <pane ySplit="8" topLeftCell="A195" activePane="bottomLeft" state="frozen"/>
      <selection activeCell="J212" sqref="J212"/>
      <selection pane="bottomLeft" activeCell="J210" sqref="J210"/>
    </sheetView>
  </sheetViews>
  <sheetFormatPr defaultRowHeight="26.25"/>
  <cols>
    <col min="1" max="1" width="1.5703125" customWidth="1"/>
    <col min="2" max="2" width="27.28515625" customWidth="1"/>
    <col min="3" max="3" width="11" style="182" customWidth="1"/>
    <col min="4" max="4" width="10.140625" style="63" customWidth="1"/>
    <col min="5" max="6" width="10.28515625" style="63" customWidth="1"/>
    <col min="7" max="7" width="11.140625" style="63" customWidth="1"/>
    <col min="8" max="8" width="10.42578125" style="63" customWidth="1"/>
    <col min="9" max="9" width="10.85546875" style="194" customWidth="1"/>
    <col min="10" max="10" width="23.140625" style="233" customWidth="1"/>
    <col min="11" max="11" width="13.5703125" style="329" customWidth="1"/>
    <col min="12" max="12" width="18.28515625" style="330" customWidth="1"/>
    <col min="13" max="13" width="12.85546875" style="330" bestFit="1" customWidth="1"/>
  </cols>
  <sheetData>
    <row r="1" spans="1:13" s="1" customFormat="1" ht="21.75" customHeight="1">
      <c r="A1" s="652" t="s">
        <v>274</v>
      </c>
      <c r="B1" s="652"/>
      <c r="C1" s="652"/>
      <c r="D1" s="652"/>
      <c r="E1" s="652"/>
      <c r="F1" s="652"/>
      <c r="G1" s="652"/>
      <c r="H1" s="652"/>
      <c r="I1" s="652"/>
      <c r="J1" s="245"/>
      <c r="K1" s="329"/>
      <c r="L1" s="330"/>
      <c r="M1" s="247"/>
    </row>
    <row r="2" spans="1:13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245"/>
      <c r="K2" s="331"/>
      <c r="L2" s="247"/>
      <c r="M2" s="247"/>
    </row>
    <row r="3" spans="1:13" s="1" customFormat="1" ht="21.75" customHeight="1">
      <c r="A3" s="653" t="s">
        <v>428</v>
      </c>
      <c r="B3" s="653"/>
      <c r="C3" s="653"/>
      <c r="D3" s="653"/>
      <c r="E3" s="653"/>
      <c r="F3" s="653"/>
      <c r="G3" s="653"/>
      <c r="H3" s="653"/>
      <c r="I3" s="653"/>
      <c r="J3" s="245"/>
      <c r="K3" s="331"/>
      <c r="L3" s="332"/>
      <c r="M3" s="247"/>
    </row>
    <row r="4" spans="1:13" s="34" customFormat="1" ht="5.25" customHeight="1">
      <c r="C4" s="249"/>
      <c r="D4" s="175"/>
      <c r="E4" s="175"/>
      <c r="F4" s="175"/>
      <c r="G4" s="175"/>
      <c r="H4" s="175"/>
      <c r="I4" s="188"/>
      <c r="J4" s="243"/>
      <c r="K4" s="333"/>
      <c r="L4" s="334"/>
      <c r="M4" s="334"/>
    </row>
    <row r="5" spans="1:13" s="2" customFormat="1" ht="21.75" customHeight="1">
      <c r="A5" s="683" t="s">
        <v>1</v>
      </c>
      <c r="B5" s="684"/>
      <c r="C5" s="689" t="s">
        <v>2</v>
      </c>
      <c r="D5" s="722" t="s">
        <v>54</v>
      </c>
      <c r="E5" s="722" t="s">
        <v>55</v>
      </c>
      <c r="F5" s="722" t="s">
        <v>56</v>
      </c>
      <c r="G5" s="722" t="s">
        <v>57</v>
      </c>
      <c r="H5" s="723" t="s">
        <v>58</v>
      </c>
      <c r="I5" s="707" t="s">
        <v>59</v>
      </c>
      <c r="J5" s="247"/>
      <c r="K5" s="329"/>
      <c r="L5" s="330"/>
      <c r="M5" s="330"/>
    </row>
    <row r="6" spans="1:13" s="2" customFormat="1" ht="21.75" customHeight="1">
      <c r="A6" s="685"/>
      <c r="B6" s="686"/>
      <c r="C6" s="690"/>
      <c r="D6" s="682"/>
      <c r="E6" s="682"/>
      <c r="F6" s="682"/>
      <c r="G6" s="682"/>
      <c r="H6" s="724"/>
      <c r="I6" s="719"/>
      <c r="J6" s="245"/>
      <c r="K6" s="329"/>
      <c r="L6" s="330"/>
      <c r="M6" s="330"/>
    </row>
    <row r="7" spans="1:13" s="2" customFormat="1" ht="21.75" customHeight="1">
      <c r="A7" s="685"/>
      <c r="B7" s="686"/>
      <c r="C7" s="690"/>
      <c r="D7" s="720" t="s">
        <v>275</v>
      </c>
      <c r="E7" s="720" t="s">
        <v>418</v>
      </c>
      <c r="F7" s="720"/>
      <c r="G7" s="720"/>
      <c r="H7" s="724"/>
      <c r="I7" s="719"/>
      <c r="J7" s="245"/>
      <c r="K7" s="329"/>
      <c r="L7" s="330"/>
      <c r="M7" s="330"/>
    </row>
    <row r="8" spans="1:13" s="2" customFormat="1" ht="12" customHeight="1">
      <c r="A8" s="687"/>
      <c r="B8" s="688"/>
      <c r="C8" s="691"/>
      <c r="D8" s="721"/>
      <c r="E8" s="721"/>
      <c r="F8" s="721"/>
      <c r="G8" s="721"/>
      <c r="H8" s="725"/>
      <c r="I8" s="708"/>
      <c r="J8" s="245"/>
      <c r="K8" s="331"/>
      <c r="L8" s="247"/>
      <c r="M8" s="330"/>
    </row>
    <row r="9" spans="1:13" ht="21.75" customHeight="1">
      <c r="A9" s="3" t="s">
        <v>3</v>
      </c>
      <c r="B9" s="4"/>
      <c r="C9" s="287"/>
      <c r="D9" s="176"/>
      <c r="E9" s="176"/>
      <c r="F9" s="176"/>
      <c r="G9" s="176"/>
      <c r="H9" s="176"/>
      <c r="I9" s="206"/>
      <c r="K9" s="331"/>
      <c r="L9" s="247"/>
      <c r="M9" s="247"/>
    </row>
    <row r="10" spans="1:13" ht="21.75" customHeight="1">
      <c r="A10" s="5"/>
      <c r="B10" s="130" t="s">
        <v>4</v>
      </c>
      <c r="C10" s="216">
        <v>130062</v>
      </c>
      <c r="D10" s="177">
        <f>+'ต.ค.-ธ.ค.'!D10</f>
        <v>18508</v>
      </c>
      <c r="E10" s="177">
        <f>+'ม.ค.-มี.ค.'!D10</f>
        <v>34990</v>
      </c>
      <c r="F10" s="177">
        <f>+'ต.ค.-มิ.ย. 61'!D10</f>
        <v>92240</v>
      </c>
      <c r="G10" s="177"/>
      <c r="H10" s="177">
        <f>SUM(D10:G10)</f>
        <v>145738</v>
      </c>
      <c r="I10" s="207">
        <f t="shared" ref="I10:I19" si="0">+C10-H10</f>
        <v>-15676</v>
      </c>
      <c r="K10" s="331"/>
      <c r="L10" s="247"/>
      <c r="M10" s="247"/>
    </row>
    <row r="11" spans="1:13" ht="21.75" customHeight="1">
      <c r="A11" s="5"/>
      <c r="B11" s="130" t="s">
        <v>221</v>
      </c>
      <c r="C11" s="216">
        <v>13680</v>
      </c>
      <c r="D11" s="177">
        <f>+'ต.ค.-ธ.ค.'!D11</f>
        <v>2280</v>
      </c>
      <c r="E11" s="177">
        <f>+'ม.ค.-มี.ค.'!D11</f>
        <v>3420</v>
      </c>
      <c r="F11" s="177">
        <f>+'ต.ค.-มิ.ย. 61'!D11</f>
        <v>9120</v>
      </c>
      <c r="G11" s="177"/>
      <c r="H11" s="177">
        <f t="shared" ref="H11:H17" si="1">SUM(D11:G11)</f>
        <v>14820</v>
      </c>
      <c r="I11" s="208">
        <f t="shared" si="0"/>
        <v>-1140</v>
      </c>
      <c r="K11" s="377"/>
      <c r="L11" s="247"/>
      <c r="M11" s="247"/>
    </row>
    <row r="12" spans="1:13" s="221" customFormat="1" ht="21.75" customHeight="1">
      <c r="A12" s="20"/>
      <c r="B12" s="130" t="s">
        <v>45</v>
      </c>
      <c r="C12" s="31">
        <v>6548400</v>
      </c>
      <c r="D12" s="177">
        <f>+'ต.ค.-ธ.ค.'!D12</f>
        <v>1601200</v>
      </c>
      <c r="E12" s="177">
        <f>+'ม.ค.-มี.ค.'!D12</f>
        <v>1591700</v>
      </c>
      <c r="F12" s="177">
        <f>+'ต.ค.-มิ.ย. 61'!D12</f>
        <v>4775500</v>
      </c>
      <c r="G12" s="230"/>
      <c r="H12" s="230">
        <f>SUM(D12:G12)</f>
        <v>7968400</v>
      </c>
      <c r="I12" s="230">
        <f t="shared" si="0"/>
        <v>-1420000</v>
      </c>
      <c r="J12" s="233"/>
      <c r="K12" s="377"/>
      <c r="L12" s="247"/>
      <c r="M12" s="247"/>
    </row>
    <row r="13" spans="1:13" ht="21.75" customHeight="1">
      <c r="A13" s="8"/>
      <c r="B13" s="130" t="s">
        <v>75</v>
      </c>
      <c r="C13" s="216">
        <v>18000</v>
      </c>
      <c r="D13" s="177">
        <f>+'ต.ค.-ธ.ค.'!D13</f>
        <v>4500</v>
      </c>
      <c r="E13" s="177">
        <f>+'ม.ค.-มี.ค.'!D13</f>
        <v>4500</v>
      </c>
      <c r="F13" s="177">
        <f>+'ต.ค.-มิ.ย. 61'!D13</f>
        <v>13500</v>
      </c>
      <c r="G13" s="177"/>
      <c r="H13" s="177">
        <f t="shared" si="1"/>
        <v>22500</v>
      </c>
      <c r="I13" s="208">
        <f t="shared" si="0"/>
        <v>-4500</v>
      </c>
      <c r="K13" s="377"/>
      <c r="L13" s="247"/>
      <c r="M13" s="247"/>
    </row>
    <row r="14" spans="1:13" ht="21.75" customHeight="1">
      <c r="A14" s="8"/>
      <c r="B14" s="130" t="s">
        <v>222</v>
      </c>
      <c r="C14" s="216">
        <v>2620800</v>
      </c>
      <c r="D14" s="177">
        <f>+'ต.ค.-ธ.ค.'!D14</f>
        <v>590400</v>
      </c>
      <c r="E14" s="177">
        <f>+'ม.ค.-มี.ค.'!D14</f>
        <v>595200</v>
      </c>
      <c r="F14" s="177">
        <f>+'ต.ค.-มิ.ย. 61'!D14</f>
        <v>1781600</v>
      </c>
      <c r="G14" s="177"/>
      <c r="H14" s="177">
        <f t="shared" si="1"/>
        <v>2967200</v>
      </c>
      <c r="I14" s="208">
        <f t="shared" si="0"/>
        <v>-346400</v>
      </c>
      <c r="K14" s="377"/>
      <c r="L14" s="247"/>
      <c r="M14" s="247"/>
    </row>
    <row r="15" spans="1:13" ht="21.75" customHeight="1">
      <c r="A15" s="9"/>
      <c r="B15" s="130" t="s">
        <v>209</v>
      </c>
      <c r="C15" s="216">
        <v>151291</v>
      </c>
      <c r="D15" s="177">
        <f>+'ต.ค.-ธ.ค.'!D15</f>
        <v>0</v>
      </c>
      <c r="E15" s="177">
        <f>+'ม.ค.-มี.ค.'!D15</f>
        <v>150410</v>
      </c>
      <c r="F15" s="177">
        <f>+'ต.ค.-มิ.ย. 61'!D15</f>
        <v>150410</v>
      </c>
      <c r="G15" s="177"/>
      <c r="H15" s="177">
        <f t="shared" si="1"/>
        <v>300820</v>
      </c>
      <c r="I15" s="208">
        <f t="shared" si="0"/>
        <v>-149529</v>
      </c>
      <c r="K15" s="377"/>
      <c r="L15" s="247"/>
      <c r="M15" s="247"/>
    </row>
    <row r="16" spans="1:13" s="172" customFormat="1" ht="21.75" customHeight="1">
      <c r="A16" s="9"/>
      <c r="B16" s="130" t="s">
        <v>77</v>
      </c>
      <c r="C16" s="216">
        <v>29000</v>
      </c>
      <c r="D16" s="177">
        <f>+'ต.ค.-ธ.ค.'!D16</f>
        <v>28939.279999999999</v>
      </c>
      <c r="E16" s="177">
        <f>+'ม.ค.-มี.ค.'!D16</f>
        <v>0</v>
      </c>
      <c r="F16" s="177">
        <f>+'ต.ค.-มิ.ย. 61'!D16</f>
        <v>28939.279999999999</v>
      </c>
      <c r="G16" s="199"/>
      <c r="H16" s="177">
        <f t="shared" si="1"/>
        <v>57878.559999999998</v>
      </c>
      <c r="I16" s="208">
        <f t="shared" si="0"/>
        <v>-28878.559999999998</v>
      </c>
      <c r="J16" s="233"/>
      <c r="K16" s="377"/>
      <c r="L16" s="247"/>
      <c r="M16" s="247"/>
    </row>
    <row r="17" spans="1:13" ht="21.75" customHeight="1">
      <c r="A17" s="9"/>
      <c r="B17" s="130" t="s">
        <v>78</v>
      </c>
      <c r="C17" s="216">
        <v>216399</v>
      </c>
      <c r="D17" s="177">
        <f>+'ต.ค.-ธ.ค.'!D17</f>
        <v>0</v>
      </c>
      <c r="E17" s="177">
        <f>+'ม.ค.-มี.ค.'!D17</f>
        <v>0</v>
      </c>
      <c r="F17" s="177">
        <f>+'ต.ค.-มิ.ย. 61'!D17</f>
        <v>216399</v>
      </c>
      <c r="G17" s="180"/>
      <c r="H17" s="177">
        <f t="shared" si="1"/>
        <v>216399</v>
      </c>
      <c r="I17" s="208">
        <f t="shared" si="0"/>
        <v>0</v>
      </c>
      <c r="K17" s="331"/>
      <c r="L17" s="247"/>
      <c r="M17" s="247"/>
    </row>
    <row r="18" spans="1:13" ht="21.75" customHeight="1">
      <c r="A18" s="9"/>
      <c r="B18" s="6" t="s">
        <v>220</v>
      </c>
      <c r="C18" s="285">
        <v>15000</v>
      </c>
      <c r="D18" s="177">
        <f>+'ต.ค.-ธ.ค.'!D18</f>
        <v>15000</v>
      </c>
      <c r="E18" s="177">
        <f>+'ม.ค.-มี.ค.'!D18</f>
        <v>0</v>
      </c>
      <c r="F18" s="177">
        <f>+'ต.ค.-มิ.ย. 61'!D18</f>
        <v>15000</v>
      </c>
      <c r="G18" s="180"/>
      <c r="H18" s="177">
        <f>SUM(D18:G18)</f>
        <v>30000</v>
      </c>
      <c r="I18" s="208">
        <f t="shared" si="0"/>
        <v>-15000</v>
      </c>
      <c r="K18" s="331"/>
      <c r="L18" s="247"/>
      <c r="M18" s="247"/>
    </row>
    <row r="19" spans="1:13" ht="21.75" customHeight="1">
      <c r="A19" s="9"/>
      <c r="B19" s="228" t="s">
        <v>81</v>
      </c>
      <c r="C19" s="285">
        <f>344150-20000</f>
        <v>324150</v>
      </c>
      <c r="D19" s="177">
        <f>+'ต.ค.-ธ.ค.'!D19</f>
        <v>323840</v>
      </c>
      <c r="E19" s="177">
        <f>+'ม.ค.-มี.ค.'!D19</f>
        <v>0</v>
      </c>
      <c r="F19" s="177">
        <f>+'ต.ค.-มิ.ย. 61'!D19</f>
        <v>344150</v>
      </c>
      <c r="G19" s="177"/>
      <c r="H19" s="177">
        <f>SUM(D19:G19)</f>
        <v>667990</v>
      </c>
      <c r="I19" s="208">
        <f t="shared" si="0"/>
        <v>-343840</v>
      </c>
    </row>
    <row r="20" spans="1:13" ht="21.75" customHeight="1">
      <c r="A20" s="9"/>
      <c r="B20" s="198" t="s">
        <v>424</v>
      </c>
      <c r="C20" s="290">
        <v>70650</v>
      </c>
      <c r="D20" s="222"/>
      <c r="E20" s="222"/>
      <c r="F20" s="177">
        <f>+'ต.ค.-มิ.ย. 61'!D20</f>
        <v>70650</v>
      </c>
      <c r="G20" s="222"/>
      <c r="H20" s="177">
        <f>SUM(D20:G20)</f>
        <v>70650</v>
      </c>
      <c r="I20" s="208">
        <f>+C20-H20</f>
        <v>0</v>
      </c>
    </row>
    <row r="21" spans="1:13" s="221" customFormat="1" ht="21.75" customHeight="1" thickBot="1">
      <c r="A21" s="13"/>
      <c r="B21" s="14" t="s">
        <v>5</v>
      </c>
      <c r="C21" s="170">
        <f>SUM(C10:C20)</f>
        <v>10137432</v>
      </c>
      <c r="D21" s="26">
        <f t="shared" ref="D21:I21" si="2">SUM(D10:D20)</f>
        <v>2584667.2799999998</v>
      </c>
      <c r="E21" s="26">
        <f t="shared" si="2"/>
        <v>2380220</v>
      </c>
      <c r="F21" s="26">
        <f t="shared" si="2"/>
        <v>7497508.2800000003</v>
      </c>
      <c r="G21" s="26">
        <f t="shared" si="2"/>
        <v>0</v>
      </c>
      <c r="H21" s="26">
        <f t="shared" si="2"/>
        <v>12462395.560000001</v>
      </c>
      <c r="I21" s="139">
        <f t="shared" si="2"/>
        <v>-2324963.56</v>
      </c>
      <c r="J21" s="233"/>
      <c r="K21" s="329"/>
      <c r="L21" s="330"/>
      <c r="M21" s="330"/>
    </row>
    <row r="22" spans="1:13" ht="21.75" customHeight="1" thickTop="1">
      <c r="A22" s="5" t="s">
        <v>82</v>
      </c>
      <c r="B22" s="6"/>
      <c r="C22" s="190"/>
      <c r="D22" s="177"/>
      <c r="E22" s="177"/>
      <c r="F22" s="177"/>
      <c r="G22" s="177"/>
      <c r="H22" s="177"/>
      <c r="I22" s="208">
        <f t="shared" ref="I22:I27" si="3">+C22-H22</f>
        <v>0</v>
      </c>
    </row>
    <row r="23" spans="1:13" ht="21.75" customHeight="1">
      <c r="A23" s="9"/>
      <c r="B23" s="130" t="s">
        <v>6</v>
      </c>
      <c r="C23" s="216">
        <v>695520</v>
      </c>
      <c r="D23" s="177">
        <f>+'ต.ค.-ธ.ค.'!E23</f>
        <v>173880</v>
      </c>
      <c r="E23" s="177">
        <f>+'ม.ค.-มี.ค.'!E23</f>
        <v>173880</v>
      </c>
      <c r="F23" s="177">
        <f>+'ต.ค.-มิ.ย. 61'!E23</f>
        <v>510377</v>
      </c>
      <c r="G23" s="177"/>
      <c r="H23" s="177">
        <f>SUM(D23:G23)</f>
        <v>858137</v>
      </c>
      <c r="I23" s="208">
        <f t="shared" si="3"/>
        <v>-162617</v>
      </c>
    </row>
    <row r="24" spans="1:13" ht="21.75" customHeight="1">
      <c r="A24" s="9"/>
      <c r="B24" s="130" t="s">
        <v>83</v>
      </c>
      <c r="C24" s="216">
        <v>120000</v>
      </c>
      <c r="D24" s="177">
        <f>+'ต.ค.-ธ.ค.'!E24</f>
        <v>30000</v>
      </c>
      <c r="E24" s="177">
        <f>+'ม.ค.-มี.ค.'!E24</f>
        <v>30000</v>
      </c>
      <c r="F24" s="177">
        <f>+'ต.ค.-มิ.ย. 61'!E24</f>
        <v>87774</v>
      </c>
      <c r="G24" s="177"/>
      <c r="H24" s="177">
        <f>SUM(D24:G24)</f>
        <v>147774</v>
      </c>
      <c r="I24" s="208">
        <f t="shared" si="3"/>
        <v>-27774</v>
      </c>
    </row>
    <row r="25" spans="1:13" s="172" customFormat="1" ht="21.75" customHeight="1">
      <c r="A25" s="9"/>
      <c r="B25" s="130" t="s">
        <v>84</v>
      </c>
      <c r="C25" s="216">
        <v>120000</v>
      </c>
      <c r="D25" s="177">
        <f>+'ต.ค.-ธ.ค.'!E25</f>
        <v>30000</v>
      </c>
      <c r="E25" s="177">
        <f>+'ม.ค.-มี.ค.'!E25</f>
        <v>30000</v>
      </c>
      <c r="F25" s="177">
        <f>+'ต.ค.-มิ.ย. 61'!E25</f>
        <v>87774</v>
      </c>
      <c r="G25" s="199"/>
      <c r="H25" s="177">
        <f>SUM(D25:G25)</f>
        <v>147774</v>
      </c>
      <c r="I25" s="208">
        <f t="shared" si="3"/>
        <v>-27774</v>
      </c>
      <c r="J25" s="233"/>
      <c r="K25" s="329"/>
      <c r="L25" s="330"/>
      <c r="M25" s="330"/>
    </row>
    <row r="26" spans="1:13" ht="21.75" customHeight="1">
      <c r="A26" s="9"/>
      <c r="B26" s="130" t="s">
        <v>85</v>
      </c>
      <c r="C26" s="216">
        <v>198720</v>
      </c>
      <c r="D26" s="177">
        <f>+'ต.ค.-ธ.ค.'!E26</f>
        <v>49680</v>
      </c>
      <c r="E26" s="177">
        <f>+'ม.ค.-มี.ค.'!E26</f>
        <v>49680</v>
      </c>
      <c r="F26" s="177">
        <f>+'ต.ค.-มิ.ย. 61'!E26</f>
        <v>149040</v>
      </c>
      <c r="G26" s="180"/>
      <c r="H26" s="177">
        <f>SUM(D26:G26)</f>
        <v>248400</v>
      </c>
      <c r="I26" s="208">
        <f t="shared" si="3"/>
        <v>-49680</v>
      </c>
    </row>
    <row r="27" spans="1:13" ht="21.75" customHeight="1">
      <c r="A27" s="9"/>
      <c r="B27" s="6" t="s">
        <v>270</v>
      </c>
      <c r="C27" s="216">
        <f>1283280-10000-14000-48300</f>
        <v>1210980</v>
      </c>
      <c r="D27" s="177">
        <f>+'ต.ค.-ธ.ค.'!E27</f>
        <v>314640</v>
      </c>
      <c r="E27" s="177">
        <f>+'ม.ค.-มี.ค.'!E27</f>
        <v>314640</v>
      </c>
      <c r="F27" s="177">
        <f>+'ต.ค.-มิ.ย. 61'!E27</f>
        <v>918482</v>
      </c>
      <c r="G27" s="177"/>
      <c r="H27" s="177">
        <f>SUM(D27:G27)</f>
        <v>1547762</v>
      </c>
      <c r="I27" s="208">
        <f t="shared" si="3"/>
        <v>-336782</v>
      </c>
    </row>
    <row r="28" spans="1:13" s="221" customFormat="1" ht="21.75" customHeight="1" thickBot="1">
      <c r="A28" s="15"/>
      <c r="B28" s="14" t="s">
        <v>5</v>
      </c>
      <c r="C28" s="170">
        <f t="shared" ref="C28:I28" si="4">SUM(C23:C27)</f>
        <v>2345220</v>
      </c>
      <c r="D28" s="26">
        <f t="shared" si="4"/>
        <v>598200</v>
      </c>
      <c r="E28" s="26">
        <f t="shared" si="4"/>
        <v>598200</v>
      </c>
      <c r="F28" s="26">
        <f t="shared" si="4"/>
        <v>1753447</v>
      </c>
      <c r="G28" s="26">
        <f t="shared" si="4"/>
        <v>0</v>
      </c>
      <c r="H28" s="26">
        <f t="shared" si="4"/>
        <v>2949847</v>
      </c>
      <c r="I28" s="139">
        <f t="shared" si="4"/>
        <v>-604627</v>
      </c>
      <c r="J28" s="233"/>
      <c r="K28" s="329"/>
      <c r="L28" s="330"/>
      <c r="M28" s="330"/>
    </row>
    <row r="29" spans="1:13" ht="21.75" customHeight="1" thickTop="1">
      <c r="A29" s="5" t="s">
        <v>87</v>
      </c>
      <c r="B29" s="6"/>
      <c r="C29" s="190"/>
      <c r="D29" s="177"/>
      <c r="E29" s="177"/>
      <c r="F29" s="177"/>
      <c r="G29" s="177"/>
      <c r="H29" s="177"/>
      <c r="I29" s="208">
        <f t="shared" ref="I29:I37" si="5">+C29-H29</f>
        <v>0</v>
      </c>
    </row>
    <row r="30" spans="1:13" s="221" customFormat="1" ht="21.75" customHeight="1">
      <c r="A30" s="20"/>
      <c r="B30" s="130" t="s">
        <v>7</v>
      </c>
      <c r="C30" s="32">
        <f>3188820+1300000+884640+1648500-100000-22000-19000-60000-184500-25100-50000-100000-20000-50000-64500-70650-40000-53200-40000-15000</f>
        <v>6108010</v>
      </c>
      <c r="D30" s="230">
        <f>+'ต.ค.-ธ.ค.'!E30+'ต.ค.-ธ.ค.'!F30+'ต.ค.-ธ.ค.'!H30+'ต.ค.-ธ.ค.'!M30</f>
        <v>1455873</v>
      </c>
      <c r="E30" s="230">
        <f>+'ม.ค.-มี.ค.'!E30+'ม.ค.-มี.ค.'!F30+'ม.ค.-มี.ค.'!H30+'ม.ค.-มี.ค.'!M30</f>
        <v>1405189</v>
      </c>
      <c r="F30" s="230">
        <f>+'ต.ค.-มิ.ย. 61'!E30+'ต.ค.-มิ.ย. 61'!F30+'ต.ค.-มิ.ย. 61'!H30+'ต.ค.-มิ.ย. 61'!M30</f>
        <v>4304182</v>
      </c>
      <c r="G30" s="230"/>
      <c r="H30" s="230">
        <f>SUM(D30:G30)</f>
        <v>7165244</v>
      </c>
      <c r="I30" s="230">
        <f t="shared" si="5"/>
        <v>-1057234</v>
      </c>
      <c r="J30" s="233"/>
      <c r="K30" s="329"/>
      <c r="L30" s="330"/>
      <c r="M30" s="330"/>
    </row>
    <row r="31" spans="1:13" s="221" customFormat="1" ht="21.75" customHeight="1">
      <c r="A31" s="20"/>
      <c r="B31" s="130" t="s">
        <v>239</v>
      </c>
      <c r="C31" s="32">
        <v>1899600</v>
      </c>
      <c r="D31" s="230">
        <f>+'ต.ค.-ธ.ค.'!E31+'ต.ค.-ธ.ค.'!F31+'ต.ค.-ธ.ค.'!H31+'ต.ค.-ธ.ค.'!M31</f>
        <v>462780</v>
      </c>
      <c r="E31" s="230">
        <f>+'ม.ค.-มี.ค.'!E31+'ม.ค.-มี.ค.'!F31+'ม.ค.-มี.ค.'!H31+'ม.ค.-มี.ค.'!M31</f>
        <v>462780</v>
      </c>
      <c r="F31" s="230">
        <f>+'ต.ค.-มิ.ย. 61'!E31+'ต.ค.-มิ.ย. 61'!F31+'ต.ค.-มิ.ย. 61'!H31+'ต.ค.-มิ.ย. 61'!M31</f>
        <v>1399320</v>
      </c>
      <c r="G31" s="230"/>
      <c r="H31" s="230">
        <f t="shared" ref="H31:H37" si="6">SUM(D31:G31)</f>
        <v>2324880</v>
      </c>
      <c r="I31" s="230">
        <f t="shared" si="5"/>
        <v>-425280</v>
      </c>
      <c r="J31" s="233"/>
      <c r="K31" s="329"/>
      <c r="L31" s="330"/>
      <c r="M31" s="330"/>
    </row>
    <row r="32" spans="1:13" s="221" customFormat="1" ht="21.75" customHeight="1">
      <c r="A32" s="20"/>
      <c r="B32" s="130" t="s">
        <v>47</v>
      </c>
      <c r="C32" s="32">
        <v>10580</v>
      </c>
      <c r="D32" s="230">
        <f>+'ต.ค.-ธ.ค.'!E32+'ต.ค.-ธ.ค.'!F32+'ต.ค.-ธ.ค.'!H32+'ต.ค.-ธ.ค.'!M32</f>
        <v>1320</v>
      </c>
      <c r="E32" s="230">
        <f>+'ม.ค.-มี.ค.'!E32+'ม.ค.-มี.ค.'!F32+'ม.ค.-มี.ค.'!H32+'ม.ค.-มี.ค.'!M32</f>
        <v>1320</v>
      </c>
      <c r="F32" s="230">
        <f>+'ต.ค.-มิ.ย. 61'!E32+'ต.ค.-มิ.ย. 61'!F32+'ต.ค.-มิ.ย. 61'!H32+'ต.ค.-มิ.ย. 61'!M32</f>
        <v>3960</v>
      </c>
      <c r="G32" s="238"/>
      <c r="H32" s="230">
        <f t="shared" si="6"/>
        <v>6600</v>
      </c>
      <c r="I32" s="230">
        <f t="shared" si="5"/>
        <v>3980</v>
      </c>
      <c r="J32" s="233"/>
      <c r="K32" s="331"/>
      <c r="L32" s="330"/>
      <c r="M32" s="330"/>
    </row>
    <row r="33" spans="1:13" s="221" customFormat="1" ht="21.75" customHeight="1">
      <c r="A33" s="20"/>
      <c r="B33" s="130" t="s">
        <v>8</v>
      </c>
      <c r="C33" s="32">
        <f>132000+42000+42000+42000-3000-1000-10000</f>
        <v>244000</v>
      </c>
      <c r="D33" s="230">
        <f>+'ต.ค.-ธ.ค.'!E33+'ต.ค.-ธ.ค.'!F33+'ต.ค.-ธ.ค.'!H33+'ต.ค.-ธ.ค.'!M33</f>
        <v>57500</v>
      </c>
      <c r="E33" s="230">
        <f>+'ม.ค.-มี.ค.'!E33+'ม.ค.-มี.ค.'!F33+'ม.ค.-มี.ค.'!H33+'ม.ค.-มี.ค.'!M33</f>
        <v>54000</v>
      </c>
      <c r="F33" s="230">
        <f>+'ต.ค.-มิ.ย. 61'!E33+'ต.ค.-มิ.ย. 61'!F33+'ต.ค.-มิ.ย. 61'!H33+'ต.ค.-มิ.ย. 61'!M33</f>
        <v>165500</v>
      </c>
      <c r="G33" s="239"/>
      <c r="H33" s="230">
        <f t="shared" si="6"/>
        <v>277000</v>
      </c>
      <c r="I33" s="230">
        <f t="shared" si="5"/>
        <v>-33000</v>
      </c>
      <c r="J33" s="233"/>
      <c r="K33" s="329"/>
      <c r="L33" s="330"/>
      <c r="M33" s="330"/>
    </row>
    <row r="34" spans="1:13" s="221" customFormat="1" ht="21.75" customHeight="1">
      <c r="A34" s="9"/>
      <c r="B34" s="130" t="s">
        <v>186</v>
      </c>
      <c r="C34" s="31">
        <f>787000+589000+559480+350880+100000+184500+153000-9400</f>
        <v>2714460</v>
      </c>
      <c r="D34" s="230">
        <f>+'ต.ค.-ธ.ค.'!E34+'ต.ค.-ธ.ค.'!F34+'ต.ค.-ธ.ค.'!H34+'ต.ค.-ธ.ค.'!M34</f>
        <v>524330</v>
      </c>
      <c r="E34" s="230">
        <f>+'ม.ค.-มี.ค.'!E34+'ม.ค.-มี.ค.'!F34+'ม.ค.-มี.ค.'!H34+'ม.ค.-มี.ค.'!M34</f>
        <v>676008</v>
      </c>
      <c r="F34" s="230">
        <f>+'ต.ค.-มิ.ย. 61'!E34+'ต.ค.-มิ.ย. 61'!F34+'ต.ค.-มิ.ย. 61'!H34+'ต.ค.-มิ.ย. 61'!M34</f>
        <v>1913168</v>
      </c>
      <c r="G34" s="230"/>
      <c r="H34" s="230">
        <f>SUM(D34:G34)</f>
        <v>3113506</v>
      </c>
      <c r="I34" s="230">
        <f t="shared" si="5"/>
        <v>-399046</v>
      </c>
      <c r="J34" s="233"/>
      <c r="K34" s="329"/>
      <c r="L34" s="330"/>
      <c r="M34" s="330"/>
    </row>
    <row r="35" spans="1:13" s="221" customFormat="1" ht="21.75" customHeight="1">
      <c r="A35" s="9"/>
      <c r="B35" s="130" t="s">
        <v>269</v>
      </c>
      <c r="C35" s="288">
        <v>225600</v>
      </c>
      <c r="D35" s="230">
        <f>+'ต.ค.-ธ.ค.'!E35+'ต.ค.-ธ.ค.'!F35+'ต.ค.-ธ.ค.'!H35+'ต.ค.-ธ.ค.'!M35</f>
        <v>62910</v>
      </c>
      <c r="E35" s="230">
        <f>+'ม.ค.-มี.ค.'!E35+'ม.ค.-มี.ค.'!F35+'ม.ค.-มี.ค.'!H35+'ม.ค.-มี.ค.'!M35</f>
        <v>62910</v>
      </c>
      <c r="F35" s="230">
        <f>+'ต.ค.-มิ.ย. 61'!E35+'ต.ค.-มิ.ย. 61'!F35+'ต.ค.-มิ.ย. 61'!H35+'ต.ค.-มิ.ย. 61'!M35</f>
        <v>188730</v>
      </c>
      <c r="G35" s="230"/>
      <c r="H35" s="230">
        <f t="shared" si="6"/>
        <v>314550</v>
      </c>
      <c r="I35" s="230">
        <f t="shared" si="5"/>
        <v>-88950</v>
      </c>
      <c r="J35" s="233"/>
      <c r="K35" s="329"/>
      <c r="L35" s="330"/>
      <c r="M35" s="330"/>
    </row>
    <row r="36" spans="1:13" s="221" customFormat="1" ht="21.75" customHeight="1">
      <c r="A36" s="9"/>
      <c r="B36" s="130" t="s">
        <v>91</v>
      </c>
      <c r="C36" s="288">
        <f>76000+72000+84000+22000+25100+11000-5700</f>
        <v>284400</v>
      </c>
      <c r="D36" s="230">
        <f>+'ต.ค.-ธ.ค.'!E36+'ต.ค.-ธ.ค.'!F36+'ต.ค.-ธ.ค.'!H36+'ต.ค.-ธ.ค.'!M36</f>
        <v>47550</v>
      </c>
      <c r="E36" s="230">
        <f>+'ม.ค.-มี.ค.'!E36+'ม.ค.-มี.ค.'!F36+'ม.ค.-มี.ค.'!H36+'ม.ค.-มี.ค.'!M36</f>
        <v>100375</v>
      </c>
      <c r="F36" s="230">
        <f>+'ต.ค.-มิ.ย. 61'!E36+'ต.ค.-มิ.ย. 61'!F36+'ต.ค.-มิ.ย. 61'!H36+'ต.ค.-มิ.ย. 61'!M36</f>
        <v>219970</v>
      </c>
      <c r="G36" s="230"/>
      <c r="H36" s="230">
        <f t="shared" si="6"/>
        <v>367895</v>
      </c>
      <c r="I36" s="230">
        <f t="shared" si="5"/>
        <v>-83495</v>
      </c>
      <c r="J36" s="233"/>
      <c r="K36" s="329"/>
      <c r="L36" s="330"/>
      <c r="M36" s="330"/>
    </row>
    <row r="37" spans="1:13" s="221" customFormat="1" ht="21.75" customHeight="1">
      <c r="A37" s="227"/>
      <c r="B37" s="228" t="s">
        <v>240</v>
      </c>
      <c r="C37" s="288">
        <v>48000</v>
      </c>
      <c r="D37" s="230">
        <f>+'ต.ค.-ธ.ค.'!E37+'ต.ค.-ธ.ค.'!F37+'ต.ค.-ธ.ค.'!H37+'ต.ค.-ธ.ค.'!M37</f>
        <v>5490</v>
      </c>
      <c r="E37" s="230">
        <f>+'ม.ค.-มี.ค.'!E37+'ม.ค.-มี.ค.'!F37+'ม.ค.-มี.ค.'!H37+'ม.ค.-มี.ค.'!M37</f>
        <v>5490</v>
      </c>
      <c r="F37" s="230">
        <f>+'ต.ค.-มิ.ย. 61'!E37+'ต.ค.-มิ.ย. 61'!F37+'ต.ค.-มิ.ย. 61'!H37+'ต.ค.-มิ.ย. 61'!M37</f>
        <v>16470</v>
      </c>
      <c r="G37" s="230"/>
      <c r="H37" s="230">
        <f t="shared" si="6"/>
        <v>27450</v>
      </c>
      <c r="I37" s="230">
        <f t="shared" si="5"/>
        <v>20550</v>
      </c>
      <c r="J37" s="233"/>
      <c r="K37" s="329"/>
      <c r="L37" s="330"/>
      <c r="M37" s="330"/>
    </row>
    <row r="38" spans="1:13" s="221" customFormat="1" ht="21.75" customHeight="1">
      <c r="A38" s="9"/>
      <c r="B38" s="130" t="s">
        <v>440</v>
      </c>
      <c r="C38" s="288">
        <v>35000</v>
      </c>
      <c r="D38" s="500"/>
      <c r="E38" s="500"/>
      <c r="F38" s="500"/>
      <c r="G38" s="500"/>
      <c r="H38" s="500"/>
      <c r="I38" s="611"/>
      <c r="J38" s="233"/>
      <c r="K38" s="329"/>
      <c r="L38" s="330"/>
      <c r="M38" s="330"/>
    </row>
    <row r="39" spans="1:13" s="221" customFormat="1" ht="21.75" customHeight="1" thickBot="1">
      <c r="A39" s="46"/>
      <c r="B39" s="47" t="s">
        <v>5</v>
      </c>
      <c r="C39" s="289">
        <f>SUM(C30:C38)</f>
        <v>11569650</v>
      </c>
      <c r="D39" s="236">
        <f t="shared" ref="D39:I39" si="7">SUM(D30:D37)</f>
        <v>2617753</v>
      </c>
      <c r="E39" s="236">
        <f t="shared" si="7"/>
        <v>2768072</v>
      </c>
      <c r="F39" s="236">
        <f t="shared" si="7"/>
        <v>8211300</v>
      </c>
      <c r="G39" s="236">
        <f t="shared" si="7"/>
        <v>0</v>
      </c>
      <c r="H39" s="236">
        <f t="shared" si="7"/>
        <v>13597125</v>
      </c>
      <c r="I39" s="237">
        <f t="shared" si="7"/>
        <v>-2062475</v>
      </c>
      <c r="J39" s="233"/>
      <c r="K39" s="329"/>
      <c r="L39" s="330"/>
      <c r="M39" s="330"/>
    </row>
    <row r="40" spans="1:13" ht="21.75" customHeight="1" thickTop="1">
      <c r="A40" s="5" t="s">
        <v>98</v>
      </c>
      <c r="B40" s="6"/>
      <c r="C40" s="190"/>
      <c r="D40" s="201"/>
      <c r="E40" s="201"/>
      <c r="F40" s="201"/>
      <c r="G40" s="201"/>
      <c r="H40" s="201"/>
      <c r="I40" s="210"/>
    </row>
    <row r="41" spans="1:13" ht="21.75" customHeight="1">
      <c r="A41" s="9"/>
      <c r="B41" s="130" t="s">
        <v>93</v>
      </c>
      <c r="C41" s="216">
        <v>5000</v>
      </c>
      <c r="D41" s="177">
        <f>+'ต.ค.-ธ.ค.'!E41+'ต.ค.-ธ.ค.'!F41+'ต.ค.-ธ.ค.'!H41+'ต.ค.-ธ.ค.'!I41+'ต.ค.-ธ.ค.'!M41+'ต.ค.-ธ.ค.'!Q41+'ต.ค.-ธ.ค.'!S41</f>
        <v>0</v>
      </c>
      <c r="E41" s="177">
        <f>+'ม.ค.-มี.ค.'!E41+'ม.ค.-มี.ค.'!F41+'ม.ค.-มี.ค.'!H41+'ม.ค.-มี.ค.'!I41+'ม.ค.-มี.ค.'!K41+'ม.ค.-มี.ค.'!M41+'ม.ค.-มี.ค.'!N41</f>
        <v>0</v>
      </c>
      <c r="F41" s="177">
        <f>+'ต.ค.-มิ.ย. 61'!E41+'ต.ค.-มิ.ย. 61'!F41+'ต.ค.-มิ.ย. 61'!G41+'ต.ค.-มิ.ย. 61'!H41+'ต.ค.-มิ.ย. 61'!I41+'ต.ค.-มิ.ย. 61'!M41+'ต.ค.-มิ.ย. 61'!N41+'ต.ค.-มิ.ย. 61'!P41+'ต.ค.-มิ.ย. 61'!R41+'ต.ค.-มิ.ย. 61'!S41</f>
        <v>0</v>
      </c>
      <c r="G41" s="177"/>
      <c r="H41" s="177">
        <f>SUM(D41:G41)</f>
        <v>0</v>
      </c>
      <c r="I41" s="208">
        <f t="shared" ref="I41:I48" si="8">+C41-H41</f>
        <v>5000</v>
      </c>
    </row>
    <row r="42" spans="1:13" s="172" customFormat="1" ht="21.75" customHeight="1">
      <c r="A42" s="9"/>
      <c r="B42" s="130" t="s">
        <v>205</v>
      </c>
      <c r="C42" s="285">
        <v>10000</v>
      </c>
      <c r="D42" s="177">
        <f>+'ต.ค.-ธ.ค.'!E42+'ต.ค.-ธ.ค.'!F42+'ต.ค.-ธ.ค.'!H42+'ต.ค.-ธ.ค.'!I42+'ต.ค.-ธ.ค.'!M42+'ต.ค.-ธ.ค.'!Q42+'ต.ค.-ธ.ค.'!S42</f>
        <v>0</v>
      </c>
      <c r="E42" s="177">
        <f>+'ม.ค.-มี.ค.'!E42+'ม.ค.-มี.ค.'!F42+'ม.ค.-มี.ค.'!H42+'ม.ค.-มี.ค.'!I42+'ม.ค.-มี.ค.'!K42+'ม.ค.-มี.ค.'!M42+'ม.ค.-มี.ค.'!N42</f>
        <v>0</v>
      </c>
      <c r="F42" s="177">
        <f>+'ต.ค.-มิ.ย. 61'!E42+'ต.ค.-มิ.ย. 61'!F42+'ต.ค.-มิ.ย. 61'!G42+'ต.ค.-มิ.ย. 61'!H42+'ต.ค.-มิ.ย. 61'!I42+'ต.ค.-มิ.ย. 61'!M42+'ต.ค.-มิ.ย. 61'!N42+'ต.ค.-มิ.ย. 61'!P42+'ต.ค.-มิ.ย. 61'!R42+'ต.ค.-มิ.ย. 61'!S42</f>
        <v>0</v>
      </c>
      <c r="G42" s="199"/>
      <c r="H42" s="177">
        <f t="shared" ref="H42:H48" si="9">SUM(D42:G42)</f>
        <v>0</v>
      </c>
      <c r="I42" s="208">
        <f t="shared" si="8"/>
        <v>10000</v>
      </c>
      <c r="J42" s="233"/>
      <c r="K42" s="329"/>
      <c r="L42" s="330"/>
      <c r="M42" s="330"/>
    </row>
    <row r="43" spans="1:13" ht="21.75" customHeight="1">
      <c r="A43" s="9"/>
      <c r="B43" s="130" t="s">
        <v>94</v>
      </c>
      <c r="C43" s="285">
        <f>10000-10000</f>
        <v>0</v>
      </c>
      <c r="D43" s="177">
        <f>+'ต.ค.-ธ.ค.'!E43+'ต.ค.-ธ.ค.'!F43+'ต.ค.-ธ.ค.'!H43+'ต.ค.-ธ.ค.'!I43+'ต.ค.-ธ.ค.'!M43+'ต.ค.-ธ.ค.'!Q43+'ต.ค.-ธ.ค.'!S43</f>
        <v>0</v>
      </c>
      <c r="E43" s="177">
        <f>+'ม.ค.-มี.ค.'!E43+'ม.ค.-มี.ค.'!F43+'ม.ค.-มี.ค.'!H43+'ม.ค.-มี.ค.'!I43+'ม.ค.-มี.ค.'!K43+'ม.ค.-มี.ค.'!M43+'ม.ค.-มี.ค.'!N43</f>
        <v>0</v>
      </c>
      <c r="F43" s="177">
        <f>+'ต.ค.-มิ.ย. 61'!E43+'ต.ค.-มิ.ย. 61'!F43+'ต.ค.-มิ.ย. 61'!G43+'ต.ค.-มิ.ย. 61'!H43+'ต.ค.-มิ.ย. 61'!I43+'ต.ค.-มิ.ย. 61'!M43+'ต.ค.-มิ.ย. 61'!N43+'ต.ค.-มิ.ย. 61'!P43+'ต.ค.-มิ.ย. 61'!R43+'ต.ค.-มิ.ย. 61'!S43</f>
        <v>0</v>
      </c>
      <c r="G43" s="180"/>
      <c r="H43" s="177">
        <f t="shared" si="9"/>
        <v>0</v>
      </c>
      <c r="I43" s="208">
        <f t="shared" si="8"/>
        <v>0</v>
      </c>
      <c r="L43" s="337"/>
      <c r="M43" s="337"/>
    </row>
    <row r="44" spans="1:13" s="168" customFormat="1" ht="21" customHeight="1">
      <c r="A44" s="9"/>
      <c r="B44" s="130" t="s">
        <v>95</v>
      </c>
      <c r="C44" s="192">
        <v>5000</v>
      </c>
      <c r="D44" s="177">
        <f>+'ต.ค.-ธ.ค.'!E44+'ต.ค.-ธ.ค.'!F44+'ต.ค.-ธ.ค.'!H44+'ต.ค.-ธ.ค.'!I44+'ต.ค.-ธ.ค.'!M44+'ต.ค.-ธ.ค.'!Q44+'ต.ค.-ธ.ค.'!S44</f>
        <v>0</v>
      </c>
      <c r="E44" s="177">
        <f>+'ม.ค.-มี.ค.'!E44+'ม.ค.-มี.ค.'!F44+'ม.ค.-มี.ค.'!H44+'ม.ค.-มี.ค.'!I44+'ม.ค.-มี.ค.'!K44+'ม.ค.-มี.ค.'!M44+'ม.ค.-มี.ค.'!N44</f>
        <v>0</v>
      </c>
      <c r="F44" s="177">
        <f>+'ต.ค.-มิ.ย. 61'!E44+'ต.ค.-มิ.ย. 61'!F44+'ต.ค.-มิ.ย. 61'!G44+'ต.ค.-มิ.ย. 61'!H44+'ต.ค.-มิ.ย. 61'!I44+'ต.ค.-มิ.ย. 61'!M44+'ต.ค.-มิ.ย. 61'!N44+'ต.ค.-มิ.ย. 61'!P44+'ต.ค.-มิ.ย. 61'!R44+'ต.ค.-มิ.ย. 61'!S44</f>
        <v>0</v>
      </c>
      <c r="G44" s="179"/>
      <c r="H44" s="177">
        <f t="shared" si="9"/>
        <v>0</v>
      </c>
      <c r="I44" s="208">
        <f t="shared" si="8"/>
        <v>5000</v>
      </c>
      <c r="J44" s="233"/>
      <c r="K44" s="331"/>
      <c r="L44" s="338"/>
      <c r="M44" s="338"/>
    </row>
    <row r="45" spans="1:13" ht="21.75" customHeight="1">
      <c r="A45" s="9"/>
      <c r="B45" s="130" t="s">
        <v>96</v>
      </c>
      <c r="C45" s="192">
        <v>5000</v>
      </c>
      <c r="D45" s="177">
        <f>+'ต.ค.-ธ.ค.'!E45+'ต.ค.-ธ.ค.'!F45+'ต.ค.-ธ.ค.'!H45+'ต.ค.-ธ.ค.'!I45+'ต.ค.-ธ.ค.'!M45+'ต.ค.-ธ.ค.'!Q45+'ต.ค.-ธ.ค.'!S45</f>
        <v>0</v>
      </c>
      <c r="E45" s="177">
        <f>+'ม.ค.-มี.ค.'!E45+'ม.ค.-มี.ค.'!F45+'ม.ค.-มี.ค.'!H45+'ม.ค.-มี.ค.'!I45+'ม.ค.-มี.ค.'!K45+'ม.ค.-มี.ค.'!M45+'ม.ค.-มี.ค.'!N45</f>
        <v>0</v>
      </c>
      <c r="F45" s="177">
        <f>+'ต.ค.-มิ.ย. 61'!E45+'ต.ค.-มิ.ย. 61'!F45+'ต.ค.-มิ.ย. 61'!G45+'ต.ค.-มิ.ย. 61'!H45+'ต.ค.-มิ.ย. 61'!I45+'ต.ค.-มิ.ย. 61'!M45+'ต.ค.-มิ.ย. 61'!N45+'ต.ค.-มิ.ย. 61'!P45+'ต.ค.-มิ.ย. 61'!R45+'ต.ค.-มิ.ย. 61'!S45</f>
        <v>0</v>
      </c>
      <c r="G45" s="179"/>
      <c r="H45" s="177">
        <f t="shared" si="9"/>
        <v>0</v>
      </c>
      <c r="I45" s="208">
        <f t="shared" si="8"/>
        <v>5000</v>
      </c>
      <c r="L45" s="337"/>
      <c r="M45" s="337"/>
    </row>
    <row r="46" spans="1:13" ht="21.75" customHeight="1">
      <c r="A46" s="9"/>
      <c r="B46" s="130" t="s">
        <v>10</v>
      </c>
      <c r="C46" s="216">
        <f>144000+36000+78000+78000-15500</f>
        <v>320500</v>
      </c>
      <c r="D46" s="177">
        <f>+'ต.ค.-ธ.ค.'!E46+'ต.ค.-ธ.ค.'!F46+'ต.ค.-ธ.ค.'!H46+'ต.ค.-ธ.ค.'!I46+'ต.ค.-ธ.ค.'!M46+'ต.ค.-ธ.ค.'!Q46+'ต.ค.-ธ.ค.'!S46</f>
        <v>77500</v>
      </c>
      <c r="E46" s="177">
        <f>+'ม.ค.-มี.ค.'!E46+'ม.ค.-มี.ค.'!F46+'ม.ค.-มี.ค.'!H46+'ม.ค.-มี.ค.'!I46+'ม.ค.-มี.ค.'!K46+'ม.ค.-มี.ค.'!M46+'ม.ค.-มี.ค.'!N46</f>
        <v>78000</v>
      </c>
      <c r="F46" s="177">
        <f>+'ต.ค.-มิ.ย. 61'!E46+'ต.ค.-มิ.ย. 61'!F46+'ต.ค.-มิ.ย. 61'!G46+'ต.ค.-มิ.ย. 61'!H46+'ต.ค.-มิ.ย. 61'!I46+'ต.ค.-มิ.ย. 61'!M46+'ต.ค.-มิ.ย. 61'!N46+'ต.ค.-มิ.ย. 61'!P46+'ต.ค.-มิ.ย. 61'!R46+'ต.ค.-มิ.ย. 61'!S46</f>
        <v>233500</v>
      </c>
      <c r="G46" s="179"/>
      <c r="H46" s="177">
        <f t="shared" si="9"/>
        <v>389000</v>
      </c>
      <c r="I46" s="208">
        <f t="shared" si="8"/>
        <v>-68500</v>
      </c>
      <c r="M46" s="337"/>
    </row>
    <row r="47" spans="1:13" ht="21.75" customHeight="1">
      <c r="A47" s="9"/>
      <c r="B47" s="130" t="s">
        <v>9</v>
      </c>
      <c r="C47" s="216">
        <f>25000+10000+30000+20000</f>
        <v>85000</v>
      </c>
      <c r="D47" s="177">
        <f>+'ต.ค.-ธ.ค.'!E47+'ต.ค.-ธ.ค.'!F47+'ต.ค.-ธ.ค.'!H47+'ต.ค.-ธ.ค.'!I47+'ต.ค.-ธ.ค.'!M47+'ต.ค.-ธ.ค.'!Q47+'ต.ค.-ธ.ค.'!S47</f>
        <v>2800</v>
      </c>
      <c r="E47" s="177">
        <f>+'ม.ค.-มี.ค.'!E47+'ม.ค.-มี.ค.'!F47+'ม.ค.-มี.ค.'!H47+'ม.ค.-มี.ค.'!I47+'ม.ค.-มี.ค.'!K47+'ม.ค.-มี.ค.'!M47+'ม.ค.-มี.ค.'!N47</f>
        <v>36300</v>
      </c>
      <c r="F47" s="177">
        <f>+'ต.ค.-มิ.ย. 61'!E47+'ต.ค.-มิ.ย. 61'!F47+'ต.ค.-มิ.ย. 61'!G47+'ต.ค.-มิ.ย. 61'!H47+'ต.ค.-มิ.ย. 61'!I47+'ต.ค.-มิ.ย. 61'!M47+'ต.ค.-มิ.ย. 61'!N47+'ต.ค.-มิ.ย. 61'!P47+'ต.ค.-มิ.ย. 61'!R47+'ต.ค.-มิ.ย. 61'!S47</f>
        <v>43900</v>
      </c>
      <c r="G47" s="179"/>
      <c r="H47" s="177">
        <f t="shared" si="9"/>
        <v>83000</v>
      </c>
      <c r="I47" s="208">
        <f t="shared" si="8"/>
        <v>2000</v>
      </c>
      <c r="M47" s="337"/>
    </row>
    <row r="48" spans="1:13" ht="21.75" customHeight="1">
      <c r="A48" s="197"/>
      <c r="B48" s="198" t="s">
        <v>241</v>
      </c>
      <c r="C48" s="286">
        <v>44200</v>
      </c>
      <c r="D48" s="177">
        <f>+'ต.ค.-ธ.ค.'!E48+'ต.ค.-ธ.ค.'!F48+'ต.ค.-ธ.ค.'!H48+'ต.ค.-ธ.ค.'!I48+'ต.ค.-ธ.ค.'!M48+'ต.ค.-ธ.ค.'!Q48+'ต.ค.-ธ.ค.'!S48</f>
        <v>0</v>
      </c>
      <c r="E48" s="177">
        <f>+'ม.ค.-มี.ค.'!E48+'ม.ค.-มี.ค.'!F48+'ม.ค.-มี.ค.'!H48+'ม.ค.-มี.ค.'!I48+'ม.ค.-มี.ค.'!K48+'ม.ค.-มี.ค.'!M48+'ม.ค.-มี.ค.'!N48</f>
        <v>0</v>
      </c>
      <c r="F48" s="177">
        <f>+'ต.ค.-มิ.ย. 61'!E48+'ต.ค.-มิ.ย. 61'!F48+'ต.ค.-มิ.ย. 61'!G48+'ต.ค.-มิ.ย. 61'!H48+'ต.ค.-มิ.ย. 61'!I48+'ต.ค.-มิ.ย. 61'!M48+'ต.ค.-มิ.ย. 61'!N48+'ต.ค.-มิ.ย. 61'!P48+'ต.ค.-มิ.ย. 61'!R48+'ต.ค.-มิ.ย. 61'!S48</f>
        <v>0</v>
      </c>
      <c r="G48" s="184"/>
      <c r="H48" s="178">
        <f t="shared" si="9"/>
        <v>0</v>
      </c>
      <c r="I48" s="209">
        <f t="shared" si="8"/>
        <v>44200</v>
      </c>
    </row>
    <row r="49" spans="1:13" s="221" customFormat="1" ht="21.75" customHeight="1" thickBot="1">
      <c r="A49" s="46"/>
      <c r="B49" s="47" t="s">
        <v>5</v>
      </c>
      <c r="C49" s="289">
        <f>SUM(C41:C48)</f>
        <v>474700</v>
      </c>
      <c r="D49" s="236">
        <f t="shared" ref="D49:I49" si="10">SUM(D41:D48)</f>
        <v>80300</v>
      </c>
      <c r="E49" s="236">
        <f t="shared" si="10"/>
        <v>114300</v>
      </c>
      <c r="F49" s="236">
        <f t="shared" si="10"/>
        <v>277400</v>
      </c>
      <c r="G49" s="236">
        <f t="shared" si="10"/>
        <v>0</v>
      </c>
      <c r="H49" s="236">
        <f t="shared" si="10"/>
        <v>472000</v>
      </c>
      <c r="I49" s="237">
        <f t="shared" si="10"/>
        <v>2700</v>
      </c>
      <c r="J49" s="233"/>
      <c r="K49" s="329"/>
      <c r="L49" s="330"/>
      <c r="M49" s="330"/>
    </row>
    <row r="50" spans="1:13" s="168" customFormat="1" ht="21.75" customHeight="1" thickTop="1">
      <c r="A50" s="5" t="s">
        <v>99</v>
      </c>
      <c r="B50" s="6"/>
      <c r="C50" s="190"/>
      <c r="D50" s="179"/>
      <c r="E50" s="179"/>
      <c r="F50" s="179"/>
      <c r="G50" s="179"/>
      <c r="H50" s="179"/>
      <c r="I50" s="207"/>
      <c r="J50" s="233"/>
      <c r="K50" s="331"/>
      <c r="L50" s="247"/>
      <c r="M50" s="247"/>
    </row>
    <row r="51" spans="1:13" ht="21.75" customHeight="1">
      <c r="A51" s="5"/>
      <c r="B51" s="130" t="s">
        <v>100</v>
      </c>
      <c r="C51" s="281">
        <f>15000+7000+20000+15000</f>
        <v>57000</v>
      </c>
      <c r="D51" s="177">
        <f>+'ต.ค.-ธ.ค.'!E52+'ต.ค.-ธ.ค.'!F52+'ต.ค.-ธ.ค.'!H52+'ต.ค.-ธ.ค.'!I52+'ต.ค.-ธ.ค.'!M52+'ต.ค.-ธ.ค.'!Q52+'ต.ค.-ธ.ค.'!S52</f>
        <v>0</v>
      </c>
      <c r="E51" s="177">
        <f>+'ม.ค.-มี.ค.'!D51+'ม.ค.-มี.ค.'!E51+'ม.ค.-มี.ค.'!F51+'ม.ค.-มี.ค.'!G51+'ม.ค.-มี.ค.'!H51+'ม.ค.-มี.ค.'!I51+'ม.ค.-มี.ค.'!J51+'ม.ค.-มี.ค.'!K51+'ม.ค.-มี.ค.'!L51+'ม.ค.-มี.ค.'!M51+'ม.ค.-มี.ค.'!N51+'ม.ค.-มี.ค.'!O51+'ม.ค.-มี.ค.'!P51+'ม.ค.-มี.ค.'!Q51+'ม.ค.-มี.ค.'!R51+'ม.ค.-มี.ค.'!S51+'ม.ค.-มี.ค.'!U51+'ม.ค.-มี.ค.'!V51</f>
        <v>7102</v>
      </c>
      <c r="F51" s="177">
        <f>+'ต.ค.-มิ.ย. 61'!E51+'ต.ค.-มิ.ย. 61'!F51+'ต.ค.-มิ.ย. 61'!G51+'ต.ค.-มิ.ย. 61'!H51+'ต.ค.-มิ.ย. 61'!I51+'ต.ค.-มิ.ย. 61'!M51+'ต.ค.-มิ.ย. 61'!N51+'ต.ค.-มิ.ย. 61'!P51+'ต.ค.-มิ.ย. 61'!R51+'ต.ค.-มิ.ย. 61'!S51</f>
        <v>36352</v>
      </c>
      <c r="G51" s="179"/>
      <c r="H51" s="179">
        <f>SUM(D51:G51)</f>
        <v>43454</v>
      </c>
      <c r="I51" s="208">
        <f t="shared" ref="I51:I114" si="11">+C51-H51</f>
        <v>13546</v>
      </c>
    </row>
    <row r="52" spans="1:13" ht="21.75" customHeight="1">
      <c r="A52" s="5"/>
      <c r="B52" s="130" t="s">
        <v>226</v>
      </c>
      <c r="C52" s="281">
        <f>1044000+124000+384000+296000-47000+10000+156000+65000+50000+64500-15000+20000+48300+53200+5700+9400+10000+15500+10000+6400</f>
        <v>2310000</v>
      </c>
      <c r="D52" s="177">
        <f>+'ต.ค.-ธ.ค.'!E53+'ต.ค.-ธ.ค.'!F53+'ต.ค.-ธ.ค.'!H53+'ต.ค.-ธ.ค.'!I53+'ต.ค.-ธ.ค.'!M53+'ต.ค.-ธ.ค.'!Q53+'ต.ค.-ธ.ค.'!S53</f>
        <v>462503</v>
      </c>
      <c r="E52" s="177">
        <f>+'ม.ค.-มี.ค.'!D52+'ม.ค.-มี.ค.'!E52+'ม.ค.-มี.ค.'!F52+'ม.ค.-มี.ค.'!G52+'ม.ค.-มี.ค.'!H52+'ม.ค.-มี.ค.'!I52+'ม.ค.-มี.ค.'!J52+'ม.ค.-มี.ค.'!K52+'ม.ค.-มี.ค.'!L52+'ม.ค.-มี.ค.'!M52+'ม.ค.-มี.ค.'!N52+'ม.ค.-มี.ค.'!O52+'ม.ค.-มี.ค.'!P52+'ม.ค.-มี.ค.'!Q52+'ม.ค.-มี.ค.'!R52+'ม.ค.-มี.ค.'!S52+'ม.ค.-มี.ค.'!U52+'ม.ค.-มี.ค.'!V52</f>
        <v>683071</v>
      </c>
      <c r="F52" s="177">
        <f>+'ต.ค.-มิ.ย. 61'!E52+'ต.ค.-มิ.ย. 61'!F52+'ต.ค.-มิ.ย. 61'!G52+'ต.ค.-มิ.ย. 61'!H52+'ต.ค.-มิ.ย. 61'!I52+'ต.ค.-มิ.ย. 61'!M52+'ต.ค.-มิ.ย. 61'!N52+'ต.ค.-มิ.ย. 61'!P52+'ต.ค.-มิ.ย. 61'!R52+'ต.ค.-มิ.ย. 61'!S52</f>
        <v>1805041</v>
      </c>
      <c r="G52" s="179"/>
      <c r="H52" s="179">
        <f>SUM(D52:G52)</f>
        <v>2950615</v>
      </c>
      <c r="I52" s="208">
        <f t="shared" si="11"/>
        <v>-640615</v>
      </c>
    </row>
    <row r="53" spans="1:13" ht="21.75" customHeight="1">
      <c r="A53" s="5"/>
      <c r="B53" s="130" t="s">
        <v>223</v>
      </c>
      <c r="C53" s="281">
        <v>200000</v>
      </c>
      <c r="D53" s="177">
        <f>+'ต.ค.-ธ.ค.'!E54+'ต.ค.-ธ.ค.'!F54+'ต.ค.-ธ.ค.'!H54+'ต.ค.-ธ.ค.'!I54+'ต.ค.-ธ.ค.'!M54+'ต.ค.-ธ.ค.'!Q54+'ต.ค.-ธ.ค.'!S54</f>
        <v>0</v>
      </c>
      <c r="E53" s="177">
        <f>+'ม.ค.-มี.ค.'!D53+'ม.ค.-มี.ค.'!E53+'ม.ค.-มี.ค.'!F53+'ม.ค.-มี.ค.'!G53+'ม.ค.-มี.ค.'!H53+'ม.ค.-มี.ค.'!I53+'ม.ค.-มี.ค.'!J53+'ม.ค.-มี.ค.'!K53+'ม.ค.-มี.ค.'!L53+'ม.ค.-มี.ค.'!M53+'ม.ค.-มี.ค.'!N53+'ม.ค.-มี.ค.'!O53+'ม.ค.-มี.ค.'!P53+'ม.ค.-มี.ค.'!Q53+'ม.ค.-มี.ค.'!R53+'ม.ค.-มี.ค.'!S53+'ม.ค.-มี.ค.'!U53+'ม.ค.-มี.ค.'!V53</f>
        <v>50000</v>
      </c>
      <c r="F53" s="177">
        <f>+'ต.ค.-มิ.ย. 61'!E53+'ต.ค.-มิ.ย. 61'!F53+'ต.ค.-มิ.ย. 61'!G53+'ต.ค.-มิ.ย. 61'!H53+'ต.ค.-มิ.ย. 61'!I53+'ต.ค.-มิ.ย. 61'!M53+'ต.ค.-มิ.ย. 61'!N53+'ต.ค.-มิ.ย. 61'!P53+'ต.ค.-มิ.ย. 61'!R53+'ต.ค.-มิ.ย. 61'!S53</f>
        <v>100000</v>
      </c>
      <c r="G53" s="179"/>
      <c r="H53" s="179">
        <f t="shared" ref="H53:H116" si="12">SUM(D53:G53)</f>
        <v>150000</v>
      </c>
      <c r="I53" s="208">
        <f t="shared" si="11"/>
        <v>50000</v>
      </c>
    </row>
    <row r="54" spans="1:13" ht="21.75" customHeight="1">
      <c r="A54" s="5"/>
      <c r="B54" s="130" t="s">
        <v>224</v>
      </c>
      <c r="C54" s="281">
        <v>20000</v>
      </c>
      <c r="D54" s="177">
        <f>+'ต.ค.-ธ.ค.'!E55+'ต.ค.-ธ.ค.'!F55+'ต.ค.-ธ.ค.'!H55+'ต.ค.-ธ.ค.'!I55+'ต.ค.-ธ.ค.'!M55+'ต.ค.-ธ.ค.'!Q55+'ต.ค.-ธ.ค.'!S55</f>
        <v>0</v>
      </c>
      <c r="E54" s="177">
        <f>+'ม.ค.-มี.ค.'!D54+'ม.ค.-มี.ค.'!E54+'ม.ค.-มี.ค.'!F54+'ม.ค.-มี.ค.'!G54+'ม.ค.-มี.ค.'!H54+'ม.ค.-มี.ค.'!I54+'ม.ค.-มี.ค.'!J54+'ม.ค.-มี.ค.'!K54+'ม.ค.-มี.ค.'!L54+'ม.ค.-มี.ค.'!M54+'ม.ค.-มี.ค.'!N54+'ม.ค.-มี.ค.'!O54+'ม.ค.-มี.ค.'!P54+'ม.ค.-มี.ค.'!Q54+'ม.ค.-มี.ค.'!R54+'ม.ค.-มี.ค.'!S54+'ม.ค.-มี.ค.'!U54+'ม.ค.-มี.ค.'!V54</f>
        <v>0</v>
      </c>
      <c r="F54" s="177">
        <f>+'ต.ค.-มิ.ย. 61'!E54+'ต.ค.-มิ.ย. 61'!F54+'ต.ค.-มิ.ย. 61'!G54+'ต.ค.-มิ.ย. 61'!H54+'ต.ค.-มิ.ย. 61'!I54+'ต.ค.-มิ.ย. 61'!M54+'ต.ค.-มิ.ย. 61'!N54+'ต.ค.-มิ.ย. 61'!P54+'ต.ค.-มิ.ย. 61'!R54+'ต.ค.-มิ.ย. 61'!S54</f>
        <v>0</v>
      </c>
      <c r="G54" s="179"/>
      <c r="H54" s="179">
        <f t="shared" si="12"/>
        <v>0</v>
      </c>
      <c r="I54" s="208">
        <f t="shared" si="11"/>
        <v>20000</v>
      </c>
    </row>
    <row r="55" spans="1:13" ht="21.75" customHeight="1">
      <c r="A55" s="5"/>
      <c r="B55" s="130" t="s">
        <v>225</v>
      </c>
      <c r="C55" s="281">
        <f>10000+14000</f>
        <v>24000</v>
      </c>
      <c r="D55" s="177">
        <f>+'ต.ค.-ธ.ค.'!E56+'ต.ค.-ธ.ค.'!F56+'ต.ค.-ธ.ค.'!H56+'ต.ค.-ธ.ค.'!I56+'ต.ค.-ธ.ค.'!M56+'ต.ค.-ธ.ค.'!Q56+'ต.ค.-ธ.ค.'!S56</f>
        <v>4810</v>
      </c>
      <c r="E55" s="177">
        <f>+'ม.ค.-มี.ค.'!D55+'ม.ค.-มี.ค.'!E55+'ม.ค.-มี.ค.'!F55+'ม.ค.-มี.ค.'!G55+'ม.ค.-มี.ค.'!H55+'ม.ค.-มี.ค.'!I55+'ม.ค.-มี.ค.'!J55+'ม.ค.-มี.ค.'!K55+'ม.ค.-มี.ค.'!L55+'ม.ค.-มี.ค.'!M55+'ม.ค.-มี.ค.'!N55+'ม.ค.-มี.ค.'!O55+'ม.ค.-มี.ค.'!P55+'ม.ค.-มี.ค.'!Q55+'ม.ค.-มี.ค.'!R55+'ม.ค.-มี.ค.'!S55+'ม.ค.-มี.ค.'!U55+'ม.ค.-มี.ค.'!V55</f>
        <v>7450</v>
      </c>
      <c r="F55" s="177">
        <f>+'ต.ค.-มิ.ย. 61'!E55+'ต.ค.-มิ.ย. 61'!F55+'ต.ค.-มิ.ย. 61'!G55+'ต.ค.-มิ.ย. 61'!H55+'ต.ค.-มิ.ย. 61'!I55+'ต.ค.-มิ.ย. 61'!M55+'ต.ค.-มิ.ย. 61'!N55+'ต.ค.-มิ.ย. 61'!P55+'ต.ค.-มิ.ย. 61'!R55+'ต.ค.-มิ.ย. 61'!S55</f>
        <v>20510</v>
      </c>
      <c r="G55" s="179"/>
      <c r="H55" s="179">
        <f>SUM(D55:G55)</f>
        <v>32770</v>
      </c>
      <c r="I55" s="208">
        <f t="shared" si="11"/>
        <v>-8770</v>
      </c>
    </row>
    <row r="56" spans="1:13" ht="21.75" customHeight="1">
      <c r="A56" s="5"/>
      <c r="B56" s="130" t="s">
        <v>227</v>
      </c>
      <c r="C56" s="281">
        <v>40000</v>
      </c>
      <c r="D56" s="177">
        <f>+'ต.ค.-ธ.ค.'!E57+'ต.ค.-ธ.ค.'!F57+'ต.ค.-ธ.ค.'!H57+'ต.ค.-ธ.ค.'!I57+'ต.ค.-ธ.ค.'!M57+'ต.ค.-ธ.ค.'!Q57+'ต.ค.-ธ.ค.'!S57</f>
        <v>0</v>
      </c>
      <c r="E56" s="177">
        <f>+'ม.ค.-มี.ค.'!D56+'ม.ค.-มี.ค.'!E56+'ม.ค.-มี.ค.'!F56+'ม.ค.-มี.ค.'!G56+'ม.ค.-มี.ค.'!H56+'ม.ค.-มี.ค.'!I56+'ม.ค.-มี.ค.'!J56+'ม.ค.-มี.ค.'!K56+'ม.ค.-มี.ค.'!L56+'ม.ค.-มี.ค.'!M56+'ม.ค.-มี.ค.'!N56+'ม.ค.-มี.ค.'!O56+'ม.ค.-มี.ค.'!P56+'ม.ค.-มี.ค.'!Q56+'ม.ค.-มี.ค.'!R56+'ม.ค.-มี.ค.'!S56+'ม.ค.-มี.ค.'!U56+'ม.ค.-มี.ค.'!V56</f>
        <v>0</v>
      </c>
      <c r="F56" s="177">
        <f>+'ต.ค.-มิ.ย. 61'!E56+'ต.ค.-มิ.ย. 61'!F56+'ต.ค.-มิ.ย. 61'!G56+'ต.ค.-มิ.ย. 61'!H56+'ต.ค.-มิ.ย. 61'!I56+'ต.ค.-มิ.ย. 61'!M56+'ต.ค.-มิ.ย. 61'!N56+'ต.ค.-มิ.ย. 61'!P56+'ต.ค.-มิ.ย. 61'!R56+'ต.ค.-มิ.ย. 61'!S56</f>
        <v>0</v>
      </c>
      <c r="G56" s="179"/>
      <c r="H56" s="179">
        <f t="shared" si="12"/>
        <v>0</v>
      </c>
      <c r="I56" s="208">
        <f t="shared" si="11"/>
        <v>40000</v>
      </c>
    </row>
    <row r="57" spans="1:13" ht="21.75" customHeight="1">
      <c r="A57" s="5"/>
      <c r="B57" s="130" t="s">
        <v>228</v>
      </c>
      <c r="C57" s="281">
        <v>9000</v>
      </c>
      <c r="D57" s="177">
        <f>+'ต.ค.-ธ.ค.'!E58+'ต.ค.-ธ.ค.'!F58+'ต.ค.-ธ.ค.'!H58+'ต.ค.-ธ.ค.'!I58+'ต.ค.-ธ.ค.'!M58+'ต.ค.-ธ.ค.'!Q58+'ต.ค.-ธ.ค.'!S58</f>
        <v>0</v>
      </c>
      <c r="E57" s="177">
        <f>+'ม.ค.-มี.ค.'!D57+'ม.ค.-มี.ค.'!E57+'ม.ค.-มี.ค.'!F57+'ม.ค.-มี.ค.'!G57+'ม.ค.-มี.ค.'!H57+'ม.ค.-มี.ค.'!I57+'ม.ค.-มี.ค.'!J57+'ม.ค.-มี.ค.'!K57+'ม.ค.-มี.ค.'!L57+'ม.ค.-มี.ค.'!M57+'ม.ค.-มี.ค.'!N57+'ม.ค.-มี.ค.'!O57+'ม.ค.-มี.ค.'!P57+'ม.ค.-มี.ค.'!Q57+'ม.ค.-มี.ค.'!R57+'ม.ค.-มี.ค.'!S57+'ม.ค.-มี.ค.'!U57+'ม.ค.-มี.ค.'!V57</f>
        <v>0</v>
      </c>
      <c r="F57" s="177">
        <f>+'ต.ค.-มิ.ย. 61'!E57+'ต.ค.-มิ.ย. 61'!F57+'ต.ค.-มิ.ย. 61'!G57+'ต.ค.-มิ.ย. 61'!H57+'ต.ค.-มิ.ย. 61'!I57+'ต.ค.-มิ.ย. 61'!M57+'ต.ค.-มิ.ย. 61'!N57+'ต.ค.-มิ.ย. 61'!P57+'ต.ค.-มิ.ย. 61'!R57+'ต.ค.-มิ.ย. 61'!S57</f>
        <v>0</v>
      </c>
      <c r="G57" s="179"/>
      <c r="H57" s="179">
        <f t="shared" si="12"/>
        <v>0</v>
      </c>
      <c r="I57" s="208">
        <f t="shared" si="11"/>
        <v>9000</v>
      </c>
    </row>
    <row r="58" spans="1:13" s="168" customFormat="1" ht="21.75" customHeight="1">
      <c r="A58" s="5"/>
      <c r="B58" s="130" t="s">
        <v>11</v>
      </c>
      <c r="C58" s="281">
        <f>10000+60000+20000</f>
        <v>90000</v>
      </c>
      <c r="D58" s="177">
        <f>+'ต.ค.-ธ.ค.'!E59+'ต.ค.-ธ.ค.'!F59+'ต.ค.-ธ.ค.'!H59+'ต.ค.-ธ.ค.'!I59+'ต.ค.-ธ.ค.'!M59+'ต.ค.-ธ.ค.'!Q59+'ต.ค.-ธ.ค.'!S59</f>
        <v>1902</v>
      </c>
      <c r="E58" s="177">
        <f>+'ม.ค.-มี.ค.'!D58+'ม.ค.-มี.ค.'!E58+'ม.ค.-มี.ค.'!F58+'ม.ค.-มี.ค.'!G58+'ม.ค.-มี.ค.'!H58+'ม.ค.-มี.ค.'!I58+'ม.ค.-มี.ค.'!J58+'ม.ค.-มี.ค.'!K58+'ม.ค.-มี.ค.'!L58+'ม.ค.-มี.ค.'!M58+'ม.ค.-มี.ค.'!N58+'ม.ค.-มี.ค.'!O58+'ม.ค.-มี.ค.'!P58+'ม.ค.-มี.ค.'!Q58+'ม.ค.-มี.ค.'!R58+'ม.ค.-มี.ค.'!S58+'ม.ค.-มี.ค.'!U58+'ม.ค.-มี.ค.'!V58</f>
        <v>10967</v>
      </c>
      <c r="F58" s="177">
        <f>+'ต.ค.-มิ.ย. 61'!E58+'ต.ค.-มิ.ย. 61'!F58+'ต.ค.-มิ.ย. 61'!G58+'ต.ค.-มิ.ย. 61'!H58+'ต.ค.-มิ.ย. 61'!I58+'ต.ค.-มิ.ย. 61'!M58+'ต.ค.-มิ.ย. 61'!N58+'ต.ค.-มิ.ย. 61'!P58+'ต.ค.-มิ.ย. 61'!R58+'ต.ค.-มิ.ย. 61'!S58</f>
        <v>15849</v>
      </c>
      <c r="G58" s="179"/>
      <c r="H58" s="179">
        <f t="shared" si="12"/>
        <v>28718</v>
      </c>
      <c r="I58" s="207">
        <f t="shared" si="11"/>
        <v>61282</v>
      </c>
      <c r="J58" s="233"/>
      <c r="K58" s="331"/>
      <c r="L58" s="247"/>
      <c r="M58" s="247"/>
    </row>
    <row r="59" spans="1:13" ht="21.75" customHeight="1">
      <c r="A59" s="5"/>
      <c r="B59" s="130" t="s">
        <v>229</v>
      </c>
      <c r="C59" s="281">
        <v>10000</v>
      </c>
      <c r="D59" s="177">
        <f>+'ต.ค.-ธ.ค.'!E60+'ต.ค.-ธ.ค.'!F60+'ต.ค.-ธ.ค.'!H60+'ต.ค.-ธ.ค.'!I60+'ต.ค.-ธ.ค.'!M60+'ต.ค.-ธ.ค.'!Q60+'ต.ค.-ธ.ค.'!S60</f>
        <v>1047</v>
      </c>
      <c r="E59" s="177">
        <f>+'ม.ค.-มี.ค.'!D59+'ม.ค.-มี.ค.'!E59+'ม.ค.-มี.ค.'!F59+'ม.ค.-มี.ค.'!G59+'ม.ค.-มี.ค.'!H59+'ม.ค.-มี.ค.'!I59+'ม.ค.-มี.ค.'!J59+'ม.ค.-มี.ค.'!K59+'ม.ค.-มี.ค.'!L59+'ม.ค.-มี.ค.'!M59+'ม.ค.-มี.ค.'!N59+'ม.ค.-มี.ค.'!O59+'ม.ค.-มี.ค.'!P59+'ม.ค.-มี.ค.'!Q59+'ม.ค.-มี.ค.'!R59+'ม.ค.-มี.ค.'!S59+'ม.ค.-มี.ค.'!U59+'ม.ค.-มี.ค.'!V59</f>
        <v>3450</v>
      </c>
      <c r="F59" s="177">
        <f>+'ต.ค.-มิ.ย. 61'!E59+'ต.ค.-มิ.ย. 61'!F59+'ต.ค.-มิ.ย. 61'!G59+'ต.ค.-มิ.ย. 61'!H59+'ต.ค.-มิ.ย. 61'!I59+'ต.ค.-มิ.ย. 61'!M59+'ต.ค.-มิ.ย. 61'!N59+'ต.ค.-มิ.ย. 61'!P59+'ต.ค.-มิ.ย. 61'!R59+'ต.ค.-มิ.ย. 61'!S59</f>
        <v>7332</v>
      </c>
      <c r="G59" s="179"/>
      <c r="H59" s="179">
        <f t="shared" si="12"/>
        <v>11829</v>
      </c>
      <c r="I59" s="208">
        <f t="shared" si="11"/>
        <v>-1829</v>
      </c>
      <c r="J59" s="248"/>
    </row>
    <row r="60" spans="1:13" s="381" customFormat="1" ht="21.75" customHeight="1">
      <c r="A60" s="5"/>
      <c r="B60" s="130" t="s">
        <v>230</v>
      </c>
      <c r="C60" s="281">
        <v>20000</v>
      </c>
      <c r="D60" s="378">
        <f>+'ต.ค.-ธ.ค.'!E61+'ต.ค.-ธ.ค.'!F61+'ต.ค.-ธ.ค.'!H61+'ต.ค.-ธ.ค.'!I61+'ต.ค.-ธ.ค.'!M61+'ต.ค.-ธ.ค.'!Q61+'ต.ค.-ธ.ค.'!S61</f>
        <v>61400</v>
      </c>
      <c r="E60" s="378">
        <f>+'ม.ค.-มี.ค.'!D60+'ม.ค.-มี.ค.'!E60+'ม.ค.-มี.ค.'!F60+'ม.ค.-มี.ค.'!G60+'ม.ค.-มี.ค.'!H60+'ม.ค.-มี.ค.'!I60+'ม.ค.-มี.ค.'!J60+'ม.ค.-มี.ค.'!K60+'ม.ค.-มี.ค.'!L60+'ม.ค.-มี.ค.'!M60+'ม.ค.-มี.ค.'!N60+'ม.ค.-มี.ค.'!O60+'ม.ค.-มี.ค.'!P60+'ม.ค.-มี.ค.'!Q60+'ม.ค.-มี.ค.'!R60+'ม.ค.-มี.ค.'!S60+'ม.ค.-มี.ค.'!U60+'ม.ค.-มี.ค.'!V60</f>
        <v>0</v>
      </c>
      <c r="F60" s="378">
        <f>+'ต.ค.-มิ.ย. 61'!E60+'ต.ค.-มิ.ย. 61'!F60+'ต.ค.-มิ.ย. 61'!G60+'ต.ค.-มิ.ย. 61'!H60+'ต.ค.-มิ.ย. 61'!I60+'ต.ค.-มิ.ย. 61'!M60+'ต.ค.-มิ.ย. 61'!N60+'ต.ค.-มิ.ย. 61'!P60+'ต.ค.-มิ.ย. 61'!R60+'ต.ค.-มิ.ย. 61'!S60</f>
        <v>61400</v>
      </c>
      <c r="G60" s="378"/>
      <c r="H60" s="378">
        <f t="shared" si="12"/>
        <v>122800</v>
      </c>
      <c r="I60" s="379">
        <f t="shared" si="11"/>
        <v>-102800</v>
      </c>
      <c r="J60" s="380"/>
      <c r="K60" s="335"/>
      <c r="L60" s="336"/>
      <c r="M60" s="336"/>
    </row>
    <row r="61" spans="1:13" ht="21.75" customHeight="1">
      <c r="A61" s="9"/>
      <c r="B61" s="130" t="s">
        <v>50</v>
      </c>
      <c r="C61" s="280">
        <f>10000-10000</f>
        <v>0</v>
      </c>
      <c r="D61" s="177">
        <f>+'ต.ค.-ธ.ค.'!E62+'ต.ค.-ธ.ค.'!F62+'ต.ค.-ธ.ค.'!H62+'ต.ค.-ธ.ค.'!I62+'ต.ค.-ธ.ค.'!M62+'ต.ค.-ธ.ค.'!Q62+'ต.ค.-ธ.ค.'!S62</f>
        <v>0</v>
      </c>
      <c r="E61" s="177">
        <f>+'ม.ค.-มี.ค.'!D61+'ม.ค.-มี.ค.'!E61+'ม.ค.-มี.ค.'!F61+'ม.ค.-มี.ค.'!G61+'ม.ค.-มี.ค.'!H61+'ม.ค.-มี.ค.'!I61+'ม.ค.-มี.ค.'!J61+'ม.ค.-มี.ค.'!K61+'ม.ค.-มี.ค.'!L61+'ม.ค.-มี.ค.'!M61+'ม.ค.-มี.ค.'!N61+'ม.ค.-มี.ค.'!O61+'ม.ค.-มี.ค.'!P61+'ม.ค.-มี.ค.'!Q61+'ม.ค.-มี.ค.'!R61+'ม.ค.-มี.ค.'!S61+'ม.ค.-มี.ค.'!U61+'ม.ค.-มี.ค.'!V61</f>
        <v>0</v>
      </c>
      <c r="F61" s="177">
        <f>+'ต.ค.-มิ.ย. 61'!E61+'ต.ค.-มิ.ย. 61'!F61+'ต.ค.-มิ.ย. 61'!G61+'ต.ค.-มิ.ย. 61'!H61+'ต.ค.-มิ.ย. 61'!I61+'ต.ค.-มิ.ย. 61'!M61+'ต.ค.-มิ.ย. 61'!N61+'ต.ค.-มิ.ย. 61'!P61+'ต.ค.-มิ.ย. 61'!R61+'ต.ค.-มิ.ย. 61'!S61</f>
        <v>0</v>
      </c>
      <c r="G61" s="179"/>
      <c r="H61" s="179">
        <f t="shared" si="12"/>
        <v>0</v>
      </c>
      <c r="I61" s="208">
        <f t="shared" si="11"/>
        <v>0</v>
      </c>
    </row>
    <row r="62" spans="1:13" ht="21.75" customHeight="1">
      <c r="A62" s="9"/>
      <c r="B62" s="130" t="s">
        <v>103</v>
      </c>
      <c r="C62" s="280">
        <v>10000</v>
      </c>
      <c r="D62" s="177">
        <f>+'ต.ค.-ธ.ค.'!E63+'ต.ค.-ธ.ค.'!F63+'ต.ค.-ธ.ค.'!H63+'ต.ค.-ธ.ค.'!I63+'ต.ค.-ธ.ค.'!M63+'ต.ค.-ธ.ค.'!Q63+'ต.ค.-ธ.ค.'!S63</f>
        <v>0</v>
      </c>
      <c r="E62" s="177">
        <f>+'ม.ค.-มี.ค.'!D62+'ม.ค.-มี.ค.'!E62+'ม.ค.-มี.ค.'!F62+'ม.ค.-มี.ค.'!G62+'ม.ค.-มี.ค.'!H62+'ม.ค.-มี.ค.'!I62+'ม.ค.-มี.ค.'!J62+'ม.ค.-มี.ค.'!K62+'ม.ค.-มี.ค.'!L62+'ม.ค.-มี.ค.'!M62+'ม.ค.-มี.ค.'!N62+'ม.ค.-มี.ค.'!O62+'ม.ค.-มี.ค.'!P62+'ม.ค.-มี.ค.'!Q62+'ม.ค.-มี.ค.'!R62+'ม.ค.-มี.ค.'!S62+'ม.ค.-มี.ค.'!U62+'ม.ค.-มี.ค.'!V62</f>
        <v>0</v>
      </c>
      <c r="F62" s="177">
        <f>+'ต.ค.-มิ.ย. 61'!E62+'ต.ค.-มิ.ย. 61'!F62+'ต.ค.-มิ.ย. 61'!G62+'ต.ค.-มิ.ย. 61'!H62+'ต.ค.-มิ.ย. 61'!I62+'ต.ค.-มิ.ย. 61'!M62+'ต.ค.-มิ.ย. 61'!N62+'ต.ค.-มิ.ย. 61'!P62+'ต.ค.-มิ.ย. 61'!R62+'ต.ค.-มิ.ย. 61'!S62</f>
        <v>0</v>
      </c>
      <c r="G62" s="179"/>
      <c r="H62" s="179">
        <f t="shared" si="12"/>
        <v>0</v>
      </c>
      <c r="I62" s="208">
        <f t="shared" si="11"/>
        <v>10000</v>
      </c>
    </row>
    <row r="63" spans="1:13" ht="21.75" customHeight="1">
      <c r="A63" s="9"/>
      <c r="B63" s="187" t="s">
        <v>106</v>
      </c>
      <c r="C63" s="283">
        <f>200000+30000+30000+80000+19000+1000+10000+2500+2500+2500+2500+20000+15000+5000</f>
        <v>420000</v>
      </c>
      <c r="D63" s="177">
        <f>+'ต.ค.-ธ.ค.'!E64+'ต.ค.-ธ.ค.'!F64+'ต.ค.-ธ.ค.'!H64+'ต.ค.-ธ.ค.'!I64+'ต.ค.-ธ.ค.'!M64+'ต.ค.-ธ.ค.'!Q64+'ต.ค.-ธ.ค.'!S64</f>
        <v>95072</v>
      </c>
      <c r="E63" s="177">
        <f>+'ม.ค.-มี.ค.'!D63+'ม.ค.-มี.ค.'!E63+'ม.ค.-มี.ค.'!F63+'ม.ค.-มี.ค.'!G63+'ม.ค.-มี.ค.'!H63+'ม.ค.-มี.ค.'!I63+'ม.ค.-มี.ค.'!J63+'ม.ค.-มี.ค.'!K63+'ม.ค.-มี.ค.'!L63+'ม.ค.-มี.ค.'!M63+'ม.ค.-มี.ค.'!N63+'ม.ค.-มี.ค.'!O63+'ม.ค.-มี.ค.'!P63+'ม.ค.-มี.ค.'!Q63+'ม.ค.-มี.ค.'!R63+'ม.ค.-มี.ค.'!S63+'ม.ค.-มี.ค.'!U63+'ม.ค.-มี.ค.'!V63</f>
        <v>69998</v>
      </c>
      <c r="F63" s="177">
        <f>+'ต.ค.-มิ.ย. 61'!E63+'ต.ค.-มิ.ย. 61'!F63+'ต.ค.-มิ.ย. 61'!G63+'ต.ค.-มิ.ย. 61'!H63+'ต.ค.-มิ.ย. 61'!I63+'ต.ค.-มิ.ย. 61'!M63+'ต.ค.-มิ.ย. 61'!N63+'ต.ค.-มิ.ย. 61'!P63+'ต.ค.-มิ.ย. 61'!R63+'ต.ค.-มิ.ย. 61'!S63</f>
        <v>339999</v>
      </c>
      <c r="G63" s="179"/>
      <c r="H63" s="179">
        <f>SUM(D63:G63)</f>
        <v>505069</v>
      </c>
      <c r="I63" s="208">
        <f t="shared" si="11"/>
        <v>-85069</v>
      </c>
    </row>
    <row r="64" spans="1:13" ht="21.75" customHeight="1">
      <c r="A64" s="9"/>
      <c r="B64" s="187" t="s">
        <v>231</v>
      </c>
      <c r="C64" s="283">
        <f>5000+8900</f>
        <v>13900</v>
      </c>
      <c r="D64" s="177">
        <f>+'ต.ค.-ธ.ค.'!E65+'ต.ค.-ธ.ค.'!F65+'ต.ค.-ธ.ค.'!H65+'ต.ค.-ธ.ค.'!I65+'ต.ค.-ธ.ค.'!M65+'ต.ค.-ธ.ค.'!Q65+'ต.ค.-ธ.ค.'!S65</f>
        <v>7000</v>
      </c>
      <c r="E64" s="177">
        <f>+'ม.ค.-มี.ค.'!D64+'ม.ค.-มี.ค.'!E64+'ม.ค.-มี.ค.'!F64+'ม.ค.-มี.ค.'!G64+'ม.ค.-มี.ค.'!H64+'ม.ค.-มี.ค.'!I64+'ม.ค.-มี.ค.'!J64+'ม.ค.-มี.ค.'!K64+'ม.ค.-มี.ค.'!L64+'ม.ค.-มี.ค.'!M64+'ม.ค.-มี.ค.'!N64+'ม.ค.-มี.ค.'!O64+'ม.ค.-มี.ค.'!P64+'ม.ค.-มี.ค.'!Q64+'ม.ค.-มี.ค.'!R64+'ม.ค.-มี.ค.'!S64+'ม.ค.-มี.ค.'!U64+'ม.ค.-มี.ค.'!V64</f>
        <v>0</v>
      </c>
      <c r="F64" s="177">
        <f>+'ต.ค.-มิ.ย. 61'!E64+'ต.ค.-มิ.ย. 61'!F64+'ต.ค.-มิ.ย. 61'!G64+'ต.ค.-มิ.ย. 61'!H64+'ต.ค.-มิ.ย. 61'!I64+'ต.ค.-มิ.ย. 61'!M64+'ต.ค.-มิ.ย. 61'!N64+'ต.ค.-มิ.ย. 61'!P64+'ต.ค.-มิ.ย. 61'!R64+'ต.ค.-มิ.ย. 61'!S64</f>
        <v>7000</v>
      </c>
      <c r="G64" s="179"/>
      <c r="H64" s="179">
        <f t="shared" si="12"/>
        <v>14000</v>
      </c>
      <c r="I64" s="208">
        <f t="shared" si="11"/>
        <v>-100</v>
      </c>
    </row>
    <row r="65" spans="1:13" ht="21.75" customHeight="1">
      <c r="A65" s="9"/>
      <c r="B65" s="187" t="s">
        <v>204</v>
      </c>
      <c r="C65" s="283">
        <v>5000</v>
      </c>
      <c r="D65" s="177">
        <f>+'ต.ค.-ธ.ค.'!E66+'ต.ค.-ธ.ค.'!F66+'ต.ค.-ธ.ค.'!H66+'ต.ค.-ธ.ค.'!I66+'ต.ค.-ธ.ค.'!M66+'ต.ค.-ธ.ค.'!Q66+'ต.ค.-ธ.ค.'!S66</f>
        <v>0</v>
      </c>
      <c r="E65" s="177">
        <f>+'ม.ค.-มี.ค.'!D65+'ม.ค.-มี.ค.'!E65+'ม.ค.-มี.ค.'!F65+'ม.ค.-มี.ค.'!G65+'ม.ค.-มี.ค.'!H65+'ม.ค.-มี.ค.'!I65+'ม.ค.-มี.ค.'!J65+'ม.ค.-มี.ค.'!K65+'ม.ค.-มี.ค.'!L65+'ม.ค.-มี.ค.'!M65+'ม.ค.-มี.ค.'!N65+'ม.ค.-มี.ค.'!O65+'ม.ค.-มี.ค.'!P65+'ม.ค.-มี.ค.'!Q65+'ม.ค.-มี.ค.'!R65+'ม.ค.-มี.ค.'!S65+'ม.ค.-มี.ค.'!U65+'ม.ค.-มี.ค.'!V65</f>
        <v>0</v>
      </c>
      <c r="F65" s="177">
        <f>+'ต.ค.-มิ.ย. 61'!E65+'ต.ค.-มิ.ย. 61'!F65+'ต.ค.-มิ.ย. 61'!G65+'ต.ค.-มิ.ย. 61'!H65+'ต.ค.-มิ.ย. 61'!I65+'ต.ค.-มิ.ย. 61'!M65+'ต.ค.-มิ.ย. 61'!N65+'ต.ค.-มิ.ย. 61'!P65+'ต.ค.-มิ.ย. 61'!R65+'ต.ค.-มิ.ย. 61'!S65</f>
        <v>0</v>
      </c>
      <c r="G65" s="179"/>
      <c r="H65" s="179">
        <f t="shared" si="12"/>
        <v>0</v>
      </c>
      <c r="I65" s="208">
        <f t="shared" si="11"/>
        <v>5000</v>
      </c>
    </row>
    <row r="66" spans="1:13" ht="21.75" customHeight="1">
      <c r="A66" s="9"/>
      <c r="B66" s="187" t="s">
        <v>232</v>
      </c>
      <c r="C66" s="283">
        <f>120000+100000-6400</f>
        <v>213600</v>
      </c>
      <c r="D66" s="177">
        <f>+'ต.ค.-ธ.ค.'!E67+'ต.ค.-ธ.ค.'!F67+'ต.ค.-ธ.ค.'!H67+'ต.ค.-ธ.ค.'!I67+'ต.ค.-ธ.ค.'!M67+'ต.ค.-ธ.ค.'!Q67+'ต.ค.-ธ.ค.'!S67</f>
        <v>0</v>
      </c>
      <c r="E66" s="177">
        <f>+'ม.ค.-มี.ค.'!D66+'ม.ค.-มี.ค.'!E66+'ม.ค.-มี.ค.'!F66+'ม.ค.-มี.ค.'!G66+'ม.ค.-มี.ค.'!H66+'ม.ค.-มี.ค.'!I66+'ม.ค.-มี.ค.'!J66+'ม.ค.-มี.ค.'!K66+'ม.ค.-มี.ค.'!L66+'ม.ค.-มี.ค.'!M66+'ม.ค.-มี.ค.'!N66+'ม.ค.-มี.ค.'!O66+'ม.ค.-มี.ค.'!P66+'ม.ค.-มี.ค.'!Q66+'ม.ค.-มี.ค.'!R66+'ม.ค.-มี.ค.'!S66+'ม.ค.-มี.ค.'!U66+'ม.ค.-มี.ค.'!V66</f>
        <v>157600</v>
      </c>
      <c r="F66" s="177">
        <f>+'ต.ค.-มิ.ย. 61'!E66+'ต.ค.-มิ.ย. 61'!F66+'ต.ค.-มิ.ย. 61'!G66+'ต.ค.-มิ.ย. 61'!H66+'ต.ค.-มิ.ย. 61'!I66+'ต.ค.-มิ.ย. 61'!M66+'ต.ค.-มิ.ย. 61'!N66+'ต.ค.-มิ.ย. 61'!P66+'ต.ค.-มิ.ย. 61'!R66+'ต.ค.-มิ.ย. 61'!S66</f>
        <v>213600</v>
      </c>
      <c r="G66" s="179"/>
      <c r="H66" s="179">
        <f t="shared" si="12"/>
        <v>371200</v>
      </c>
      <c r="I66" s="208">
        <f t="shared" si="11"/>
        <v>-157600</v>
      </c>
    </row>
    <row r="67" spans="1:13" ht="23.25" customHeight="1">
      <c r="A67" s="9"/>
      <c r="B67" s="187" t="s">
        <v>233</v>
      </c>
      <c r="C67" s="283">
        <f>125000-8900-16100-100000</f>
        <v>0</v>
      </c>
      <c r="D67" s="177">
        <f>+'ต.ค.-ธ.ค.'!E68+'ต.ค.-ธ.ค.'!F68+'ต.ค.-ธ.ค.'!H68+'ต.ค.-ธ.ค.'!I68+'ต.ค.-ธ.ค.'!M68+'ต.ค.-ธ.ค.'!Q68+'ต.ค.-ธ.ค.'!S68</f>
        <v>0</v>
      </c>
      <c r="E67" s="177">
        <f>+'ม.ค.-มี.ค.'!D67+'ม.ค.-มี.ค.'!E67+'ม.ค.-มี.ค.'!F67+'ม.ค.-มี.ค.'!G67+'ม.ค.-มี.ค.'!H67+'ม.ค.-มี.ค.'!I67+'ม.ค.-มี.ค.'!J67+'ม.ค.-มี.ค.'!K67+'ม.ค.-มี.ค.'!L67+'ม.ค.-มี.ค.'!M67+'ม.ค.-มี.ค.'!N67+'ม.ค.-มี.ค.'!O67+'ม.ค.-มี.ค.'!P67+'ม.ค.-มี.ค.'!Q67+'ม.ค.-มี.ค.'!R67+'ม.ค.-มี.ค.'!S67+'ม.ค.-มี.ค.'!U67+'ม.ค.-มี.ค.'!V67</f>
        <v>0</v>
      </c>
      <c r="F67" s="177">
        <f>+'ต.ค.-มิ.ย. 61'!E67+'ต.ค.-มิ.ย. 61'!F67+'ต.ค.-มิ.ย. 61'!G67+'ต.ค.-มิ.ย. 61'!H67+'ต.ค.-มิ.ย. 61'!I67+'ต.ค.-มิ.ย. 61'!M67+'ต.ค.-มิ.ย. 61'!N67+'ต.ค.-มิ.ย. 61'!P67+'ต.ค.-มิ.ย. 61'!R67+'ต.ค.-มิ.ย. 61'!S67</f>
        <v>0</v>
      </c>
      <c r="G67" s="179"/>
      <c r="H67" s="179">
        <f t="shared" si="12"/>
        <v>0</v>
      </c>
      <c r="I67" s="208">
        <f t="shared" si="11"/>
        <v>0</v>
      </c>
    </row>
    <row r="68" spans="1:13" ht="21.75" customHeight="1">
      <c r="A68" s="9"/>
      <c r="B68" s="187" t="s">
        <v>234</v>
      </c>
      <c r="C68" s="283">
        <v>5000</v>
      </c>
      <c r="D68" s="177">
        <f>+'ต.ค.-ธ.ค.'!E69+'ต.ค.-ธ.ค.'!F69+'ต.ค.-ธ.ค.'!H69+'ต.ค.-ธ.ค.'!I69+'ต.ค.-ธ.ค.'!M69+'ต.ค.-ธ.ค.'!Q69+'ต.ค.-ธ.ค.'!S69</f>
        <v>0</v>
      </c>
      <c r="E68" s="177">
        <f>+'ม.ค.-มี.ค.'!D68+'ม.ค.-มี.ค.'!E68+'ม.ค.-มี.ค.'!F68+'ม.ค.-มี.ค.'!G68+'ม.ค.-มี.ค.'!H68+'ม.ค.-มี.ค.'!I68+'ม.ค.-มี.ค.'!J68+'ม.ค.-มี.ค.'!K68+'ม.ค.-มี.ค.'!L68+'ม.ค.-มี.ค.'!M68+'ม.ค.-มี.ค.'!N68+'ม.ค.-มี.ค.'!O68+'ม.ค.-มี.ค.'!P68+'ม.ค.-มี.ค.'!Q68+'ม.ค.-มี.ค.'!R68+'ม.ค.-มี.ค.'!S68+'ม.ค.-มี.ค.'!U68+'ม.ค.-มี.ค.'!V68</f>
        <v>0</v>
      </c>
      <c r="F68" s="177">
        <f>+'ต.ค.-มิ.ย. 61'!E68+'ต.ค.-มิ.ย. 61'!F68+'ต.ค.-มิ.ย. 61'!G68+'ต.ค.-มิ.ย. 61'!H68+'ต.ค.-มิ.ย. 61'!I68+'ต.ค.-มิ.ย. 61'!M68+'ต.ค.-มิ.ย. 61'!N68+'ต.ค.-มิ.ย. 61'!P68+'ต.ค.-มิ.ย. 61'!R68+'ต.ค.-มิ.ย. 61'!S68</f>
        <v>0</v>
      </c>
      <c r="G68" s="179"/>
      <c r="H68" s="179">
        <f t="shared" si="12"/>
        <v>0</v>
      </c>
      <c r="I68" s="208">
        <f t="shared" si="11"/>
        <v>5000</v>
      </c>
    </row>
    <row r="69" spans="1:13" ht="21.75" customHeight="1">
      <c r="A69" s="9"/>
      <c r="B69" s="187" t="s">
        <v>235</v>
      </c>
      <c r="C69" s="283">
        <v>90000</v>
      </c>
      <c r="D69" s="177">
        <f>+'ต.ค.-ธ.ค.'!E70+'ต.ค.-ธ.ค.'!F70+'ต.ค.-ธ.ค.'!H70+'ต.ค.-ธ.ค.'!I70+'ต.ค.-ธ.ค.'!M70+'ต.ค.-ธ.ค.'!Q70+'ต.ค.-ธ.ค.'!S70</f>
        <v>0</v>
      </c>
      <c r="E69" s="177">
        <f>+'ม.ค.-มี.ค.'!D69+'ม.ค.-มี.ค.'!E69+'ม.ค.-มี.ค.'!F69+'ม.ค.-มี.ค.'!G69+'ม.ค.-มี.ค.'!H69+'ม.ค.-มี.ค.'!I69+'ม.ค.-มี.ค.'!J69+'ม.ค.-มี.ค.'!K69+'ม.ค.-มี.ค.'!L69+'ม.ค.-มี.ค.'!M69+'ม.ค.-มี.ค.'!N69+'ม.ค.-มี.ค.'!O69+'ม.ค.-มี.ค.'!P69+'ม.ค.-มี.ค.'!Q69+'ม.ค.-มี.ค.'!R69+'ม.ค.-มี.ค.'!S69+'ม.ค.-มี.ค.'!U69+'ม.ค.-มี.ค.'!V69</f>
        <v>0</v>
      </c>
      <c r="F69" s="177">
        <f>+'ต.ค.-มิ.ย. 61'!E69+'ต.ค.-มิ.ย. 61'!F69+'ต.ค.-มิ.ย. 61'!G69+'ต.ค.-มิ.ย. 61'!H69+'ต.ค.-มิ.ย. 61'!I69+'ต.ค.-มิ.ย. 61'!M69+'ต.ค.-มิ.ย. 61'!N69+'ต.ค.-มิ.ย. 61'!P69+'ต.ค.-มิ.ย. 61'!R69+'ต.ค.-มิ.ย. 61'!S69</f>
        <v>59500</v>
      </c>
      <c r="G69" s="179"/>
      <c r="H69" s="179">
        <f t="shared" si="12"/>
        <v>59500</v>
      </c>
      <c r="I69" s="208">
        <f t="shared" si="11"/>
        <v>30500</v>
      </c>
    </row>
    <row r="70" spans="1:13" ht="21.75" customHeight="1">
      <c r="A70" s="9"/>
      <c r="B70" s="187" t="s">
        <v>236</v>
      </c>
      <c r="C70" s="283">
        <v>5000</v>
      </c>
      <c r="D70" s="177">
        <f>+'ต.ค.-ธ.ค.'!E71+'ต.ค.-ธ.ค.'!F71+'ต.ค.-ธ.ค.'!H71+'ต.ค.-ธ.ค.'!I71+'ต.ค.-ธ.ค.'!M71+'ต.ค.-ธ.ค.'!Q71+'ต.ค.-ธ.ค.'!S71</f>
        <v>0</v>
      </c>
      <c r="E70" s="177">
        <f>+'ม.ค.-มี.ค.'!D70+'ม.ค.-มี.ค.'!E70+'ม.ค.-มี.ค.'!F70+'ม.ค.-มี.ค.'!G70+'ม.ค.-มี.ค.'!H70+'ม.ค.-มี.ค.'!I70+'ม.ค.-มี.ค.'!J70+'ม.ค.-มี.ค.'!K70+'ม.ค.-มี.ค.'!L70+'ม.ค.-มี.ค.'!M70+'ม.ค.-มี.ค.'!N70+'ม.ค.-มี.ค.'!O70+'ม.ค.-มี.ค.'!P70+'ม.ค.-มี.ค.'!Q70+'ม.ค.-มี.ค.'!R70+'ม.ค.-มี.ค.'!S70+'ม.ค.-มี.ค.'!U70+'ม.ค.-มี.ค.'!V70</f>
        <v>0</v>
      </c>
      <c r="F70" s="177">
        <f>+'ต.ค.-มิ.ย. 61'!E70+'ต.ค.-มิ.ย. 61'!F70+'ต.ค.-มิ.ย. 61'!G70+'ต.ค.-มิ.ย. 61'!H70+'ต.ค.-มิ.ย. 61'!I70+'ต.ค.-มิ.ย. 61'!M70+'ต.ค.-มิ.ย. 61'!N70+'ต.ค.-มิ.ย. 61'!P70+'ต.ค.-มิ.ย. 61'!R70+'ต.ค.-มิ.ย. 61'!S70</f>
        <v>0</v>
      </c>
      <c r="G70" s="179"/>
      <c r="H70" s="179">
        <f t="shared" si="12"/>
        <v>0</v>
      </c>
      <c r="I70" s="208">
        <f t="shared" si="11"/>
        <v>5000</v>
      </c>
    </row>
    <row r="71" spans="1:13" ht="21.75" customHeight="1">
      <c r="A71" s="9"/>
      <c r="B71" s="187" t="s">
        <v>237</v>
      </c>
      <c r="C71" s="283">
        <v>5000</v>
      </c>
      <c r="D71" s="177">
        <f>+'ต.ค.-ธ.ค.'!E72+'ต.ค.-ธ.ค.'!F72+'ต.ค.-ธ.ค.'!H72+'ต.ค.-ธ.ค.'!I72+'ต.ค.-ธ.ค.'!M72+'ต.ค.-ธ.ค.'!Q72+'ต.ค.-ธ.ค.'!S72</f>
        <v>0</v>
      </c>
      <c r="E71" s="177">
        <f>+'ม.ค.-มี.ค.'!D71+'ม.ค.-มี.ค.'!E71+'ม.ค.-มี.ค.'!F71+'ม.ค.-มี.ค.'!G71+'ม.ค.-มี.ค.'!H71+'ม.ค.-มี.ค.'!I71+'ม.ค.-มี.ค.'!J71+'ม.ค.-มี.ค.'!K71+'ม.ค.-มี.ค.'!L71+'ม.ค.-มี.ค.'!M71+'ม.ค.-มี.ค.'!N71+'ม.ค.-มี.ค.'!O71+'ม.ค.-มี.ค.'!P71+'ม.ค.-มี.ค.'!Q71+'ม.ค.-มี.ค.'!R71+'ม.ค.-มี.ค.'!S71+'ม.ค.-มี.ค.'!U71+'ม.ค.-มี.ค.'!V71</f>
        <v>0</v>
      </c>
      <c r="F71" s="177">
        <f>+'ต.ค.-มิ.ย. 61'!E71+'ต.ค.-มิ.ย. 61'!F71+'ต.ค.-มิ.ย. 61'!G71+'ต.ค.-มิ.ย. 61'!H71+'ต.ค.-มิ.ย. 61'!I71+'ต.ค.-มิ.ย. 61'!M71+'ต.ค.-มิ.ย. 61'!N71+'ต.ค.-มิ.ย. 61'!P71+'ต.ค.-มิ.ย. 61'!R71+'ต.ค.-มิ.ย. 61'!S71</f>
        <v>0</v>
      </c>
      <c r="G71" s="179"/>
      <c r="H71" s="179">
        <f t="shared" si="12"/>
        <v>0</v>
      </c>
      <c r="I71" s="208">
        <f t="shared" si="11"/>
        <v>5000</v>
      </c>
    </row>
    <row r="72" spans="1:13" s="168" customFormat="1" ht="21.75" customHeight="1">
      <c r="A72" s="165"/>
      <c r="B72" s="226" t="s">
        <v>277</v>
      </c>
      <c r="C72" s="279">
        <v>5000</v>
      </c>
      <c r="D72" s="177">
        <f>+'ต.ค.-ธ.ค.'!E73+'ต.ค.-ธ.ค.'!F73+'ต.ค.-ธ.ค.'!H73+'ต.ค.-ธ.ค.'!I73+'ต.ค.-ธ.ค.'!M73+'ต.ค.-ธ.ค.'!Q73+'ต.ค.-ธ.ค.'!S73</f>
        <v>0</v>
      </c>
      <c r="E72" s="177">
        <f>+'ม.ค.-มี.ค.'!D72+'ม.ค.-มี.ค.'!E72+'ม.ค.-มี.ค.'!F72+'ม.ค.-มี.ค.'!G72+'ม.ค.-มี.ค.'!H72+'ม.ค.-มี.ค.'!I72+'ม.ค.-มี.ค.'!J72+'ม.ค.-มี.ค.'!K72+'ม.ค.-มี.ค.'!L72+'ม.ค.-มี.ค.'!M72+'ม.ค.-มี.ค.'!N72+'ม.ค.-มี.ค.'!O72+'ม.ค.-มี.ค.'!P72+'ม.ค.-มี.ค.'!Q72+'ม.ค.-มี.ค.'!R72+'ม.ค.-มี.ค.'!S72+'ม.ค.-มี.ค.'!U72+'ม.ค.-มี.ค.'!V72</f>
        <v>0</v>
      </c>
      <c r="F72" s="177">
        <f>+'ต.ค.-มิ.ย. 61'!E72+'ต.ค.-มิ.ย. 61'!F72+'ต.ค.-มิ.ย. 61'!G72+'ต.ค.-มิ.ย. 61'!H72+'ต.ค.-มิ.ย. 61'!I72+'ต.ค.-มิ.ย. 61'!M72+'ต.ค.-มิ.ย. 61'!N72+'ต.ค.-มิ.ย. 61'!P72+'ต.ค.-มิ.ย. 61'!R72+'ต.ค.-มิ.ย. 61'!S72</f>
        <v>0</v>
      </c>
      <c r="G72" s="179"/>
      <c r="H72" s="179">
        <f t="shared" si="12"/>
        <v>0</v>
      </c>
      <c r="I72" s="208">
        <f t="shared" si="11"/>
        <v>5000</v>
      </c>
      <c r="J72" s="242"/>
      <c r="K72" s="331"/>
      <c r="L72" s="247"/>
      <c r="M72" s="247"/>
    </row>
    <row r="73" spans="1:13" s="168" customFormat="1" ht="21.75" customHeight="1">
      <c r="A73" s="165"/>
      <c r="B73" s="226" t="s">
        <v>107</v>
      </c>
      <c r="C73" s="279">
        <v>10000</v>
      </c>
      <c r="D73" s="177">
        <f>+'ต.ค.-ธ.ค.'!E74+'ต.ค.-ธ.ค.'!F74+'ต.ค.-ธ.ค.'!H74+'ต.ค.-ธ.ค.'!I74+'ต.ค.-ธ.ค.'!M74+'ต.ค.-ธ.ค.'!Q74+'ต.ค.-ธ.ค.'!S74</f>
        <v>0</v>
      </c>
      <c r="E73" s="177">
        <f>+'ม.ค.-มี.ค.'!D73+'ม.ค.-มี.ค.'!E73+'ม.ค.-มี.ค.'!F73+'ม.ค.-มี.ค.'!G73+'ม.ค.-มี.ค.'!H73+'ม.ค.-มี.ค.'!I73+'ม.ค.-มี.ค.'!J73+'ม.ค.-มี.ค.'!K73+'ม.ค.-มี.ค.'!L73+'ม.ค.-มี.ค.'!M73+'ม.ค.-มี.ค.'!N73+'ม.ค.-มี.ค.'!O73+'ม.ค.-มี.ค.'!P73+'ม.ค.-มี.ค.'!Q73+'ม.ค.-มี.ค.'!R73+'ม.ค.-มี.ค.'!S73+'ม.ค.-มี.ค.'!U73+'ม.ค.-มี.ค.'!V73</f>
        <v>0</v>
      </c>
      <c r="F73" s="177">
        <f>+'ต.ค.-มิ.ย. 61'!E73+'ต.ค.-มิ.ย. 61'!F73+'ต.ค.-มิ.ย. 61'!G73+'ต.ค.-มิ.ย. 61'!H73+'ต.ค.-มิ.ย. 61'!I73+'ต.ค.-มิ.ย. 61'!M73+'ต.ค.-มิ.ย. 61'!N73+'ต.ค.-มิ.ย. 61'!P73+'ต.ค.-มิ.ย. 61'!R73+'ต.ค.-มิ.ย. 61'!S73</f>
        <v>0</v>
      </c>
      <c r="G73" s="179"/>
      <c r="H73" s="179">
        <f t="shared" si="12"/>
        <v>0</v>
      </c>
      <c r="I73" s="208">
        <f t="shared" si="11"/>
        <v>10000</v>
      </c>
      <c r="J73" s="242"/>
      <c r="K73" s="331"/>
      <c r="L73" s="247"/>
      <c r="M73" s="247"/>
    </row>
    <row r="74" spans="1:13" ht="21.75" customHeight="1">
      <c r="A74" s="9"/>
      <c r="B74" s="226" t="s">
        <v>278</v>
      </c>
      <c r="C74" s="279">
        <v>10000</v>
      </c>
      <c r="D74" s="177">
        <f>+'ต.ค.-ธ.ค.'!E75+'ต.ค.-ธ.ค.'!F75+'ต.ค.-ธ.ค.'!H75+'ต.ค.-ธ.ค.'!I75+'ต.ค.-ธ.ค.'!M75+'ต.ค.-ธ.ค.'!Q75+'ต.ค.-ธ.ค.'!S75</f>
        <v>0</v>
      </c>
      <c r="E74" s="177">
        <f>+'ม.ค.-มี.ค.'!D74+'ม.ค.-มี.ค.'!E74+'ม.ค.-มี.ค.'!F74+'ม.ค.-มี.ค.'!G74+'ม.ค.-มี.ค.'!H74+'ม.ค.-มี.ค.'!I74+'ม.ค.-มี.ค.'!J74+'ม.ค.-มี.ค.'!K74+'ม.ค.-มี.ค.'!L74+'ม.ค.-มี.ค.'!M74+'ม.ค.-มี.ค.'!N74+'ม.ค.-มี.ค.'!O74+'ม.ค.-มี.ค.'!P74+'ม.ค.-มี.ค.'!Q74+'ม.ค.-มี.ค.'!R74+'ม.ค.-มี.ค.'!S74+'ม.ค.-มี.ค.'!U74+'ม.ค.-มี.ค.'!V74</f>
        <v>0</v>
      </c>
      <c r="F74" s="177">
        <f>+'ต.ค.-มิ.ย. 61'!E74+'ต.ค.-มิ.ย. 61'!F74+'ต.ค.-มิ.ย. 61'!G74+'ต.ค.-มิ.ย. 61'!H74+'ต.ค.-มิ.ย. 61'!I74+'ต.ค.-มิ.ย. 61'!M74+'ต.ค.-มิ.ย. 61'!N74+'ต.ค.-มิ.ย. 61'!P74+'ต.ค.-มิ.ย. 61'!R74+'ต.ค.-มิ.ย. 61'!S74</f>
        <v>0</v>
      </c>
      <c r="G74" s="179"/>
      <c r="H74" s="179">
        <f t="shared" si="12"/>
        <v>0</v>
      </c>
      <c r="I74" s="208">
        <f t="shared" si="11"/>
        <v>10000</v>
      </c>
    </row>
    <row r="75" spans="1:13" s="168" customFormat="1" ht="21.75" customHeight="1">
      <c r="A75" s="165"/>
      <c r="B75" s="226" t="s">
        <v>279</v>
      </c>
      <c r="C75" s="279">
        <v>10000</v>
      </c>
      <c r="D75" s="177">
        <f>+'ต.ค.-ธ.ค.'!E76+'ต.ค.-ธ.ค.'!F76+'ต.ค.-ธ.ค.'!H76+'ต.ค.-ธ.ค.'!I76+'ต.ค.-ธ.ค.'!M76+'ต.ค.-ธ.ค.'!Q76+'ต.ค.-ธ.ค.'!S76</f>
        <v>0</v>
      </c>
      <c r="E75" s="177">
        <f>+'ม.ค.-มี.ค.'!D75+'ม.ค.-มี.ค.'!E75+'ม.ค.-มี.ค.'!F75+'ม.ค.-มี.ค.'!G75+'ม.ค.-มี.ค.'!H75+'ม.ค.-มี.ค.'!I75+'ม.ค.-มี.ค.'!J75+'ม.ค.-มี.ค.'!K75+'ม.ค.-มี.ค.'!L75+'ม.ค.-มี.ค.'!M75+'ม.ค.-มี.ค.'!N75+'ม.ค.-มี.ค.'!O75+'ม.ค.-มี.ค.'!P75+'ม.ค.-มี.ค.'!Q75+'ม.ค.-มี.ค.'!R75+'ม.ค.-มี.ค.'!S75+'ม.ค.-มี.ค.'!U75+'ม.ค.-มี.ค.'!V75</f>
        <v>0</v>
      </c>
      <c r="F75" s="177">
        <f>+'ต.ค.-มิ.ย. 61'!E75+'ต.ค.-มิ.ย. 61'!F75+'ต.ค.-มิ.ย. 61'!G75+'ต.ค.-มิ.ย. 61'!H75+'ต.ค.-มิ.ย. 61'!I75+'ต.ค.-มิ.ย. 61'!M75+'ต.ค.-มิ.ย. 61'!N75+'ต.ค.-มิ.ย. 61'!P75+'ต.ค.-มิ.ย. 61'!R75+'ต.ค.-มิ.ย. 61'!S75</f>
        <v>0</v>
      </c>
      <c r="G75" s="179"/>
      <c r="H75" s="179">
        <f t="shared" si="12"/>
        <v>0</v>
      </c>
      <c r="I75" s="208">
        <f t="shared" si="11"/>
        <v>10000</v>
      </c>
      <c r="J75" s="233"/>
      <c r="K75" s="331"/>
      <c r="L75" s="247"/>
      <c r="M75" s="247"/>
    </row>
    <row r="76" spans="1:13" ht="21.75" customHeight="1">
      <c r="A76" s="9"/>
      <c r="B76" s="226" t="s">
        <v>280</v>
      </c>
      <c r="C76" s="279">
        <v>10000</v>
      </c>
      <c r="D76" s="177">
        <f>+'ต.ค.-ธ.ค.'!E77+'ต.ค.-ธ.ค.'!F77+'ต.ค.-ธ.ค.'!H77+'ต.ค.-ธ.ค.'!I77+'ต.ค.-ธ.ค.'!M77+'ต.ค.-ธ.ค.'!Q77+'ต.ค.-ธ.ค.'!S77</f>
        <v>0</v>
      </c>
      <c r="E76" s="177">
        <f>+'ม.ค.-มี.ค.'!D76+'ม.ค.-มี.ค.'!E76+'ม.ค.-มี.ค.'!F76+'ม.ค.-มี.ค.'!G76+'ม.ค.-มี.ค.'!H76+'ม.ค.-มี.ค.'!I76+'ม.ค.-มี.ค.'!J76+'ม.ค.-มี.ค.'!K76+'ม.ค.-มี.ค.'!L76+'ม.ค.-มี.ค.'!M76+'ม.ค.-มี.ค.'!N76+'ม.ค.-มี.ค.'!O76+'ม.ค.-มี.ค.'!P76+'ม.ค.-มี.ค.'!Q76+'ม.ค.-มี.ค.'!R76+'ม.ค.-มี.ค.'!S76+'ม.ค.-มี.ค.'!U76+'ม.ค.-มี.ค.'!V76</f>
        <v>0</v>
      </c>
      <c r="F76" s="177">
        <f>+'ต.ค.-มิ.ย. 61'!E76+'ต.ค.-มิ.ย. 61'!F76+'ต.ค.-มิ.ย. 61'!G76+'ต.ค.-มิ.ย. 61'!H76+'ต.ค.-มิ.ย. 61'!I76+'ต.ค.-มิ.ย. 61'!M76+'ต.ค.-มิ.ย. 61'!N76+'ต.ค.-มิ.ย. 61'!P76+'ต.ค.-มิ.ย. 61'!R76+'ต.ค.-มิ.ย. 61'!S76</f>
        <v>0</v>
      </c>
      <c r="G76" s="179"/>
      <c r="H76" s="179">
        <f t="shared" si="12"/>
        <v>0</v>
      </c>
      <c r="I76" s="208">
        <f t="shared" si="11"/>
        <v>10000</v>
      </c>
      <c r="J76" s="244"/>
    </row>
    <row r="77" spans="1:13" ht="21.75" customHeight="1">
      <c r="A77" s="9"/>
      <c r="B77" s="226" t="s">
        <v>281</v>
      </c>
      <c r="C77" s="279">
        <v>5000</v>
      </c>
      <c r="D77" s="177">
        <f>+'ต.ค.-ธ.ค.'!E78+'ต.ค.-ธ.ค.'!F78+'ต.ค.-ธ.ค.'!H78+'ต.ค.-ธ.ค.'!I78+'ต.ค.-ธ.ค.'!M78+'ต.ค.-ธ.ค.'!Q78+'ต.ค.-ธ.ค.'!S78</f>
        <v>0</v>
      </c>
      <c r="E77" s="177">
        <f>+'ม.ค.-มี.ค.'!D77+'ม.ค.-มี.ค.'!E77+'ม.ค.-มี.ค.'!F77+'ม.ค.-มี.ค.'!G77+'ม.ค.-มี.ค.'!H77+'ม.ค.-มี.ค.'!I77+'ม.ค.-มี.ค.'!J77+'ม.ค.-มี.ค.'!K77+'ม.ค.-มี.ค.'!L77+'ม.ค.-มี.ค.'!M77+'ม.ค.-มี.ค.'!N77+'ม.ค.-มี.ค.'!O77+'ม.ค.-มี.ค.'!P77+'ม.ค.-มี.ค.'!Q77+'ม.ค.-มี.ค.'!R77+'ม.ค.-มี.ค.'!S77+'ม.ค.-มี.ค.'!U77+'ม.ค.-มี.ค.'!V77</f>
        <v>0</v>
      </c>
      <c r="F77" s="177">
        <f>+'ต.ค.-มิ.ย. 61'!E77+'ต.ค.-มิ.ย. 61'!F77+'ต.ค.-มิ.ย. 61'!G77+'ต.ค.-มิ.ย. 61'!H77+'ต.ค.-มิ.ย. 61'!I77+'ต.ค.-มิ.ย. 61'!M77+'ต.ค.-มิ.ย. 61'!N77+'ต.ค.-มิ.ย. 61'!P77+'ต.ค.-มิ.ย. 61'!R77+'ต.ค.-มิ.ย. 61'!S77</f>
        <v>0</v>
      </c>
      <c r="G77" s="179"/>
      <c r="H77" s="179">
        <f t="shared" si="12"/>
        <v>0</v>
      </c>
      <c r="I77" s="208">
        <f t="shared" si="11"/>
        <v>5000</v>
      </c>
    </row>
    <row r="78" spans="1:13" ht="21.75" customHeight="1">
      <c r="A78" s="9"/>
      <c r="B78" s="226" t="s">
        <v>282</v>
      </c>
      <c r="C78" s="279">
        <v>5000</v>
      </c>
      <c r="D78" s="177">
        <f>+'ต.ค.-ธ.ค.'!E79+'ต.ค.-ธ.ค.'!F79+'ต.ค.-ธ.ค.'!H79+'ต.ค.-ธ.ค.'!I79+'ต.ค.-ธ.ค.'!M79+'ต.ค.-ธ.ค.'!Q79+'ต.ค.-ธ.ค.'!S79</f>
        <v>0</v>
      </c>
      <c r="E78" s="177">
        <f>+'ม.ค.-มี.ค.'!D78+'ม.ค.-มี.ค.'!E78+'ม.ค.-มี.ค.'!F78+'ม.ค.-มี.ค.'!G78+'ม.ค.-มี.ค.'!H78+'ม.ค.-มี.ค.'!I78+'ม.ค.-มี.ค.'!J78+'ม.ค.-มี.ค.'!K78+'ม.ค.-มี.ค.'!L78+'ม.ค.-มี.ค.'!M78+'ม.ค.-มี.ค.'!N78+'ม.ค.-มี.ค.'!O78+'ม.ค.-มี.ค.'!P78+'ม.ค.-มี.ค.'!Q78+'ม.ค.-มี.ค.'!R78+'ม.ค.-มี.ค.'!S78+'ม.ค.-มี.ค.'!U78+'ม.ค.-มี.ค.'!V78</f>
        <v>0</v>
      </c>
      <c r="F78" s="177">
        <f>+'ต.ค.-มิ.ย. 61'!E78+'ต.ค.-มิ.ย. 61'!F78+'ต.ค.-มิ.ย. 61'!G78+'ต.ค.-มิ.ย. 61'!H78+'ต.ค.-มิ.ย. 61'!I78+'ต.ค.-มิ.ย. 61'!M78+'ต.ค.-มิ.ย. 61'!N78+'ต.ค.-มิ.ย. 61'!P78+'ต.ค.-มิ.ย. 61'!R78+'ต.ค.-มิ.ย. 61'!S78</f>
        <v>0</v>
      </c>
      <c r="G78" s="179"/>
      <c r="H78" s="179">
        <f t="shared" si="12"/>
        <v>0</v>
      </c>
      <c r="I78" s="208">
        <f t="shared" si="11"/>
        <v>5000</v>
      </c>
    </row>
    <row r="79" spans="1:13" ht="21.75" customHeight="1">
      <c r="A79" s="9"/>
      <c r="B79" s="226" t="s">
        <v>238</v>
      </c>
      <c r="C79" s="279">
        <f>70000+40000+10000+20000+30000+10000+10000</f>
        <v>190000</v>
      </c>
      <c r="D79" s="177">
        <f>+'ต.ค.-ธ.ค.'!E80+'ต.ค.-ธ.ค.'!F80+'ต.ค.-ธ.ค.'!H80+'ต.ค.-ธ.ค.'!I80+'ต.ค.-ธ.ค.'!M80+'ต.ค.-ธ.ค.'!Q80+'ต.ค.-ธ.ค.'!S80</f>
        <v>75076</v>
      </c>
      <c r="E79" s="177">
        <f>+'ม.ค.-มี.ค.'!D79+'ม.ค.-มี.ค.'!E79+'ม.ค.-มี.ค.'!F79+'ม.ค.-มี.ค.'!G79+'ม.ค.-มี.ค.'!H79+'ม.ค.-มี.ค.'!I79+'ม.ค.-มี.ค.'!J79+'ม.ค.-มี.ค.'!K79+'ม.ค.-มี.ค.'!L79+'ม.ค.-มี.ค.'!M79+'ม.ค.-มี.ค.'!N79+'ม.ค.-มี.ค.'!O79+'ม.ค.-มี.ค.'!P79+'ม.ค.-มี.ค.'!Q79+'ม.ค.-มี.ค.'!R79+'ม.ค.-มี.ค.'!S79+'ม.ค.-มี.ค.'!U79+'ม.ค.-มี.ค.'!V79</f>
        <v>16140</v>
      </c>
      <c r="F79" s="177">
        <f>+'ต.ค.-มิ.ย. 61'!E79+'ต.ค.-มิ.ย. 61'!F79+'ต.ค.-มิ.ย. 61'!G79+'ต.ค.-มิ.ย. 61'!H79+'ต.ค.-มิ.ย. 61'!I79+'ต.ค.-มิ.ย. 61'!M79+'ต.ค.-มิ.ย. 61'!N79+'ต.ค.-มิ.ย. 61'!P79+'ต.ค.-มิ.ย. 61'!R79+'ต.ค.-มิ.ย. 61'!S79</f>
        <v>130843.04000000001</v>
      </c>
      <c r="G79" s="179"/>
      <c r="H79" s="179">
        <f t="shared" si="12"/>
        <v>222059.04</v>
      </c>
      <c r="I79" s="208">
        <f t="shared" si="11"/>
        <v>-32059.040000000008</v>
      </c>
    </row>
    <row r="80" spans="1:13" ht="21.75" customHeight="1">
      <c r="A80" s="9"/>
      <c r="B80" s="226" t="s">
        <v>121</v>
      </c>
      <c r="C80" s="279">
        <f>100000+47000+3000-140000+40000</f>
        <v>50000</v>
      </c>
      <c r="D80" s="177">
        <f>+'ต.ค.-ธ.ค.'!E81+'ต.ค.-ธ.ค.'!F81+'ต.ค.-ธ.ค.'!H81+'ต.ค.-ธ.ค.'!I81+'ต.ค.-ธ.ค.'!M81+'ต.ค.-ธ.ค.'!Q81+'ต.ค.-ธ.ค.'!S81</f>
        <v>0</v>
      </c>
      <c r="E80" s="177">
        <f>+'ม.ค.-มี.ค.'!D80+'ม.ค.-มี.ค.'!E80+'ม.ค.-มี.ค.'!F80+'ม.ค.-มี.ค.'!G80+'ม.ค.-มี.ค.'!H80+'ม.ค.-มี.ค.'!I80+'ม.ค.-มี.ค.'!J80+'ม.ค.-มี.ค.'!K80+'ม.ค.-มี.ค.'!L80+'ม.ค.-มี.ค.'!M80+'ม.ค.-มี.ค.'!N80+'ม.ค.-มี.ค.'!O80+'ม.ค.-มี.ค.'!P80+'ม.ค.-มี.ค.'!Q80+'ม.ค.-มี.ค.'!R80+'ม.ค.-มี.ค.'!S80+'ม.ค.-มี.ค.'!U80+'ม.ค.-มี.ค.'!V80</f>
        <v>0</v>
      </c>
      <c r="F80" s="177">
        <f>+'ต.ค.-มิ.ย. 61'!E80+'ต.ค.-มิ.ย. 61'!F80+'ต.ค.-มิ.ย. 61'!G80+'ต.ค.-มิ.ย. 61'!H80+'ต.ค.-มิ.ย. 61'!I80+'ต.ค.-มิ.ย. 61'!M80+'ต.ค.-มิ.ย. 61'!N80+'ต.ค.-มิ.ย. 61'!P80+'ต.ค.-มิ.ย. 61'!R80+'ต.ค.-มิ.ย. 61'!S80</f>
        <v>23586</v>
      </c>
      <c r="G80" s="179"/>
      <c r="H80" s="179">
        <f t="shared" si="12"/>
        <v>23586</v>
      </c>
      <c r="I80" s="208">
        <f t="shared" si="11"/>
        <v>26414</v>
      </c>
    </row>
    <row r="81" spans="1:9" ht="21.75" customHeight="1">
      <c r="A81" s="9"/>
      <c r="B81" s="226" t="s">
        <v>295</v>
      </c>
      <c r="C81" s="279">
        <f>40000+50000</f>
        <v>90000</v>
      </c>
      <c r="D81" s="177">
        <f>+'ต.ค.-ธ.ค.'!E82+'ต.ค.-ธ.ค.'!F82+'ต.ค.-ธ.ค.'!H82+'ต.ค.-ธ.ค.'!I82+'ต.ค.-ธ.ค.'!M82+'ต.ค.-ธ.ค.'!Q82+'ต.ค.-ธ.ค.'!S82</f>
        <v>0</v>
      </c>
      <c r="E81" s="177">
        <f>+'ม.ค.-มี.ค.'!D81+'ม.ค.-มี.ค.'!E81+'ม.ค.-มี.ค.'!F81+'ม.ค.-มี.ค.'!G81+'ม.ค.-มี.ค.'!H81+'ม.ค.-มี.ค.'!I81+'ม.ค.-มี.ค.'!J81+'ม.ค.-มี.ค.'!K81+'ม.ค.-มี.ค.'!L81+'ม.ค.-มี.ค.'!M81+'ม.ค.-มี.ค.'!N81+'ม.ค.-มี.ค.'!O81+'ม.ค.-มี.ค.'!P81+'ม.ค.-มี.ค.'!Q81+'ม.ค.-มี.ค.'!R81+'ม.ค.-มี.ค.'!S81+'ม.ค.-มี.ค.'!U81+'ม.ค.-มี.ค.'!V81</f>
        <v>81290</v>
      </c>
      <c r="F81" s="177">
        <f>+'ต.ค.-มิ.ย. 61'!E81+'ต.ค.-มิ.ย. 61'!F81+'ต.ค.-มิ.ย. 61'!G81+'ต.ค.-มิ.ย. 61'!H81+'ต.ค.-มิ.ย. 61'!I81+'ต.ค.-มิ.ย. 61'!M81+'ต.ค.-มิ.ย. 61'!N81+'ต.ค.-มิ.ย. 61'!P81+'ต.ค.-มิ.ย. 61'!R81+'ต.ค.-มิ.ย. 61'!S81</f>
        <v>86208</v>
      </c>
      <c r="G81" s="179"/>
      <c r="H81" s="179">
        <f t="shared" si="12"/>
        <v>167498</v>
      </c>
      <c r="I81" s="208">
        <f t="shared" si="11"/>
        <v>-77498</v>
      </c>
    </row>
    <row r="82" spans="1:9" ht="21.75" customHeight="1">
      <c r="A82" s="9"/>
      <c r="B82" s="226" t="s">
        <v>296</v>
      </c>
      <c r="C82" s="279">
        <v>30000</v>
      </c>
      <c r="D82" s="177">
        <f>+'ต.ค.-ธ.ค.'!E83+'ต.ค.-ธ.ค.'!F83+'ต.ค.-ธ.ค.'!H83+'ต.ค.-ธ.ค.'!I83+'ต.ค.-ธ.ค.'!M83+'ต.ค.-ธ.ค.'!Q83+'ต.ค.-ธ.ค.'!S83</f>
        <v>0</v>
      </c>
      <c r="E82" s="177">
        <f>+'ม.ค.-มี.ค.'!D82+'ม.ค.-มี.ค.'!E82+'ม.ค.-มี.ค.'!F82+'ม.ค.-มี.ค.'!G82+'ม.ค.-มี.ค.'!H82+'ม.ค.-มี.ค.'!I82+'ม.ค.-มี.ค.'!J82+'ม.ค.-มี.ค.'!K82+'ม.ค.-มี.ค.'!L82+'ม.ค.-มี.ค.'!M82+'ม.ค.-มี.ค.'!N82+'ม.ค.-มี.ค.'!O82+'ม.ค.-มี.ค.'!P82+'ม.ค.-มี.ค.'!Q82+'ม.ค.-มี.ค.'!R82+'ม.ค.-มี.ค.'!S82+'ม.ค.-มี.ค.'!U82+'ม.ค.-มี.ค.'!V82</f>
        <v>14920</v>
      </c>
      <c r="F82" s="177">
        <f>+'ต.ค.-มิ.ย. 61'!E82+'ต.ค.-มิ.ย. 61'!F82+'ต.ค.-มิ.ย. 61'!G82+'ต.ค.-มิ.ย. 61'!H82+'ต.ค.-มิ.ย. 61'!I82+'ต.ค.-มิ.ย. 61'!M82+'ต.ค.-มิ.ย. 61'!N82+'ต.ค.-มิ.ย. 61'!P82+'ต.ค.-มิ.ย. 61'!R82+'ต.ค.-มิ.ย. 61'!S82</f>
        <v>29690</v>
      </c>
      <c r="G82" s="179"/>
      <c r="H82" s="179">
        <f t="shared" si="12"/>
        <v>44610</v>
      </c>
      <c r="I82" s="208">
        <f t="shared" si="11"/>
        <v>-14610</v>
      </c>
    </row>
    <row r="83" spans="1:9" ht="21.75" customHeight="1">
      <c r="A83" s="9"/>
      <c r="B83" s="226" t="s">
        <v>210</v>
      </c>
      <c r="C83" s="279">
        <v>10000</v>
      </c>
      <c r="D83" s="177">
        <f>+'ต.ค.-ธ.ค.'!E84+'ต.ค.-ธ.ค.'!F84+'ต.ค.-ธ.ค.'!H84+'ต.ค.-ธ.ค.'!I84+'ต.ค.-ธ.ค.'!M84+'ต.ค.-ธ.ค.'!Q84+'ต.ค.-ธ.ค.'!S84</f>
        <v>0</v>
      </c>
      <c r="E83" s="177">
        <f>+'ม.ค.-มี.ค.'!D83+'ม.ค.-มี.ค.'!E83+'ม.ค.-มี.ค.'!F83+'ม.ค.-มี.ค.'!G83+'ม.ค.-มี.ค.'!H83+'ม.ค.-มี.ค.'!I83+'ม.ค.-มี.ค.'!J83+'ม.ค.-มี.ค.'!K83+'ม.ค.-มี.ค.'!L83+'ม.ค.-มี.ค.'!M83+'ม.ค.-มี.ค.'!N83+'ม.ค.-มี.ค.'!O83+'ม.ค.-มี.ค.'!P83+'ม.ค.-มี.ค.'!Q83+'ม.ค.-มี.ค.'!R83+'ม.ค.-มี.ค.'!S83+'ม.ค.-มี.ค.'!U83+'ม.ค.-มี.ค.'!V83</f>
        <v>0</v>
      </c>
      <c r="F83" s="177">
        <f>+'ต.ค.-มิ.ย. 61'!E83+'ต.ค.-มิ.ย. 61'!F83+'ต.ค.-มิ.ย. 61'!G83+'ต.ค.-มิ.ย. 61'!H83+'ต.ค.-มิ.ย. 61'!I83+'ต.ค.-มิ.ย. 61'!M83+'ต.ค.-มิ.ย. 61'!N83+'ต.ค.-มิ.ย. 61'!P83+'ต.ค.-มิ.ย. 61'!R83+'ต.ค.-มิ.ย. 61'!S83</f>
        <v>0</v>
      </c>
      <c r="G83" s="179"/>
      <c r="H83" s="179">
        <f t="shared" si="12"/>
        <v>0</v>
      </c>
      <c r="I83" s="208">
        <f t="shared" si="11"/>
        <v>10000</v>
      </c>
    </row>
    <row r="84" spans="1:9" ht="21.75" customHeight="1">
      <c r="A84" s="9"/>
      <c r="B84" s="187" t="s">
        <v>297</v>
      </c>
      <c r="C84" s="279">
        <v>20000</v>
      </c>
      <c r="D84" s="177">
        <f>+'ต.ค.-ธ.ค.'!E85+'ต.ค.-ธ.ค.'!F85+'ต.ค.-ธ.ค.'!H85+'ต.ค.-ธ.ค.'!I85+'ต.ค.-ธ.ค.'!M85+'ต.ค.-ธ.ค.'!Q85+'ต.ค.-ธ.ค.'!S85</f>
        <v>0</v>
      </c>
      <c r="E84" s="177">
        <f>+'ม.ค.-มี.ค.'!D84+'ม.ค.-มี.ค.'!E84+'ม.ค.-มี.ค.'!F84+'ม.ค.-มี.ค.'!G84+'ม.ค.-มี.ค.'!H84+'ม.ค.-มี.ค.'!I84+'ม.ค.-มี.ค.'!J84+'ม.ค.-มี.ค.'!K84+'ม.ค.-มี.ค.'!L84+'ม.ค.-มี.ค.'!M84+'ม.ค.-มี.ค.'!N84+'ม.ค.-มี.ค.'!O84+'ม.ค.-มี.ค.'!P84+'ม.ค.-มี.ค.'!Q84+'ม.ค.-มี.ค.'!R84+'ม.ค.-มี.ค.'!S84+'ม.ค.-มี.ค.'!U84+'ม.ค.-มี.ค.'!V84</f>
        <v>0</v>
      </c>
      <c r="F84" s="177">
        <f>+'ต.ค.-มิ.ย. 61'!E84+'ต.ค.-มิ.ย. 61'!F84+'ต.ค.-มิ.ย. 61'!G84+'ต.ค.-มิ.ย. 61'!H84+'ต.ค.-มิ.ย. 61'!I84+'ต.ค.-มิ.ย. 61'!M84+'ต.ค.-มิ.ย. 61'!N84+'ต.ค.-มิ.ย. 61'!P84+'ต.ค.-มิ.ย. 61'!R84+'ต.ค.-มิ.ย. 61'!S84</f>
        <v>0</v>
      </c>
      <c r="G84" s="179"/>
      <c r="H84" s="179">
        <f t="shared" si="12"/>
        <v>0</v>
      </c>
      <c r="I84" s="208">
        <f t="shared" si="11"/>
        <v>20000</v>
      </c>
    </row>
    <row r="85" spans="1:9" ht="21.75" customHeight="1">
      <c r="A85" s="9"/>
      <c r="B85" s="187" t="s">
        <v>298</v>
      </c>
      <c r="C85" s="279">
        <v>20000</v>
      </c>
      <c r="D85" s="177">
        <f>+'ต.ค.-ธ.ค.'!E86+'ต.ค.-ธ.ค.'!F86+'ต.ค.-ธ.ค.'!H86+'ต.ค.-ธ.ค.'!I86+'ต.ค.-ธ.ค.'!M86+'ต.ค.-ธ.ค.'!Q86+'ต.ค.-ธ.ค.'!S86</f>
        <v>0</v>
      </c>
      <c r="E85" s="177">
        <f>+'ม.ค.-มี.ค.'!D85+'ม.ค.-มี.ค.'!E85+'ม.ค.-มี.ค.'!F85+'ม.ค.-มี.ค.'!G85+'ม.ค.-มี.ค.'!H85+'ม.ค.-มี.ค.'!I85+'ม.ค.-มี.ค.'!J85+'ม.ค.-มี.ค.'!K85+'ม.ค.-มี.ค.'!L85+'ม.ค.-มี.ค.'!M85+'ม.ค.-มี.ค.'!N85+'ม.ค.-มี.ค.'!O85+'ม.ค.-มี.ค.'!P85+'ม.ค.-มี.ค.'!Q85+'ม.ค.-มี.ค.'!R85+'ม.ค.-มี.ค.'!S85+'ม.ค.-มี.ค.'!U85+'ม.ค.-มี.ค.'!V85</f>
        <v>0</v>
      </c>
      <c r="F85" s="177">
        <f>+'ต.ค.-มิ.ย. 61'!E85+'ต.ค.-มิ.ย. 61'!F85+'ต.ค.-มิ.ย. 61'!G85+'ต.ค.-มิ.ย. 61'!H85+'ต.ค.-มิ.ย. 61'!I85+'ต.ค.-มิ.ย. 61'!M85+'ต.ค.-มิ.ย. 61'!N85+'ต.ค.-มิ.ย. 61'!P85+'ต.ค.-มิ.ย. 61'!R85+'ต.ค.-มิ.ย. 61'!S85</f>
        <v>0</v>
      </c>
      <c r="G85" s="179"/>
      <c r="H85" s="179">
        <f t="shared" si="12"/>
        <v>0</v>
      </c>
      <c r="I85" s="208">
        <f t="shared" si="11"/>
        <v>20000</v>
      </c>
    </row>
    <row r="86" spans="1:9" ht="21.75" customHeight="1">
      <c r="A86" s="9"/>
      <c r="B86" s="187" t="s">
        <v>299</v>
      </c>
      <c r="C86" s="279">
        <v>15000</v>
      </c>
      <c r="D86" s="177">
        <f>+'ต.ค.-ธ.ค.'!E87+'ต.ค.-ธ.ค.'!F87+'ต.ค.-ธ.ค.'!H87+'ต.ค.-ธ.ค.'!I87+'ต.ค.-ธ.ค.'!M87+'ต.ค.-ธ.ค.'!Q87+'ต.ค.-ธ.ค.'!S87</f>
        <v>0</v>
      </c>
      <c r="E86" s="177">
        <f>+'ม.ค.-มี.ค.'!D86+'ม.ค.-มี.ค.'!E86+'ม.ค.-มี.ค.'!F86+'ม.ค.-มี.ค.'!G86+'ม.ค.-มี.ค.'!H86+'ม.ค.-มี.ค.'!I86+'ม.ค.-มี.ค.'!J86+'ม.ค.-มี.ค.'!K86+'ม.ค.-มี.ค.'!L86+'ม.ค.-มี.ค.'!M86+'ม.ค.-มี.ค.'!N86+'ม.ค.-มี.ค.'!O86+'ม.ค.-มี.ค.'!P86+'ม.ค.-มี.ค.'!Q86+'ม.ค.-มี.ค.'!R86+'ม.ค.-มี.ค.'!S86+'ม.ค.-มี.ค.'!U86+'ม.ค.-มี.ค.'!V86</f>
        <v>0</v>
      </c>
      <c r="F86" s="177">
        <f>+'ต.ค.-มิ.ย. 61'!E86+'ต.ค.-มิ.ย. 61'!F86+'ต.ค.-มิ.ย. 61'!G86+'ต.ค.-มิ.ย. 61'!H86+'ต.ค.-มิ.ย. 61'!I86+'ต.ค.-มิ.ย. 61'!M86+'ต.ค.-มิ.ย. 61'!N86+'ต.ค.-มิ.ย. 61'!P86+'ต.ค.-มิ.ย. 61'!R86+'ต.ค.-มิ.ย. 61'!S86</f>
        <v>15000</v>
      </c>
      <c r="G86" s="179"/>
      <c r="H86" s="179">
        <f t="shared" si="12"/>
        <v>15000</v>
      </c>
      <c r="I86" s="208">
        <f t="shared" si="11"/>
        <v>0</v>
      </c>
    </row>
    <row r="87" spans="1:9" ht="21.75" customHeight="1">
      <c r="A87" s="9"/>
      <c r="B87" s="187" t="s">
        <v>300</v>
      </c>
      <c r="C87" s="279">
        <v>10000</v>
      </c>
      <c r="D87" s="177">
        <f>+'ต.ค.-ธ.ค.'!E88+'ต.ค.-ธ.ค.'!F88+'ต.ค.-ธ.ค.'!H88+'ต.ค.-ธ.ค.'!I88+'ต.ค.-ธ.ค.'!M88+'ต.ค.-ธ.ค.'!Q88+'ต.ค.-ธ.ค.'!S88</f>
        <v>10000</v>
      </c>
      <c r="E87" s="177">
        <f>+'ม.ค.-มี.ค.'!D87+'ม.ค.-มี.ค.'!E87+'ม.ค.-มี.ค.'!F87+'ม.ค.-มี.ค.'!G87+'ม.ค.-มี.ค.'!H87+'ม.ค.-มี.ค.'!I87+'ม.ค.-มี.ค.'!J87+'ม.ค.-มี.ค.'!K87+'ม.ค.-มี.ค.'!L87+'ม.ค.-มี.ค.'!M87+'ม.ค.-มี.ค.'!N87+'ม.ค.-มี.ค.'!O87+'ม.ค.-มี.ค.'!P87+'ม.ค.-มี.ค.'!Q87+'ม.ค.-มี.ค.'!R87+'ม.ค.-มี.ค.'!S87+'ม.ค.-มี.ค.'!U87+'ม.ค.-มี.ค.'!V87</f>
        <v>0</v>
      </c>
      <c r="F87" s="177">
        <f>+'ต.ค.-มิ.ย. 61'!E87+'ต.ค.-มิ.ย. 61'!F87+'ต.ค.-มิ.ย. 61'!G87+'ต.ค.-มิ.ย. 61'!H87+'ต.ค.-มิ.ย. 61'!I87+'ต.ค.-มิ.ย. 61'!M87+'ต.ค.-มิ.ย. 61'!N87+'ต.ค.-มิ.ย. 61'!P87+'ต.ค.-มิ.ย. 61'!R87+'ต.ค.-มิ.ย. 61'!S87</f>
        <v>10000</v>
      </c>
      <c r="G87" s="179"/>
      <c r="H87" s="179">
        <f t="shared" si="12"/>
        <v>20000</v>
      </c>
      <c r="I87" s="208">
        <f t="shared" si="11"/>
        <v>-10000</v>
      </c>
    </row>
    <row r="88" spans="1:9" ht="21.75" customHeight="1">
      <c r="A88" s="9"/>
      <c r="B88" s="187" t="s">
        <v>301</v>
      </c>
      <c r="C88" s="279">
        <v>345100</v>
      </c>
      <c r="D88" s="177">
        <f>+'ต.ค.-ธ.ค.'!E89+'ต.ค.-ธ.ค.'!F89+'ต.ค.-ธ.ค.'!H89+'ต.ค.-ธ.ค.'!I89+'ต.ค.-ธ.ค.'!M89+'ต.ค.-ธ.ค.'!Q89+'ต.ค.-ธ.ค.'!S89</f>
        <v>345100</v>
      </c>
      <c r="E88" s="177">
        <f>+'ม.ค.-มี.ค.'!D88+'ม.ค.-มี.ค.'!E88+'ม.ค.-มี.ค.'!F88+'ม.ค.-มี.ค.'!G88+'ม.ค.-มี.ค.'!H88+'ม.ค.-มี.ค.'!I88+'ม.ค.-มี.ค.'!J88+'ม.ค.-มี.ค.'!K88+'ม.ค.-มี.ค.'!L88+'ม.ค.-มี.ค.'!M88+'ม.ค.-มี.ค.'!N88+'ม.ค.-มี.ค.'!O88+'ม.ค.-มี.ค.'!P88+'ม.ค.-มี.ค.'!Q88+'ม.ค.-มี.ค.'!R88+'ม.ค.-มี.ค.'!S88+'ม.ค.-มี.ค.'!U88+'ม.ค.-มี.ค.'!V88</f>
        <v>0</v>
      </c>
      <c r="F88" s="177">
        <f>+'ต.ค.-มิ.ย. 61'!E88+'ต.ค.-มิ.ย. 61'!F88+'ต.ค.-มิ.ย. 61'!G88+'ต.ค.-มิ.ย. 61'!H88+'ต.ค.-มิ.ย. 61'!I88+'ต.ค.-มิ.ย. 61'!M88+'ต.ค.-มิ.ย. 61'!N88+'ต.ค.-มิ.ย. 61'!P88+'ต.ค.-มิ.ย. 61'!R88+'ต.ค.-มิ.ย. 61'!S88</f>
        <v>345100</v>
      </c>
      <c r="G88" s="179"/>
      <c r="H88" s="179">
        <f t="shared" si="12"/>
        <v>690200</v>
      </c>
      <c r="I88" s="208">
        <f t="shared" si="11"/>
        <v>-345100</v>
      </c>
    </row>
    <row r="89" spans="1:9" ht="21.75" customHeight="1">
      <c r="A89" s="9"/>
      <c r="B89" s="187" t="s">
        <v>242</v>
      </c>
      <c r="C89" s="279">
        <v>40000</v>
      </c>
      <c r="D89" s="177">
        <f>+'ต.ค.-ธ.ค.'!E90+'ต.ค.-ธ.ค.'!F90+'ต.ค.-ธ.ค.'!H90+'ต.ค.-ธ.ค.'!I90+'ต.ค.-ธ.ค.'!M90+'ต.ค.-ธ.ค.'!Q90+'ต.ค.-ธ.ค.'!S90</f>
        <v>0</v>
      </c>
      <c r="E89" s="177">
        <f>+'ม.ค.-มี.ค.'!D89+'ม.ค.-มี.ค.'!E89+'ม.ค.-มี.ค.'!F89+'ม.ค.-มี.ค.'!G89+'ม.ค.-มี.ค.'!H89+'ม.ค.-มี.ค.'!I89+'ม.ค.-มี.ค.'!J89+'ม.ค.-มี.ค.'!K89+'ม.ค.-มี.ค.'!L89+'ม.ค.-มี.ค.'!M89+'ม.ค.-มี.ค.'!N89+'ม.ค.-มี.ค.'!O89+'ม.ค.-มี.ค.'!P89+'ม.ค.-มี.ค.'!Q89+'ม.ค.-มี.ค.'!R89+'ม.ค.-มี.ค.'!S89+'ม.ค.-มี.ค.'!U89+'ม.ค.-มี.ค.'!V89</f>
        <v>40000</v>
      </c>
      <c r="F89" s="177">
        <f>+'ต.ค.-มิ.ย. 61'!E89+'ต.ค.-มิ.ย. 61'!F89+'ต.ค.-มิ.ย. 61'!G89+'ต.ค.-มิ.ย. 61'!H89+'ต.ค.-มิ.ย. 61'!I89+'ต.ค.-มิ.ย. 61'!M89+'ต.ค.-มิ.ย. 61'!N89+'ต.ค.-มิ.ย. 61'!P89+'ต.ค.-มิ.ย. 61'!R89+'ต.ค.-มิ.ย. 61'!S89</f>
        <v>40000</v>
      </c>
      <c r="G89" s="179"/>
      <c r="H89" s="179">
        <f t="shared" si="12"/>
        <v>80000</v>
      </c>
      <c r="I89" s="208">
        <f t="shared" si="11"/>
        <v>-40000</v>
      </c>
    </row>
    <row r="90" spans="1:9" ht="21.75" customHeight="1">
      <c r="A90" s="9"/>
      <c r="B90" s="187" t="s">
        <v>307</v>
      </c>
      <c r="C90" s="279">
        <f>10000-10000</f>
        <v>0</v>
      </c>
      <c r="D90" s="177">
        <f>+'ต.ค.-ธ.ค.'!E91+'ต.ค.-ธ.ค.'!F91+'ต.ค.-ธ.ค.'!H91+'ต.ค.-ธ.ค.'!I91+'ต.ค.-ธ.ค.'!M91+'ต.ค.-ธ.ค.'!Q91+'ต.ค.-ธ.ค.'!S91</f>
        <v>0</v>
      </c>
      <c r="E90" s="177">
        <f>+'ม.ค.-มี.ค.'!D90+'ม.ค.-มี.ค.'!E90+'ม.ค.-มี.ค.'!F90+'ม.ค.-มี.ค.'!G90+'ม.ค.-มี.ค.'!H90+'ม.ค.-มี.ค.'!I90+'ม.ค.-มี.ค.'!J90+'ม.ค.-มี.ค.'!K90+'ม.ค.-มี.ค.'!L90+'ม.ค.-มี.ค.'!M90+'ม.ค.-มี.ค.'!N90+'ม.ค.-มี.ค.'!O90+'ม.ค.-มี.ค.'!P90+'ม.ค.-มี.ค.'!Q90+'ม.ค.-มี.ค.'!R90+'ม.ค.-มี.ค.'!S90+'ม.ค.-มี.ค.'!U90+'ม.ค.-มี.ค.'!V90</f>
        <v>0</v>
      </c>
      <c r="F90" s="177">
        <f>+'ต.ค.-มิ.ย. 61'!E90+'ต.ค.-มิ.ย. 61'!F90+'ต.ค.-มิ.ย. 61'!G90+'ต.ค.-มิ.ย. 61'!H90+'ต.ค.-มิ.ย. 61'!I90+'ต.ค.-มิ.ย. 61'!M90+'ต.ค.-มิ.ย. 61'!N90+'ต.ค.-มิ.ย. 61'!P90+'ต.ค.-มิ.ย. 61'!R90+'ต.ค.-มิ.ย. 61'!S90</f>
        <v>0</v>
      </c>
      <c r="G90" s="179"/>
      <c r="H90" s="179">
        <f t="shared" si="12"/>
        <v>0</v>
      </c>
      <c r="I90" s="208">
        <f t="shared" si="11"/>
        <v>0</v>
      </c>
    </row>
    <row r="91" spans="1:9" ht="21.75" customHeight="1">
      <c r="A91" s="9"/>
      <c r="B91" s="187" t="s">
        <v>134</v>
      </c>
      <c r="C91" s="279">
        <f>15000-10000</f>
        <v>5000</v>
      </c>
      <c r="D91" s="177">
        <f>+'ต.ค.-ธ.ค.'!E92+'ต.ค.-ธ.ค.'!F92+'ต.ค.-ธ.ค.'!H92+'ต.ค.-ธ.ค.'!I92+'ต.ค.-ธ.ค.'!M92+'ต.ค.-ธ.ค.'!Q92+'ต.ค.-ธ.ค.'!S92</f>
        <v>0</v>
      </c>
      <c r="E91" s="177">
        <f>+'ม.ค.-มี.ค.'!D91+'ม.ค.-มี.ค.'!E91+'ม.ค.-มี.ค.'!F91+'ม.ค.-มี.ค.'!G91+'ม.ค.-มี.ค.'!H91+'ม.ค.-มี.ค.'!I91+'ม.ค.-มี.ค.'!J91+'ม.ค.-มี.ค.'!K91+'ม.ค.-มี.ค.'!L91+'ม.ค.-มี.ค.'!M91+'ม.ค.-มี.ค.'!N91+'ม.ค.-มี.ค.'!O91+'ม.ค.-มี.ค.'!P91+'ม.ค.-มี.ค.'!Q91+'ม.ค.-มี.ค.'!R91+'ม.ค.-มี.ค.'!S91+'ม.ค.-มี.ค.'!U91+'ม.ค.-มี.ค.'!V91</f>
        <v>0</v>
      </c>
      <c r="F91" s="177">
        <f>+'ต.ค.-มิ.ย. 61'!E91+'ต.ค.-มิ.ย. 61'!F91+'ต.ค.-มิ.ย. 61'!G91+'ต.ค.-มิ.ย. 61'!H91+'ต.ค.-มิ.ย. 61'!I91+'ต.ค.-มิ.ย. 61'!M91+'ต.ค.-มิ.ย. 61'!N91+'ต.ค.-มิ.ย. 61'!P91+'ต.ค.-มิ.ย. 61'!R91+'ต.ค.-มิ.ย. 61'!S91</f>
        <v>5000</v>
      </c>
      <c r="G91" s="179"/>
      <c r="H91" s="179">
        <f t="shared" si="12"/>
        <v>5000</v>
      </c>
      <c r="I91" s="208">
        <f t="shared" si="11"/>
        <v>0</v>
      </c>
    </row>
    <row r="92" spans="1:9" ht="21.75" customHeight="1">
      <c r="A92" s="9"/>
      <c r="B92" s="187" t="s">
        <v>308</v>
      </c>
      <c r="C92" s="279">
        <f>2500-2500</f>
        <v>0</v>
      </c>
      <c r="D92" s="177">
        <f>+'ต.ค.-ธ.ค.'!E93+'ต.ค.-ธ.ค.'!F93+'ต.ค.-ธ.ค.'!H93+'ต.ค.-ธ.ค.'!I93+'ต.ค.-ธ.ค.'!M93+'ต.ค.-ธ.ค.'!Q93+'ต.ค.-ธ.ค.'!S93</f>
        <v>0</v>
      </c>
      <c r="E92" s="177">
        <f>+'ม.ค.-มี.ค.'!D92+'ม.ค.-มี.ค.'!E92+'ม.ค.-มี.ค.'!F92+'ม.ค.-มี.ค.'!G92+'ม.ค.-มี.ค.'!H92+'ม.ค.-มี.ค.'!I92+'ม.ค.-มี.ค.'!J92+'ม.ค.-มี.ค.'!K92+'ม.ค.-มี.ค.'!L92+'ม.ค.-มี.ค.'!M92+'ม.ค.-มี.ค.'!N92+'ม.ค.-มี.ค.'!O92+'ม.ค.-มี.ค.'!P92+'ม.ค.-มี.ค.'!Q92+'ม.ค.-มี.ค.'!R92+'ม.ค.-มี.ค.'!S92+'ม.ค.-มี.ค.'!U92+'ม.ค.-มี.ค.'!V92</f>
        <v>0</v>
      </c>
      <c r="F92" s="177">
        <f>+'ต.ค.-มิ.ย. 61'!E92+'ต.ค.-มิ.ย. 61'!F92+'ต.ค.-มิ.ย. 61'!G92+'ต.ค.-มิ.ย. 61'!H92+'ต.ค.-มิ.ย. 61'!I92+'ต.ค.-มิ.ย. 61'!M92+'ต.ค.-มิ.ย. 61'!N92+'ต.ค.-มิ.ย. 61'!P92+'ต.ค.-มิ.ย. 61'!R92+'ต.ค.-มิ.ย. 61'!S92</f>
        <v>0</v>
      </c>
      <c r="G92" s="179"/>
      <c r="H92" s="179">
        <f t="shared" si="12"/>
        <v>0</v>
      </c>
      <c r="I92" s="208">
        <f t="shared" si="11"/>
        <v>0</v>
      </c>
    </row>
    <row r="93" spans="1:9" ht="21.75" customHeight="1">
      <c r="A93" s="9"/>
      <c r="B93" s="187" t="s">
        <v>309</v>
      </c>
      <c r="C93" s="279">
        <f>2500-2500</f>
        <v>0</v>
      </c>
      <c r="D93" s="177">
        <f>+'ต.ค.-ธ.ค.'!E94+'ต.ค.-ธ.ค.'!F94+'ต.ค.-ธ.ค.'!H94+'ต.ค.-ธ.ค.'!I94+'ต.ค.-ธ.ค.'!M94+'ต.ค.-ธ.ค.'!Q94+'ต.ค.-ธ.ค.'!S94</f>
        <v>0</v>
      </c>
      <c r="E93" s="177">
        <f>+'ม.ค.-มี.ค.'!D93+'ม.ค.-มี.ค.'!E93+'ม.ค.-มี.ค.'!F93+'ม.ค.-มี.ค.'!G93+'ม.ค.-มี.ค.'!H93+'ม.ค.-มี.ค.'!I93+'ม.ค.-มี.ค.'!J93+'ม.ค.-มี.ค.'!K93+'ม.ค.-มี.ค.'!L93+'ม.ค.-มี.ค.'!M93+'ม.ค.-มี.ค.'!N93+'ม.ค.-มี.ค.'!O93+'ม.ค.-มี.ค.'!P93+'ม.ค.-มี.ค.'!Q93+'ม.ค.-มี.ค.'!R93+'ม.ค.-มี.ค.'!S93+'ม.ค.-มี.ค.'!U93+'ม.ค.-มี.ค.'!V93</f>
        <v>0</v>
      </c>
      <c r="F93" s="177">
        <f>+'ต.ค.-มิ.ย. 61'!E93+'ต.ค.-มิ.ย. 61'!F93+'ต.ค.-มิ.ย. 61'!G93+'ต.ค.-มิ.ย. 61'!H93+'ต.ค.-มิ.ย. 61'!I93+'ต.ค.-มิ.ย. 61'!M93+'ต.ค.-มิ.ย. 61'!N93+'ต.ค.-มิ.ย. 61'!P93+'ต.ค.-มิ.ย. 61'!R93+'ต.ค.-มิ.ย. 61'!S93</f>
        <v>0</v>
      </c>
      <c r="G93" s="179"/>
      <c r="H93" s="179">
        <f t="shared" si="12"/>
        <v>0</v>
      </c>
      <c r="I93" s="208">
        <f t="shared" si="11"/>
        <v>0</v>
      </c>
    </row>
    <row r="94" spans="1:9" ht="21.75" customHeight="1">
      <c r="A94" s="9"/>
      <c r="B94" s="187" t="s">
        <v>310</v>
      </c>
      <c r="C94" s="279">
        <f>2500-2500</f>
        <v>0</v>
      </c>
      <c r="D94" s="177">
        <f>+'ต.ค.-ธ.ค.'!E95+'ต.ค.-ธ.ค.'!F95+'ต.ค.-ธ.ค.'!H95+'ต.ค.-ธ.ค.'!I95+'ต.ค.-ธ.ค.'!M95+'ต.ค.-ธ.ค.'!Q95+'ต.ค.-ธ.ค.'!S95</f>
        <v>0</v>
      </c>
      <c r="E94" s="177">
        <f>+'ม.ค.-มี.ค.'!D94+'ม.ค.-มี.ค.'!E94+'ม.ค.-มี.ค.'!F94+'ม.ค.-มี.ค.'!G94+'ม.ค.-มี.ค.'!H94+'ม.ค.-มี.ค.'!I94+'ม.ค.-มี.ค.'!J94+'ม.ค.-มี.ค.'!K94+'ม.ค.-มี.ค.'!L94+'ม.ค.-มี.ค.'!M94+'ม.ค.-มี.ค.'!N94+'ม.ค.-มี.ค.'!O94+'ม.ค.-มี.ค.'!P94+'ม.ค.-มี.ค.'!Q94+'ม.ค.-มี.ค.'!R94+'ม.ค.-มี.ค.'!S94+'ม.ค.-มี.ค.'!U94+'ม.ค.-มี.ค.'!V94</f>
        <v>0</v>
      </c>
      <c r="F94" s="177">
        <f>+'ต.ค.-มิ.ย. 61'!E94+'ต.ค.-มิ.ย. 61'!F94+'ต.ค.-มิ.ย. 61'!G94+'ต.ค.-มิ.ย. 61'!H94+'ต.ค.-มิ.ย. 61'!I94+'ต.ค.-มิ.ย. 61'!M94+'ต.ค.-มิ.ย. 61'!N94+'ต.ค.-มิ.ย. 61'!P94+'ต.ค.-มิ.ย. 61'!R94+'ต.ค.-มิ.ย. 61'!S94</f>
        <v>0</v>
      </c>
      <c r="G94" s="179"/>
      <c r="H94" s="179">
        <f t="shared" si="12"/>
        <v>0</v>
      </c>
      <c r="I94" s="208">
        <f t="shared" si="11"/>
        <v>0</v>
      </c>
    </row>
    <row r="95" spans="1:9" ht="21.75" customHeight="1">
      <c r="A95" s="9"/>
      <c r="B95" s="187" t="s">
        <v>311</v>
      </c>
      <c r="C95" s="279">
        <f>2500-2500</f>
        <v>0</v>
      </c>
      <c r="D95" s="177">
        <f>+'ต.ค.-ธ.ค.'!E96+'ต.ค.-ธ.ค.'!F96+'ต.ค.-ธ.ค.'!H96+'ต.ค.-ธ.ค.'!I96+'ต.ค.-ธ.ค.'!M96+'ต.ค.-ธ.ค.'!Q96+'ต.ค.-ธ.ค.'!S96</f>
        <v>0</v>
      </c>
      <c r="E95" s="177">
        <f>+'ม.ค.-มี.ค.'!D95+'ม.ค.-มี.ค.'!E95+'ม.ค.-มี.ค.'!F95+'ม.ค.-มี.ค.'!G95+'ม.ค.-มี.ค.'!H95+'ม.ค.-มี.ค.'!I95+'ม.ค.-มี.ค.'!J95+'ม.ค.-มี.ค.'!K95+'ม.ค.-มี.ค.'!L95+'ม.ค.-มี.ค.'!M95+'ม.ค.-มี.ค.'!N95+'ม.ค.-มี.ค.'!O95+'ม.ค.-มี.ค.'!P95+'ม.ค.-มี.ค.'!Q95+'ม.ค.-มี.ค.'!R95+'ม.ค.-มี.ค.'!S95+'ม.ค.-มี.ค.'!U95+'ม.ค.-มี.ค.'!V95</f>
        <v>0</v>
      </c>
      <c r="F95" s="177">
        <f>+'ต.ค.-มิ.ย. 61'!E95+'ต.ค.-มิ.ย. 61'!F95+'ต.ค.-มิ.ย. 61'!G95+'ต.ค.-มิ.ย. 61'!H95+'ต.ค.-มิ.ย. 61'!I95+'ต.ค.-มิ.ย. 61'!M95+'ต.ค.-มิ.ย. 61'!N95+'ต.ค.-มิ.ย. 61'!P95+'ต.ค.-มิ.ย. 61'!R95+'ต.ค.-มิ.ย. 61'!S95</f>
        <v>0</v>
      </c>
      <c r="G95" s="179"/>
      <c r="H95" s="179">
        <f t="shared" si="12"/>
        <v>0</v>
      </c>
      <c r="I95" s="208">
        <f t="shared" si="11"/>
        <v>0</v>
      </c>
    </row>
    <row r="96" spans="1:9" ht="21.75" customHeight="1">
      <c r="A96" s="9"/>
      <c r="B96" s="187" t="s">
        <v>243</v>
      </c>
      <c r="C96" s="279">
        <v>2000</v>
      </c>
      <c r="D96" s="177">
        <f>+'ต.ค.-ธ.ค.'!E97+'ต.ค.-ธ.ค.'!F97+'ต.ค.-ธ.ค.'!H97+'ต.ค.-ธ.ค.'!I97+'ต.ค.-ธ.ค.'!M97+'ต.ค.-ธ.ค.'!Q97+'ต.ค.-ธ.ค.'!S97</f>
        <v>0</v>
      </c>
      <c r="E96" s="177">
        <f>+'ม.ค.-มี.ค.'!D96+'ม.ค.-มี.ค.'!E96+'ม.ค.-มี.ค.'!F96+'ม.ค.-มี.ค.'!G96+'ม.ค.-มี.ค.'!H96+'ม.ค.-มี.ค.'!I96+'ม.ค.-มี.ค.'!J96+'ม.ค.-มี.ค.'!K96+'ม.ค.-มี.ค.'!L96+'ม.ค.-มี.ค.'!M96+'ม.ค.-มี.ค.'!N96+'ม.ค.-มี.ค.'!O96+'ม.ค.-มี.ค.'!P96+'ม.ค.-มี.ค.'!Q96+'ม.ค.-มี.ค.'!R96+'ม.ค.-มี.ค.'!S96+'ม.ค.-มี.ค.'!U96+'ม.ค.-มี.ค.'!V96</f>
        <v>2000</v>
      </c>
      <c r="F96" s="177">
        <f>+'ต.ค.-มิ.ย. 61'!E96+'ต.ค.-มิ.ย. 61'!F96+'ต.ค.-มิ.ย. 61'!G96+'ต.ค.-มิ.ย. 61'!H96+'ต.ค.-มิ.ย. 61'!I96+'ต.ค.-มิ.ย. 61'!M96+'ต.ค.-มิ.ย. 61'!N96+'ต.ค.-มิ.ย. 61'!P96+'ต.ค.-มิ.ย. 61'!R96+'ต.ค.-มิ.ย. 61'!S96</f>
        <v>2000</v>
      </c>
      <c r="G96" s="179"/>
      <c r="H96" s="179">
        <f t="shared" si="12"/>
        <v>4000</v>
      </c>
      <c r="I96" s="208">
        <f t="shared" si="11"/>
        <v>-2000</v>
      </c>
    </row>
    <row r="97" spans="1:13" ht="21.75" customHeight="1">
      <c r="A97" s="9"/>
      <c r="B97" s="187" t="s">
        <v>248</v>
      </c>
      <c r="C97" s="279">
        <v>2000</v>
      </c>
      <c r="D97" s="177">
        <f>+'ต.ค.-ธ.ค.'!E98+'ต.ค.-ธ.ค.'!F98+'ต.ค.-ธ.ค.'!H98+'ต.ค.-ธ.ค.'!I98+'ต.ค.-ธ.ค.'!M98+'ต.ค.-ธ.ค.'!Q98+'ต.ค.-ธ.ค.'!S98</f>
        <v>0</v>
      </c>
      <c r="E97" s="177">
        <f>+'ม.ค.-มี.ค.'!D97+'ม.ค.-มี.ค.'!E97+'ม.ค.-มี.ค.'!F97+'ม.ค.-มี.ค.'!G97+'ม.ค.-มี.ค.'!H97+'ม.ค.-มี.ค.'!I97+'ม.ค.-มี.ค.'!J97+'ม.ค.-มี.ค.'!K97+'ม.ค.-มี.ค.'!L97+'ม.ค.-มี.ค.'!M97+'ม.ค.-มี.ค.'!N97+'ม.ค.-มี.ค.'!O97+'ม.ค.-มี.ค.'!P97+'ม.ค.-มี.ค.'!Q97+'ม.ค.-มี.ค.'!R97+'ม.ค.-มี.ค.'!S97+'ม.ค.-มี.ค.'!U97+'ม.ค.-มี.ค.'!V97</f>
        <v>2000</v>
      </c>
      <c r="F97" s="177">
        <f>+'ต.ค.-มิ.ย. 61'!E97+'ต.ค.-มิ.ย. 61'!F97+'ต.ค.-มิ.ย. 61'!G97+'ต.ค.-มิ.ย. 61'!H97+'ต.ค.-มิ.ย. 61'!I97+'ต.ค.-มิ.ย. 61'!M97+'ต.ค.-มิ.ย. 61'!N97+'ต.ค.-มิ.ย. 61'!P97+'ต.ค.-มิ.ย. 61'!R97+'ต.ค.-มิ.ย. 61'!S97</f>
        <v>2000</v>
      </c>
      <c r="G97" s="179"/>
      <c r="H97" s="179">
        <f t="shared" si="12"/>
        <v>4000</v>
      </c>
      <c r="I97" s="208">
        <f t="shared" si="11"/>
        <v>-2000</v>
      </c>
    </row>
    <row r="98" spans="1:13" s="168" customFormat="1" ht="21.75" customHeight="1">
      <c r="A98" s="9"/>
      <c r="B98" s="187" t="s">
        <v>244</v>
      </c>
      <c r="C98" s="279">
        <v>2000</v>
      </c>
      <c r="D98" s="177">
        <f>+'ต.ค.-ธ.ค.'!E99+'ต.ค.-ธ.ค.'!F99+'ต.ค.-ธ.ค.'!H99+'ต.ค.-ธ.ค.'!I99+'ต.ค.-ธ.ค.'!M99+'ต.ค.-ธ.ค.'!Q99+'ต.ค.-ธ.ค.'!S99</f>
        <v>0</v>
      </c>
      <c r="E98" s="177">
        <f>+'ม.ค.-มี.ค.'!D98+'ม.ค.-มี.ค.'!E98+'ม.ค.-มี.ค.'!F98+'ม.ค.-มี.ค.'!G98+'ม.ค.-มี.ค.'!H98+'ม.ค.-มี.ค.'!I98+'ม.ค.-มี.ค.'!J98+'ม.ค.-มี.ค.'!K98+'ม.ค.-มี.ค.'!L98+'ม.ค.-มี.ค.'!M98+'ม.ค.-มี.ค.'!N98+'ม.ค.-มี.ค.'!O98+'ม.ค.-มี.ค.'!P98+'ม.ค.-มี.ค.'!Q98+'ม.ค.-มี.ค.'!R98+'ม.ค.-มี.ค.'!S98+'ม.ค.-มี.ค.'!U98+'ม.ค.-มี.ค.'!V98</f>
        <v>1995</v>
      </c>
      <c r="F98" s="177">
        <f>+'ต.ค.-มิ.ย. 61'!E98+'ต.ค.-มิ.ย. 61'!F98+'ต.ค.-มิ.ย. 61'!G98+'ต.ค.-มิ.ย. 61'!H98+'ต.ค.-มิ.ย. 61'!I98+'ต.ค.-มิ.ย. 61'!M98+'ต.ค.-มิ.ย. 61'!N98+'ต.ค.-มิ.ย. 61'!P98+'ต.ค.-มิ.ย. 61'!R98+'ต.ค.-มิ.ย. 61'!S98</f>
        <v>1995</v>
      </c>
      <c r="G98" s="179"/>
      <c r="H98" s="179">
        <f t="shared" si="12"/>
        <v>3990</v>
      </c>
      <c r="I98" s="208">
        <f t="shared" si="11"/>
        <v>-1990</v>
      </c>
      <c r="J98" s="233"/>
      <c r="K98" s="331"/>
      <c r="L98" s="247"/>
      <c r="M98" s="247"/>
    </row>
    <row r="99" spans="1:13" ht="21.75" customHeight="1">
      <c r="A99" s="9"/>
      <c r="B99" s="187" t="s">
        <v>245</v>
      </c>
      <c r="C99" s="279">
        <v>2000</v>
      </c>
      <c r="D99" s="177">
        <f>+'ต.ค.-ธ.ค.'!E100+'ต.ค.-ธ.ค.'!F100+'ต.ค.-ธ.ค.'!H100+'ต.ค.-ธ.ค.'!I100+'ต.ค.-ธ.ค.'!M100+'ต.ค.-ธ.ค.'!Q100+'ต.ค.-ธ.ค.'!S100</f>
        <v>0</v>
      </c>
      <c r="E99" s="177">
        <f>+'ม.ค.-มี.ค.'!D99+'ม.ค.-มี.ค.'!E99+'ม.ค.-มี.ค.'!F99+'ม.ค.-มี.ค.'!G99+'ม.ค.-มี.ค.'!H99+'ม.ค.-มี.ค.'!I99+'ม.ค.-มี.ค.'!J99+'ม.ค.-มี.ค.'!K99+'ม.ค.-มี.ค.'!L99+'ม.ค.-มี.ค.'!M99+'ม.ค.-มี.ค.'!N99+'ม.ค.-มี.ค.'!O99+'ม.ค.-มี.ค.'!P99+'ม.ค.-มี.ค.'!Q99+'ม.ค.-มี.ค.'!R99+'ม.ค.-มี.ค.'!S99+'ม.ค.-มี.ค.'!U99+'ม.ค.-มี.ค.'!V99</f>
        <v>2000</v>
      </c>
      <c r="F99" s="177">
        <f>+'ต.ค.-มิ.ย. 61'!E99+'ต.ค.-มิ.ย. 61'!F99+'ต.ค.-มิ.ย. 61'!G99+'ต.ค.-มิ.ย. 61'!H99+'ต.ค.-มิ.ย. 61'!I99+'ต.ค.-มิ.ย. 61'!M99+'ต.ค.-มิ.ย. 61'!N99+'ต.ค.-มิ.ย. 61'!P99+'ต.ค.-มิ.ย. 61'!R99+'ต.ค.-มิ.ย. 61'!S99</f>
        <v>2000</v>
      </c>
      <c r="G99" s="179"/>
      <c r="H99" s="179">
        <f t="shared" si="12"/>
        <v>4000</v>
      </c>
      <c r="I99" s="208">
        <f t="shared" si="11"/>
        <v>-2000</v>
      </c>
    </row>
    <row r="100" spans="1:13" ht="21.75" customHeight="1">
      <c r="A100" s="9"/>
      <c r="B100" s="187" t="s">
        <v>246</v>
      </c>
      <c r="C100" s="279">
        <v>2000</v>
      </c>
      <c r="D100" s="177">
        <f>+'ต.ค.-ธ.ค.'!E101+'ต.ค.-ธ.ค.'!F101+'ต.ค.-ธ.ค.'!H101+'ต.ค.-ธ.ค.'!I101+'ต.ค.-ธ.ค.'!M101+'ต.ค.-ธ.ค.'!Q101+'ต.ค.-ธ.ค.'!S101</f>
        <v>0</v>
      </c>
      <c r="E100" s="177">
        <f>+'ม.ค.-มี.ค.'!D100+'ม.ค.-มี.ค.'!E100+'ม.ค.-มี.ค.'!F100+'ม.ค.-มี.ค.'!G100+'ม.ค.-มี.ค.'!H100+'ม.ค.-มี.ค.'!I100+'ม.ค.-มี.ค.'!J100+'ม.ค.-มี.ค.'!K100+'ม.ค.-มี.ค.'!L100+'ม.ค.-มี.ค.'!M100+'ม.ค.-มี.ค.'!N100+'ม.ค.-มี.ค.'!O100+'ม.ค.-มี.ค.'!P100+'ม.ค.-มี.ค.'!Q100+'ม.ค.-มี.ค.'!R100+'ม.ค.-มี.ค.'!S100+'ม.ค.-มี.ค.'!U100+'ม.ค.-มี.ค.'!V100</f>
        <v>0</v>
      </c>
      <c r="F100" s="177">
        <f>+'ต.ค.-มิ.ย. 61'!E100+'ต.ค.-มิ.ย. 61'!F100+'ต.ค.-มิ.ย. 61'!G100+'ต.ค.-มิ.ย. 61'!H100+'ต.ค.-มิ.ย. 61'!I100+'ต.ค.-มิ.ย. 61'!M100+'ต.ค.-มิ.ย. 61'!N100+'ต.ค.-มิ.ย. 61'!P100+'ต.ค.-มิ.ย. 61'!R100+'ต.ค.-มิ.ย. 61'!S100</f>
        <v>1000</v>
      </c>
      <c r="G100" s="179"/>
      <c r="H100" s="179">
        <f t="shared" si="12"/>
        <v>1000</v>
      </c>
      <c r="I100" s="208">
        <f t="shared" si="11"/>
        <v>1000</v>
      </c>
    </row>
    <row r="101" spans="1:13" ht="21.75" customHeight="1">
      <c r="A101" s="9"/>
      <c r="B101" s="187" t="s">
        <v>247</v>
      </c>
      <c r="C101" s="279">
        <v>2000</v>
      </c>
      <c r="D101" s="177">
        <f>+'ต.ค.-ธ.ค.'!E102+'ต.ค.-ธ.ค.'!F102+'ต.ค.-ธ.ค.'!H102+'ต.ค.-ธ.ค.'!I102+'ต.ค.-ธ.ค.'!M102+'ต.ค.-ธ.ค.'!Q102+'ต.ค.-ธ.ค.'!S102</f>
        <v>0</v>
      </c>
      <c r="E101" s="177">
        <f>+'ม.ค.-มี.ค.'!D101+'ม.ค.-มี.ค.'!E101+'ม.ค.-มี.ค.'!F101+'ม.ค.-มี.ค.'!G101+'ม.ค.-มี.ค.'!H101+'ม.ค.-มี.ค.'!I101+'ม.ค.-มี.ค.'!J101+'ม.ค.-มี.ค.'!K101+'ม.ค.-มี.ค.'!L101+'ม.ค.-มี.ค.'!M101+'ม.ค.-มี.ค.'!N101+'ม.ค.-มี.ค.'!O101+'ม.ค.-มี.ค.'!P101+'ม.ค.-มี.ค.'!Q101+'ม.ค.-มี.ค.'!R101+'ม.ค.-มี.ค.'!S101+'ม.ค.-มี.ค.'!U101+'ม.ค.-มี.ค.'!V101</f>
        <v>0</v>
      </c>
      <c r="F101" s="177">
        <f>+'ต.ค.-มิ.ย. 61'!E101+'ต.ค.-มิ.ย. 61'!F101+'ต.ค.-มิ.ย. 61'!G101+'ต.ค.-มิ.ย. 61'!H101+'ต.ค.-มิ.ย. 61'!I101+'ต.ค.-มิ.ย. 61'!M101+'ต.ค.-มิ.ย. 61'!N101+'ต.ค.-มิ.ย. 61'!P101+'ต.ค.-มิ.ย. 61'!R101+'ต.ค.-มิ.ย. 61'!S101</f>
        <v>1000</v>
      </c>
      <c r="G101" s="179"/>
      <c r="H101" s="179">
        <f t="shared" si="12"/>
        <v>1000</v>
      </c>
      <c r="I101" s="208">
        <f t="shared" si="11"/>
        <v>1000</v>
      </c>
    </row>
    <row r="102" spans="1:13" ht="21.75" customHeight="1">
      <c r="A102" s="9"/>
      <c r="B102" s="187" t="s">
        <v>249</v>
      </c>
      <c r="C102" s="279">
        <v>2000</v>
      </c>
      <c r="D102" s="177">
        <f>+'ต.ค.-ธ.ค.'!E103+'ต.ค.-ธ.ค.'!F103+'ต.ค.-ธ.ค.'!H103+'ต.ค.-ธ.ค.'!I103+'ต.ค.-ธ.ค.'!M103+'ต.ค.-ธ.ค.'!Q103+'ต.ค.-ธ.ค.'!S103</f>
        <v>0</v>
      </c>
      <c r="E102" s="177">
        <f>+'ม.ค.-มี.ค.'!D102+'ม.ค.-มี.ค.'!E102+'ม.ค.-มี.ค.'!F102+'ม.ค.-มี.ค.'!G102+'ม.ค.-มี.ค.'!H102+'ม.ค.-มี.ค.'!I102+'ม.ค.-มี.ค.'!J102+'ม.ค.-มี.ค.'!K102+'ม.ค.-มี.ค.'!L102+'ม.ค.-มี.ค.'!M102+'ม.ค.-มี.ค.'!N102+'ม.ค.-มี.ค.'!O102+'ม.ค.-มี.ค.'!P102+'ม.ค.-มี.ค.'!Q102+'ม.ค.-มี.ค.'!R102+'ม.ค.-มี.ค.'!S102+'ม.ค.-มี.ค.'!U102+'ม.ค.-มี.ค.'!V102</f>
        <v>0</v>
      </c>
      <c r="F102" s="177">
        <f>+'ต.ค.-มิ.ย. 61'!E102+'ต.ค.-มิ.ย. 61'!F102+'ต.ค.-มิ.ย. 61'!G102+'ต.ค.-มิ.ย. 61'!H102+'ต.ค.-มิ.ย. 61'!I102+'ต.ค.-มิ.ย. 61'!M102+'ต.ค.-มิ.ย. 61'!N102+'ต.ค.-มิ.ย. 61'!P102+'ต.ค.-มิ.ย. 61'!R102+'ต.ค.-มิ.ย. 61'!S102</f>
        <v>1000</v>
      </c>
      <c r="G102" s="179"/>
      <c r="H102" s="179">
        <f t="shared" si="12"/>
        <v>1000</v>
      </c>
      <c r="I102" s="208">
        <f t="shared" si="11"/>
        <v>1000</v>
      </c>
    </row>
    <row r="103" spans="1:13" ht="21.75" customHeight="1">
      <c r="A103" s="9"/>
      <c r="B103" s="187" t="s">
        <v>250</v>
      </c>
      <c r="C103" s="279">
        <v>2000</v>
      </c>
      <c r="D103" s="177">
        <f>+'ต.ค.-ธ.ค.'!E104+'ต.ค.-ธ.ค.'!F104+'ต.ค.-ธ.ค.'!H104+'ต.ค.-ธ.ค.'!I104+'ต.ค.-ธ.ค.'!M104+'ต.ค.-ธ.ค.'!Q104+'ต.ค.-ธ.ค.'!S104</f>
        <v>0</v>
      </c>
      <c r="E103" s="177">
        <f>+'ม.ค.-มี.ค.'!D103+'ม.ค.-มี.ค.'!E103+'ม.ค.-มี.ค.'!F103+'ม.ค.-มี.ค.'!G103+'ม.ค.-มี.ค.'!H103+'ม.ค.-มี.ค.'!I103+'ม.ค.-มี.ค.'!J103+'ม.ค.-มี.ค.'!K103+'ม.ค.-มี.ค.'!L103+'ม.ค.-มี.ค.'!M103+'ม.ค.-มี.ค.'!N103+'ม.ค.-มี.ค.'!O103+'ม.ค.-มี.ค.'!P103+'ม.ค.-มี.ค.'!Q103+'ม.ค.-มี.ค.'!R103+'ม.ค.-มี.ค.'!S103+'ม.ค.-มี.ค.'!U103+'ม.ค.-มี.ค.'!V103</f>
        <v>0</v>
      </c>
      <c r="F103" s="177">
        <f>+'ต.ค.-มิ.ย. 61'!E103+'ต.ค.-มิ.ย. 61'!F103+'ต.ค.-มิ.ย. 61'!G103+'ต.ค.-มิ.ย. 61'!H103+'ต.ค.-มิ.ย. 61'!I103+'ต.ค.-มิ.ย. 61'!M103+'ต.ค.-มิ.ย. 61'!N103+'ต.ค.-มิ.ย. 61'!P103+'ต.ค.-มิ.ย. 61'!R103+'ต.ค.-มิ.ย. 61'!S103</f>
        <v>1000</v>
      </c>
      <c r="G103" s="179"/>
      <c r="H103" s="179">
        <f t="shared" si="12"/>
        <v>1000</v>
      </c>
      <c r="I103" s="208">
        <f t="shared" si="11"/>
        <v>1000</v>
      </c>
    </row>
    <row r="104" spans="1:13" ht="21.75" customHeight="1">
      <c r="A104" s="9"/>
      <c r="B104" s="187" t="s">
        <v>251</v>
      </c>
      <c r="C104" s="279">
        <v>2000</v>
      </c>
      <c r="D104" s="177">
        <f>+'ต.ค.-ธ.ค.'!E105+'ต.ค.-ธ.ค.'!F105+'ต.ค.-ธ.ค.'!H105+'ต.ค.-ธ.ค.'!I105+'ต.ค.-ธ.ค.'!M105+'ต.ค.-ธ.ค.'!Q105+'ต.ค.-ธ.ค.'!S105</f>
        <v>0</v>
      </c>
      <c r="E104" s="177">
        <f>+'ม.ค.-มี.ค.'!D104+'ม.ค.-มี.ค.'!E104+'ม.ค.-มี.ค.'!F104+'ม.ค.-มี.ค.'!G104+'ม.ค.-มี.ค.'!H104+'ม.ค.-มี.ค.'!I104+'ม.ค.-มี.ค.'!J104+'ม.ค.-มี.ค.'!K104+'ม.ค.-มี.ค.'!L104+'ม.ค.-มี.ค.'!M104+'ม.ค.-มี.ค.'!N104+'ม.ค.-มี.ค.'!O104+'ม.ค.-มี.ค.'!P104+'ม.ค.-มี.ค.'!Q104+'ม.ค.-มี.ค.'!R104+'ม.ค.-มี.ค.'!S104+'ม.ค.-มี.ค.'!U104+'ม.ค.-มี.ค.'!V104</f>
        <v>0</v>
      </c>
      <c r="F104" s="177">
        <f>+'ต.ค.-มิ.ย. 61'!E104+'ต.ค.-มิ.ย. 61'!F104+'ต.ค.-มิ.ย. 61'!G104+'ต.ค.-มิ.ย. 61'!H104+'ต.ค.-มิ.ย. 61'!I104+'ต.ค.-มิ.ย. 61'!M104+'ต.ค.-มิ.ย. 61'!N104+'ต.ค.-มิ.ย. 61'!P104+'ต.ค.-มิ.ย. 61'!R104+'ต.ค.-มิ.ย. 61'!S104</f>
        <v>0</v>
      </c>
      <c r="G104" s="179"/>
      <c r="H104" s="179">
        <f t="shared" si="12"/>
        <v>0</v>
      </c>
      <c r="I104" s="208">
        <f t="shared" si="11"/>
        <v>2000</v>
      </c>
    </row>
    <row r="105" spans="1:13" ht="21.75" customHeight="1">
      <c r="A105" s="9"/>
      <c r="B105" s="187" t="s">
        <v>252</v>
      </c>
      <c r="C105" s="279">
        <v>2000</v>
      </c>
      <c r="D105" s="177">
        <f>+'ต.ค.-ธ.ค.'!E106+'ต.ค.-ธ.ค.'!F106+'ต.ค.-ธ.ค.'!H106+'ต.ค.-ธ.ค.'!I106+'ต.ค.-ธ.ค.'!M106+'ต.ค.-ธ.ค.'!Q106+'ต.ค.-ธ.ค.'!S106</f>
        <v>0</v>
      </c>
      <c r="E105" s="177">
        <f>+'ม.ค.-มี.ค.'!D105+'ม.ค.-มี.ค.'!E105+'ม.ค.-มี.ค.'!F105+'ม.ค.-มี.ค.'!G105+'ม.ค.-มี.ค.'!H105+'ม.ค.-มี.ค.'!I105+'ม.ค.-มี.ค.'!J105+'ม.ค.-มี.ค.'!K105+'ม.ค.-มี.ค.'!L105+'ม.ค.-มี.ค.'!M105+'ม.ค.-มี.ค.'!N105+'ม.ค.-มี.ค.'!O105+'ม.ค.-มี.ค.'!P105+'ม.ค.-มี.ค.'!Q105+'ม.ค.-มี.ค.'!R105+'ม.ค.-มี.ค.'!S105+'ม.ค.-มี.ค.'!U105+'ม.ค.-มี.ค.'!V105</f>
        <v>0</v>
      </c>
      <c r="F105" s="177">
        <f>+'ต.ค.-มิ.ย. 61'!E105+'ต.ค.-มิ.ย. 61'!F105+'ต.ค.-มิ.ย. 61'!G105+'ต.ค.-มิ.ย. 61'!H105+'ต.ค.-มิ.ย. 61'!I105+'ต.ค.-มิ.ย. 61'!M105+'ต.ค.-มิ.ย. 61'!N105+'ต.ค.-มิ.ย. 61'!P105+'ต.ค.-มิ.ย. 61'!R105+'ต.ค.-มิ.ย. 61'!S105</f>
        <v>0</v>
      </c>
      <c r="G105" s="179"/>
      <c r="H105" s="179">
        <f t="shared" si="12"/>
        <v>0</v>
      </c>
      <c r="I105" s="208">
        <f t="shared" si="11"/>
        <v>2000</v>
      </c>
    </row>
    <row r="106" spans="1:13" ht="21.75" customHeight="1">
      <c r="A106" s="9"/>
      <c r="B106" s="187" t="s">
        <v>253</v>
      </c>
      <c r="C106" s="279">
        <v>2000</v>
      </c>
      <c r="D106" s="177">
        <f>+'ต.ค.-ธ.ค.'!E107+'ต.ค.-ธ.ค.'!F107+'ต.ค.-ธ.ค.'!H107+'ต.ค.-ธ.ค.'!I107+'ต.ค.-ธ.ค.'!M107+'ต.ค.-ธ.ค.'!Q107+'ต.ค.-ธ.ค.'!S107</f>
        <v>0</v>
      </c>
      <c r="E106" s="177">
        <f>+'ม.ค.-มี.ค.'!D106+'ม.ค.-มี.ค.'!E106+'ม.ค.-มี.ค.'!F106+'ม.ค.-มี.ค.'!G106+'ม.ค.-มี.ค.'!H106+'ม.ค.-มี.ค.'!I106+'ม.ค.-มี.ค.'!J106+'ม.ค.-มี.ค.'!K106+'ม.ค.-มี.ค.'!L106+'ม.ค.-มี.ค.'!M106+'ม.ค.-มี.ค.'!N106+'ม.ค.-มี.ค.'!O106+'ม.ค.-มี.ค.'!P106+'ม.ค.-มี.ค.'!Q106+'ม.ค.-มี.ค.'!R106+'ม.ค.-มี.ค.'!S106+'ม.ค.-มี.ค.'!U106+'ม.ค.-มี.ค.'!V106</f>
        <v>0</v>
      </c>
      <c r="F106" s="177">
        <f>+'ต.ค.-มิ.ย. 61'!E106+'ต.ค.-มิ.ย. 61'!F106+'ต.ค.-มิ.ย. 61'!G106+'ต.ค.-มิ.ย. 61'!H106+'ต.ค.-มิ.ย. 61'!I106+'ต.ค.-มิ.ย. 61'!M106+'ต.ค.-มิ.ย. 61'!N106+'ต.ค.-มิ.ย. 61'!P106+'ต.ค.-มิ.ย. 61'!R106+'ต.ค.-มิ.ย. 61'!S106</f>
        <v>0</v>
      </c>
      <c r="G106" s="179"/>
      <c r="H106" s="179">
        <f t="shared" si="12"/>
        <v>0</v>
      </c>
      <c r="I106" s="208">
        <f t="shared" si="11"/>
        <v>2000</v>
      </c>
    </row>
    <row r="107" spans="1:13" ht="21.75" customHeight="1">
      <c r="A107" s="9"/>
      <c r="B107" s="187" t="s">
        <v>254</v>
      </c>
      <c r="C107" s="279">
        <v>2000</v>
      </c>
      <c r="D107" s="177">
        <f>+'ต.ค.-ธ.ค.'!E108+'ต.ค.-ธ.ค.'!F108+'ต.ค.-ธ.ค.'!H108+'ต.ค.-ธ.ค.'!I108+'ต.ค.-ธ.ค.'!M108+'ต.ค.-ธ.ค.'!Q108+'ต.ค.-ธ.ค.'!S108</f>
        <v>0</v>
      </c>
      <c r="E107" s="177">
        <f>+'ม.ค.-มี.ค.'!D107+'ม.ค.-มี.ค.'!E107+'ม.ค.-มี.ค.'!F107+'ม.ค.-มี.ค.'!G107+'ม.ค.-มี.ค.'!H107+'ม.ค.-มี.ค.'!I107+'ม.ค.-มี.ค.'!J107+'ม.ค.-มี.ค.'!K107+'ม.ค.-มี.ค.'!L107+'ม.ค.-มี.ค.'!M107+'ม.ค.-มี.ค.'!N107+'ม.ค.-มี.ค.'!O107+'ม.ค.-มี.ค.'!P107+'ม.ค.-มี.ค.'!Q107+'ม.ค.-มี.ค.'!R107+'ม.ค.-มี.ค.'!S107+'ม.ค.-มี.ค.'!U107+'ม.ค.-มี.ค.'!V107</f>
        <v>0</v>
      </c>
      <c r="F107" s="177">
        <f>+'ต.ค.-มิ.ย. 61'!E107+'ต.ค.-มิ.ย. 61'!F107+'ต.ค.-มิ.ย. 61'!G107+'ต.ค.-มิ.ย. 61'!H107+'ต.ค.-มิ.ย. 61'!I107+'ต.ค.-มิ.ย. 61'!M107+'ต.ค.-มิ.ย. 61'!N107+'ต.ค.-มิ.ย. 61'!P107+'ต.ค.-มิ.ย. 61'!R107+'ต.ค.-มิ.ย. 61'!S107</f>
        <v>0</v>
      </c>
      <c r="G107" s="179"/>
      <c r="H107" s="179">
        <f t="shared" si="12"/>
        <v>0</v>
      </c>
      <c r="I107" s="208">
        <f t="shared" si="11"/>
        <v>2000</v>
      </c>
    </row>
    <row r="108" spans="1:13" ht="21.75" customHeight="1">
      <c r="A108" s="9"/>
      <c r="B108" s="187" t="s">
        <v>312</v>
      </c>
      <c r="C108" s="279">
        <v>2500</v>
      </c>
      <c r="D108" s="177">
        <f>+'ต.ค.-ธ.ค.'!E109+'ต.ค.-ธ.ค.'!F109+'ต.ค.-ธ.ค.'!H109+'ต.ค.-ธ.ค.'!I109+'ต.ค.-ธ.ค.'!M109+'ต.ค.-ธ.ค.'!Q109+'ต.ค.-ธ.ค.'!S109</f>
        <v>0</v>
      </c>
      <c r="E108" s="177">
        <f>+'ม.ค.-มี.ค.'!D108+'ม.ค.-มี.ค.'!E108+'ม.ค.-มี.ค.'!F108+'ม.ค.-มี.ค.'!G108+'ม.ค.-มี.ค.'!H108+'ม.ค.-มี.ค.'!I108+'ม.ค.-มี.ค.'!J108+'ม.ค.-มี.ค.'!K108+'ม.ค.-มี.ค.'!L108+'ม.ค.-มี.ค.'!M108+'ม.ค.-มี.ค.'!N108+'ม.ค.-มี.ค.'!O108+'ม.ค.-มี.ค.'!P108+'ม.ค.-มี.ค.'!Q108+'ม.ค.-มี.ค.'!R108+'ม.ค.-มี.ค.'!S108+'ม.ค.-มี.ค.'!U108+'ม.ค.-มี.ค.'!V108</f>
        <v>0</v>
      </c>
      <c r="F108" s="177">
        <f>+'ต.ค.-มิ.ย. 61'!E108+'ต.ค.-มิ.ย. 61'!F108+'ต.ค.-มิ.ย. 61'!G108+'ต.ค.-มิ.ย. 61'!H108+'ต.ค.-มิ.ย. 61'!I108+'ต.ค.-มิ.ย. 61'!M108+'ต.ค.-มิ.ย. 61'!N108+'ต.ค.-มิ.ย. 61'!P108+'ต.ค.-มิ.ย. 61'!R108+'ต.ค.-มิ.ย. 61'!S108</f>
        <v>0</v>
      </c>
      <c r="G108" s="179"/>
      <c r="H108" s="179">
        <f t="shared" si="12"/>
        <v>0</v>
      </c>
      <c r="I108" s="208">
        <f t="shared" si="11"/>
        <v>2500</v>
      </c>
    </row>
    <row r="109" spans="1:13" ht="21.75" customHeight="1">
      <c r="A109" s="9"/>
      <c r="B109" s="187" t="s">
        <v>313</v>
      </c>
      <c r="C109" s="279">
        <v>2500</v>
      </c>
      <c r="D109" s="177">
        <f>+'ต.ค.-ธ.ค.'!E110+'ต.ค.-ธ.ค.'!F110+'ต.ค.-ธ.ค.'!H110+'ต.ค.-ธ.ค.'!I110+'ต.ค.-ธ.ค.'!M110+'ต.ค.-ธ.ค.'!Q110+'ต.ค.-ธ.ค.'!S110</f>
        <v>0</v>
      </c>
      <c r="E109" s="177">
        <f>+'ม.ค.-มี.ค.'!D109+'ม.ค.-มี.ค.'!E109+'ม.ค.-มี.ค.'!F109+'ม.ค.-มี.ค.'!G109+'ม.ค.-มี.ค.'!H109+'ม.ค.-มี.ค.'!I109+'ม.ค.-มี.ค.'!J109+'ม.ค.-มี.ค.'!K109+'ม.ค.-มี.ค.'!L109+'ม.ค.-มี.ค.'!M109+'ม.ค.-มี.ค.'!N109+'ม.ค.-มี.ค.'!O109+'ม.ค.-มี.ค.'!P109+'ม.ค.-มี.ค.'!Q109+'ม.ค.-มี.ค.'!R109+'ม.ค.-มี.ค.'!S109+'ม.ค.-มี.ค.'!U109+'ม.ค.-มี.ค.'!V109</f>
        <v>0</v>
      </c>
      <c r="F109" s="177">
        <f>+'ต.ค.-มิ.ย. 61'!E109+'ต.ค.-มิ.ย. 61'!F109+'ต.ค.-มิ.ย. 61'!G109+'ต.ค.-มิ.ย. 61'!H109+'ต.ค.-มิ.ย. 61'!I109+'ต.ค.-มิ.ย. 61'!M109+'ต.ค.-มิ.ย. 61'!N109+'ต.ค.-มิ.ย. 61'!P109+'ต.ค.-มิ.ย. 61'!R109+'ต.ค.-มิ.ย. 61'!S109</f>
        <v>0</v>
      </c>
      <c r="G109" s="179"/>
      <c r="H109" s="179">
        <f t="shared" si="12"/>
        <v>0</v>
      </c>
      <c r="I109" s="208">
        <f t="shared" si="11"/>
        <v>2500</v>
      </c>
    </row>
    <row r="110" spans="1:13" ht="21.75" customHeight="1">
      <c r="A110" s="9"/>
      <c r="B110" s="187" t="s">
        <v>314</v>
      </c>
      <c r="C110" s="279">
        <v>2500</v>
      </c>
      <c r="D110" s="177">
        <f>+'ต.ค.-ธ.ค.'!E111+'ต.ค.-ธ.ค.'!F111+'ต.ค.-ธ.ค.'!H111+'ต.ค.-ธ.ค.'!I111+'ต.ค.-ธ.ค.'!M111+'ต.ค.-ธ.ค.'!Q111+'ต.ค.-ธ.ค.'!S111</f>
        <v>0</v>
      </c>
      <c r="E110" s="177">
        <f>+'ม.ค.-มี.ค.'!D110+'ม.ค.-มี.ค.'!E110+'ม.ค.-มี.ค.'!F110+'ม.ค.-มี.ค.'!G110+'ม.ค.-มี.ค.'!H110+'ม.ค.-มี.ค.'!I110+'ม.ค.-มี.ค.'!J110+'ม.ค.-มี.ค.'!K110+'ม.ค.-มี.ค.'!L110+'ม.ค.-มี.ค.'!M110+'ม.ค.-มี.ค.'!N110+'ม.ค.-มี.ค.'!O110+'ม.ค.-มี.ค.'!P110+'ม.ค.-มี.ค.'!Q110+'ม.ค.-มี.ค.'!R110+'ม.ค.-มี.ค.'!S110+'ม.ค.-มี.ค.'!U110+'ม.ค.-มี.ค.'!V110</f>
        <v>0</v>
      </c>
      <c r="F110" s="177">
        <f>+'ต.ค.-มิ.ย. 61'!E110+'ต.ค.-มิ.ย. 61'!F110+'ต.ค.-มิ.ย. 61'!G110+'ต.ค.-มิ.ย. 61'!H110+'ต.ค.-มิ.ย. 61'!I110+'ต.ค.-มิ.ย. 61'!M110+'ต.ค.-มิ.ย. 61'!N110+'ต.ค.-มิ.ย. 61'!P110+'ต.ค.-มิ.ย. 61'!R110+'ต.ค.-มิ.ย. 61'!S110</f>
        <v>0</v>
      </c>
      <c r="G110" s="179"/>
      <c r="H110" s="179">
        <f t="shared" si="12"/>
        <v>0</v>
      </c>
      <c r="I110" s="208">
        <f t="shared" si="11"/>
        <v>2500</v>
      </c>
    </row>
    <row r="111" spans="1:13" ht="21.75" customHeight="1">
      <c r="A111" s="9"/>
      <c r="B111" s="187" t="s">
        <v>255</v>
      </c>
      <c r="C111" s="279">
        <v>4000</v>
      </c>
      <c r="D111" s="177">
        <f>+'ต.ค.-ธ.ค.'!E112+'ต.ค.-ธ.ค.'!F112+'ต.ค.-ธ.ค.'!H112+'ต.ค.-ธ.ค.'!I112+'ต.ค.-ธ.ค.'!M112+'ต.ค.-ธ.ค.'!Q112+'ต.ค.-ธ.ค.'!S112</f>
        <v>0</v>
      </c>
      <c r="E111" s="177">
        <f>+'ม.ค.-มี.ค.'!D111+'ม.ค.-มี.ค.'!E111+'ม.ค.-มี.ค.'!F111+'ม.ค.-มี.ค.'!G111+'ม.ค.-มี.ค.'!H111+'ม.ค.-มี.ค.'!I111+'ม.ค.-มี.ค.'!J111+'ม.ค.-มี.ค.'!K111+'ม.ค.-มี.ค.'!L111+'ม.ค.-มี.ค.'!M111+'ม.ค.-มี.ค.'!N111+'ม.ค.-มี.ค.'!O111+'ม.ค.-มี.ค.'!P111+'ม.ค.-มี.ค.'!Q111+'ม.ค.-มี.ค.'!R111+'ม.ค.-มี.ค.'!S111+'ม.ค.-มี.ค.'!U111+'ม.ค.-มี.ค.'!V111</f>
        <v>0</v>
      </c>
      <c r="F111" s="177">
        <f>+'ต.ค.-มิ.ย. 61'!E111+'ต.ค.-มิ.ย. 61'!F111+'ต.ค.-มิ.ย. 61'!G111+'ต.ค.-มิ.ย. 61'!H111+'ต.ค.-มิ.ย. 61'!I111+'ต.ค.-มิ.ย. 61'!M111+'ต.ค.-มิ.ย. 61'!N111+'ต.ค.-มิ.ย. 61'!P111+'ต.ค.-มิ.ย. 61'!R111+'ต.ค.-มิ.ย. 61'!S111</f>
        <v>0</v>
      </c>
      <c r="G111" s="179"/>
      <c r="H111" s="179">
        <f t="shared" si="12"/>
        <v>0</v>
      </c>
      <c r="I111" s="208">
        <f t="shared" si="11"/>
        <v>4000</v>
      </c>
    </row>
    <row r="112" spans="1:13" ht="21.75" customHeight="1">
      <c r="A112" s="9"/>
      <c r="B112" s="187" t="s">
        <v>256</v>
      </c>
      <c r="C112" s="279">
        <v>2500</v>
      </c>
      <c r="D112" s="177">
        <f>+'ต.ค.-ธ.ค.'!E113+'ต.ค.-ธ.ค.'!F113+'ต.ค.-ธ.ค.'!H113+'ต.ค.-ธ.ค.'!I113+'ต.ค.-ธ.ค.'!M113+'ต.ค.-ธ.ค.'!Q113+'ต.ค.-ธ.ค.'!S113</f>
        <v>0</v>
      </c>
      <c r="E112" s="177">
        <f>+'ม.ค.-มี.ค.'!D112+'ม.ค.-มี.ค.'!E112+'ม.ค.-มี.ค.'!F112+'ม.ค.-มี.ค.'!G112+'ม.ค.-มี.ค.'!H112+'ม.ค.-มี.ค.'!I112+'ม.ค.-มี.ค.'!J112+'ม.ค.-มี.ค.'!K112+'ม.ค.-มี.ค.'!L112+'ม.ค.-มี.ค.'!M112+'ม.ค.-มี.ค.'!N112+'ม.ค.-มี.ค.'!O112+'ม.ค.-มี.ค.'!P112+'ม.ค.-มี.ค.'!Q112+'ม.ค.-มี.ค.'!R112+'ม.ค.-มี.ค.'!S112+'ม.ค.-มี.ค.'!U112+'ม.ค.-มี.ค.'!V112</f>
        <v>0</v>
      </c>
      <c r="F112" s="177">
        <f>+'ต.ค.-มิ.ย. 61'!E112+'ต.ค.-มิ.ย. 61'!F112+'ต.ค.-มิ.ย. 61'!G112+'ต.ค.-มิ.ย. 61'!H112+'ต.ค.-มิ.ย. 61'!I112+'ต.ค.-มิ.ย. 61'!M112+'ต.ค.-มิ.ย. 61'!N112+'ต.ค.-มิ.ย. 61'!P112+'ต.ค.-มิ.ย. 61'!R112+'ต.ค.-มิ.ย. 61'!S112</f>
        <v>0</v>
      </c>
      <c r="G112" s="179"/>
      <c r="H112" s="179">
        <f t="shared" si="12"/>
        <v>0</v>
      </c>
      <c r="I112" s="208">
        <f t="shared" si="11"/>
        <v>2500</v>
      </c>
    </row>
    <row r="113" spans="1:14" ht="21.75" customHeight="1">
      <c r="A113" s="9"/>
      <c r="B113" s="187" t="s">
        <v>257</v>
      </c>
      <c r="C113" s="279">
        <v>2500</v>
      </c>
      <c r="D113" s="177">
        <f>+'ต.ค.-ธ.ค.'!E114+'ต.ค.-ธ.ค.'!F114+'ต.ค.-ธ.ค.'!H114+'ต.ค.-ธ.ค.'!I114+'ต.ค.-ธ.ค.'!M114+'ต.ค.-ธ.ค.'!Q114+'ต.ค.-ธ.ค.'!S114</f>
        <v>0</v>
      </c>
      <c r="E113" s="177">
        <f>+'ม.ค.-มี.ค.'!D113+'ม.ค.-มี.ค.'!E113+'ม.ค.-มี.ค.'!F113+'ม.ค.-มี.ค.'!G113+'ม.ค.-มี.ค.'!H113+'ม.ค.-มี.ค.'!I113+'ม.ค.-มี.ค.'!J113+'ม.ค.-มี.ค.'!K113+'ม.ค.-มี.ค.'!L113+'ม.ค.-มี.ค.'!M113+'ม.ค.-มี.ค.'!N113+'ม.ค.-มี.ค.'!O113+'ม.ค.-มี.ค.'!P113+'ม.ค.-มี.ค.'!Q113+'ม.ค.-มี.ค.'!R113+'ม.ค.-มี.ค.'!S113+'ม.ค.-มี.ค.'!U113+'ม.ค.-มี.ค.'!V113</f>
        <v>0</v>
      </c>
      <c r="F113" s="177">
        <f>+'ต.ค.-มิ.ย. 61'!E113+'ต.ค.-มิ.ย. 61'!F113+'ต.ค.-มิ.ย. 61'!G113+'ต.ค.-มิ.ย. 61'!H113+'ต.ค.-มิ.ย. 61'!I113+'ต.ค.-มิ.ย. 61'!M113+'ต.ค.-มิ.ย. 61'!N113+'ต.ค.-มิ.ย. 61'!P113+'ต.ค.-มิ.ย. 61'!R113+'ต.ค.-มิ.ย. 61'!S113</f>
        <v>0</v>
      </c>
      <c r="G113" s="179"/>
      <c r="H113" s="179">
        <f t="shared" si="12"/>
        <v>0</v>
      </c>
      <c r="I113" s="208">
        <f t="shared" si="11"/>
        <v>2500</v>
      </c>
    </row>
    <row r="114" spans="1:14" ht="21.75" customHeight="1">
      <c r="A114" s="9"/>
      <c r="B114" s="187" t="s">
        <v>258</v>
      </c>
      <c r="C114" s="279">
        <v>2500</v>
      </c>
      <c r="D114" s="177">
        <f>+'ต.ค.-ธ.ค.'!E115+'ต.ค.-ธ.ค.'!F115+'ต.ค.-ธ.ค.'!H115+'ต.ค.-ธ.ค.'!I115+'ต.ค.-ธ.ค.'!M115+'ต.ค.-ธ.ค.'!Q115+'ต.ค.-ธ.ค.'!S115</f>
        <v>0</v>
      </c>
      <c r="E114" s="177">
        <f>+'ม.ค.-มี.ค.'!D114+'ม.ค.-มี.ค.'!E114+'ม.ค.-มี.ค.'!F114+'ม.ค.-มี.ค.'!G114+'ม.ค.-มี.ค.'!H114+'ม.ค.-มี.ค.'!I114+'ม.ค.-มี.ค.'!J114+'ม.ค.-มี.ค.'!K114+'ม.ค.-มี.ค.'!L114+'ม.ค.-มี.ค.'!M114+'ม.ค.-มี.ค.'!N114+'ม.ค.-มี.ค.'!O114+'ม.ค.-มี.ค.'!P114+'ม.ค.-มี.ค.'!Q114+'ม.ค.-มี.ค.'!R114+'ม.ค.-มี.ค.'!S114+'ม.ค.-มี.ค.'!U114+'ม.ค.-มี.ค.'!V114</f>
        <v>0</v>
      </c>
      <c r="F114" s="177">
        <f>+'ต.ค.-มิ.ย. 61'!E114+'ต.ค.-มิ.ย. 61'!F114+'ต.ค.-มิ.ย. 61'!G114+'ต.ค.-มิ.ย. 61'!H114+'ต.ค.-มิ.ย. 61'!I114+'ต.ค.-มิ.ย. 61'!M114+'ต.ค.-มิ.ย. 61'!N114+'ต.ค.-มิ.ย. 61'!P114+'ต.ค.-มิ.ย. 61'!R114+'ต.ค.-มิ.ย. 61'!S114</f>
        <v>0</v>
      </c>
      <c r="G114" s="179"/>
      <c r="H114" s="179">
        <f t="shared" si="12"/>
        <v>0</v>
      </c>
      <c r="I114" s="208">
        <f t="shared" si="11"/>
        <v>2500</v>
      </c>
    </row>
    <row r="115" spans="1:14" s="172" customFormat="1" ht="21.75" customHeight="1">
      <c r="A115" s="9"/>
      <c r="B115" s="187" t="s">
        <v>259</v>
      </c>
      <c r="C115" s="279">
        <v>1000</v>
      </c>
      <c r="D115" s="177">
        <f>+'ต.ค.-ธ.ค.'!E116+'ต.ค.-ธ.ค.'!F116+'ต.ค.-ธ.ค.'!H116+'ต.ค.-ธ.ค.'!I116+'ต.ค.-ธ.ค.'!M116+'ต.ค.-ธ.ค.'!Q116+'ต.ค.-ธ.ค.'!S116</f>
        <v>0</v>
      </c>
      <c r="E115" s="177">
        <f>+'ม.ค.-มี.ค.'!D115+'ม.ค.-มี.ค.'!E115+'ม.ค.-มี.ค.'!F115+'ม.ค.-มี.ค.'!G115+'ม.ค.-มี.ค.'!H115+'ม.ค.-มี.ค.'!I115+'ม.ค.-มี.ค.'!J115+'ม.ค.-มี.ค.'!K115+'ม.ค.-มี.ค.'!L115+'ม.ค.-มี.ค.'!M115+'ม.ค.-มี.ค.'!N115+'ม.ค.-มี.ค.'!O115+'ม.ค.-มี.ค.'!P115+'ม.ค.-มี.ค.'!Q115+'ม.ค.-มี.ค.'!R115+'ม.ค.-มี.ค.'!S115+'ม.ค.-มี.ค.'!U115+'ม.ค.-มี.ค.'!V115</f>
        <v>0</v>
      </c>
      <c r="F115" s="177">
        <f>+'ต.ค.-มิ.ย. 61'!E115+'ต.ค.-มิ.ย. 61'!F115+'ต.ค.-มิ.ย. 61'!G115+'ต.ค.-มิ.ย. 61'!H115+'ต.ค.-มิ.ย. 61'!I115+'ต.ค.-มิ.ย. 61'!M115+'ต.ค.-มิ.ย. 61'!N115+'ต.ค.-มิ.ย. 61'!P115+'ต.ค.-มิ.ย. 61'!R115+'ต.ค.-มิ.ย. 61'!S115</f>
        <v>0</v>
      </c>
      <c r="G115" s="202"/>
      <c r="H115" s="179">
        <f t="shared" si="12"/>
        <v>0</v>
      </c>
      <c r="I115" s="208">
        <f t="shared" ref="I115:I175" si="13">+C115-H115</f>
        <v>1000</v>
      </c>
      <c r="J115" s="233"/>
      <c r="K115" s="331"/>
      <c r="L115" s="330"/>
      <c r="M115" s="330"/>
    </row>
    <row r="116" spans="1:14" ht="21.75" customHeight="1">
      <c r="A116" s="9"/>
      <c r="B116" s="187" t="s">
        <v>260</v>
      </c>
      <c r="C116" s="279">
        <v>1000</v>
      </c>
      <c r="D116" s="177">
        <f>+'ต.ค.-ธ.ค.'!E117+'ต.ค.-ธ.ค.'!F117+'ต.ค.-ธ.ค.'!H117+'ต.ค.-ธ.ค.'!I117+'ต.ค.-ธ.ค.'!M117+'ต.ค.-ธ.ค.'!Q117+'ต.ค.-ธ.ค.'!S117</f>
        <v>0</v>
      </c>
      <c r="E116" s="177">
        <f>+'ม.ค.-มี.ค.'!D116+'ม.ค.-มี.ค.'!E116+'ม.ค.-มี.ค.'!F116+'ม.ค.-มี.ค.'!G116+'ม.ค.-มี.ค.'!H116+'ม.ค.-มี.ค.'!I116+'ม.ค.-มี.ค.'!J116+'ม.ค.-มี.ค.'!K116+'ม.ค.-มี.ค.'!L116+'ม.ค.-มี.ค.'!M116+'ม.ค.-มี.ค.'!N116+'ม.ค.-มี.ค.'!O116+'ม.ค.-มี.ค.'!P116+'ม.ค.-มี.ค.'!Q116+'ม.ค.-มี.ค.'!R116+'ม.ค.-มี.ค.'!S116+'ม.ค.-มี.ค.'!U116+'ม.ค.-มี.ค.'!V116</f>
        <v>0</v>
      </c>
      <c r="F116" s="177">
        <f>+'ต.ค.-มิ.ย. 61'!E116+'ต.ค.-มิ.ย. 61'!F116+'ต.ค.-มิ.ย. 61'!G116+'ต.ค.-มิ.ย. 61'!H116+'ต.ค.-มิ.ย. 61'!I116+'ต.ค.-มิ.ย. 61'!M116+'ต.ค.-มิ.ย. 61'!N116+'ต.ค.-มิ.ย. 61'!P116+'ต.ค.-มิ.ย. 61'!R116+'ต.ค.-มิ.ย. 61'!S116</f>
        <v>0</v>
      </c>
      <c r="G116" s="179"/>
      <c r="H116" s="179">
        <f t="shared" si="12"/>
        <v>0</v>
      </c>
      <c r="I116" s="208">
        <f t="shared" si="13"/>
        <v>1000</v>
      </c>
    </row>
    <row r="117" spans="1:14" ht="21.75" customHeight="1">
      <c r="A117" s="9"/>
      <c r="B117" s="187" t="s">
        <v>261</v>
      </c>
      <c r="C117" s="279">
        <v>1000</v>
      </c>
      <c r="D117" s="177">
        <f>+'ต.ค.-ธ.ค.'!E118+'ต.ค.-ธ.ค.'!F118+'ต.ค.-ธ.ค.'!H118+'ต.ค.-ธ.ค.'!I118+'ต.ค.-ธ.ค.'!M118+'ต.ค.-ธ.ค.'!Q118+'ต.ค.-ธ.ค.'!S118</f>
        <v>0</v>
      </c>
      <c r="E117" s="177">
        <f>+'ม.ค.-มี.ค.'!D117+'ม.ค.-มี.ค.'!E117+'ม.ค.-มี.ค.'!F117+'ม.ค.-มี.ค.'!G117+'ม.ค.-มี.ค.'!H117+'ม.ค.-มี.ค.'!I117+'ม.ค.-มี.ค.'!J117+'ม.ค.-มี.ค.'!K117+'ม.ค.-มี.ค.'!L117+'ม.ค.-มี.ค.'!M117+'ม.ค.-มี.ค.'!N117+'ม.ค.-มี.ค.'!O117+'ม.ค.-มี.ค.'!P117+'ม.ค.-มี.ค.'!Q117+'ม.ค.-มี.ค.'!R117+'ม.ค.-มี.ค.'!S117+'ม.ค.-มี.ค.'!U117+'ม.ค.-มี.ค.'!V117</f>
        <v>0</v>
      </c>
      <c r="F117" s="177">
        <f>+'ต.ค.-มิ.ย. 61'!E117+'ต.ค.-มิ.ย. 61'!F117+'ต.ค.-มิ.ย. 61'!G117+'ต.ค.-มิ.ย. 61'!H117+'ต.ค.-มิ.ย. 61'!I117+'ต.ค.-มิ.ย. 61'!M117+'ต.ค.-มิ.ย. 61'!N117+'ต.ค.-มิ.ย. 61'!P117+'ต.ค.-มิ.ย. 61'!R117+'ต.ค.-มิ.ย. 61'!S117</f>
        <v>0</v>
      </c>
      <c r="G117" s="179"/>
      <c r="H117" s="179">
        <f t="shared" ref="H117:H176" si="14">SUM(D117:G117)</f>
        <v>0</v>
      </c>
      <c r="I117" s="208">
        <f t="shared" si="13"/>
        <v>1000</v>
      </c>
      <c r="K117" s="331"/>
      <c r="L117" s="338"/>
      <c r="M117" s="247"/>
      <c r="N117" s="168"/>
    </row>
    <row r="118" spans="1:14" ht="21.75" customHeight="1">
      <c r="A118" s="9"/>
      <c r="B118" s="187" t="s">
        <v>262</v>
      </c>
      <c r="C118" s="279">
        <v>1000</v>
      </c>
      <c r="D118" s="177">
        <f>+'ต.ค.-ธ.ค.'!E119+'ต.ค.-ธ.ค.'!F119+'ต.ค.-ธ.ค.'!H119+'ต.ค.-ธ.ค.'!I119+'ต.ค.-ธ.ค.'!M119+'ต.ค.-ธ.ค.'!Q119+'ต.ค.-ธ.ค.'!S119</f>
        <v>0</v>
      </c>
      <c r="E118" s="177">
        <f>+'ม.ค.-มี.ค.'!D118+'ม.ค.-มี.ค.'!E118+'ม.ค.-มี.ค.'!F118+'ม.ค.-มี.ค.'!G118+'ม.ค.-มี.ค.'!H118+'ม.ค.-มี.ค.'!I118+'ม.ค.-มี.ค.'!J118+'ม.ค.-มี.ค.'!K118+'ม.ค.-มี.ค.'!L118+'ม.ค.-มี.ค.'!M118+'ม.ค.-มี.ค.'!N118+'ม.ค.-มี.ค.'!O118+'ม.ค.-มี.ค.'!P118+'ม.ค.-มี.ค.'!Q118+'ม.ค.-มี.ค.'!R118+'ม.ค.-มี.ค.'!S118+'ม.ค.-มี.ค.'!U118+'ม.ค.-มี.ค.'!V118</f>
        <v>0</v>
      </c>
      <c r="F118" s="177">
        <f>+'ต.ค.-มิ.ย. 61'!E118+'ต.ค.-มิ.ย. 61'!F118+'ต.ค.-มิ.ย. 61'!G118+'ต.ค.-มิ.ย. 61'!H118+'ต.ค.-มิ.ย. 61'!I118+'ต.ค.-มิ.ย. 61'!M118+'ต.ค.-มิ.ย. 61'!N118+'ต.ค.-มิ.ย. 61'!P118+'ต.ค.-มิ.ย. 61'!R118+'ต.ค.-มิ.ย. 61'!S118</f>
        <v>0</v>
      </c>
      <c r="G118" s="179"/>
      <c r="H118" s="179">
        <f t="shared" si="14"/>
        <v>0</v>
      </c>
      <c r="I118" s="208">
        <f t="shared" si="13"/>
        <v>1000</v>
      </c>
      <c r="K118" s="331"/>
      <c r="L118" s="338"/>
      <c r="M118" s="247"/>
      <c r="N118" s="168"/>
    </row>
    <row r="119" spans="1:14" ht="21.75" customHeight="1">
      <c r="A119" s="9"/>
      <c r="B119" s="187" t="s">
        <v>211</v>
      </c>
      <c r="C119" s="279">
        <v>392000</v>
      </c>
      <c r="D119" s="177">
        <f>+'ต.ค.-ธ.ค.'!E120+'ต.ค.-ธ.ค.'!F120+'ต.ค.-ธ.ค.'!H120+'ต.ค.-ธ.ค.'!I120+'ต.ค.-ธ.ค.'!M120+'ต.ค.-ธ.ค.'!Q120+'ต.ค.-ธ.ค.'!S120</f>
        <v>104000</v>
      </c>
      <c r="E119" s="177">
        <f>+'ม.ค.-มี.ค.'!D119+'ม.ค.-มี.ค.'!E119+'ม.ค.-มี.ค.'!F119+'ม.ค.-มี.ค.'!G119+'ม.ค.-มี.ค.'!H119+'ม.ค.-มี.ค.'!I119+'ม.ค.-มี.ค.'!J119+'ม.ค.-มี.ค.'!K119+'ม.ค.-มี.ค.'!L119+'ม.ค.-มี.ค.'!M119+'ม.ค.-มี.ค.'!N119+'ม.ค.-มี.ค.'!O119+'ม.ค.-มี.ค.'!P119+'ม.ค.-มี.ค.'!Q119+'ม.ค.-มี.ค.'!R119+'ม.ค.-มี.ค.'!S119+'ม.ค.-มี.ค.'!U119+'ม.ค.-มี.ค.'!V119</f>
        <v>93600</v>
      </c>
      <c r="F119" s="177">
        <f>+'ต.ค.-มิ.ย. 61'!E119+'ต.ค.-มิ.ย. 61'!F119+'ต.ค.-มิ.ย. 61'!G119+'ต.ค.-มิ.ย. 61'!H119+'ต.ค.-มิ.ย. 61'!I119+'ต.ค.-มิ.ย. 61'!M119+'ต.ค.-มิ.ย. 61'!N119+'ต.ค.-มิ.ย. 61'!P119+'ต.ค.-มิ.ย. 61'!R119+'ต.ค.-มิ.ย. 61'!S119</f>
        <v>291200</v>
      </c>
      <c r="G119" s="179"/>
      <c r="H119" s="179">
        <f t="shared" si="14"/>
        <v>488800</v>
      </c>
      <c r="I119" s="208">
        <f t="shared" si="13"/>
        <v>-96800</v>
      </c>
    </row>
    <row r="120" spans="1:14" ht="21.75" customHeight="1">
      <c r="A120" s="9"/>
      <c r="B120" s="187" t="s">
        <v>263</v>
      </c>
      <c r="C120" s="279">
        <v>200900</v>
      </c>
      <c r="D120" s="177">
        <f>+'ต.ค.-ธ.ค.'!E121+'ต.ค.-ธ.ค.'!F121+'ต.ค.-ธ.ค.'!H121+'ต.ค.-ธ.ค.'!I121+'ต.ค.-ธ.ค.'!M121+'ต.ค.-ธ.ค.'!Q121+'ต.ค.-ธ.ค.'!S121</f>
        <v>54600</v>
      </c>
      <c r="E120" s="177">
        <f>+'ม.ค.-มี.ค.'!D120+'ม.ค.-มี.ค.'!E120+'ม.ค.-มี.ค.'!F120+'ม.ค.-มี.ค.'!G120+'ม.ค.-มี.ค.'!H120+'ม.ค.-มี.ค.'!I120+'ม.ค.-มี.ค.'!J120+'ม.ค.-มี.ค.'!K120+'ม.ค.-มี.ค.'!L120+'ม.ค.-มี.ค.'!M120+'ม.ค.-มี.ค.'!N120+'ม.ค.-มี.ค.'!O120+'ม.ค.-มี.ค.'!P120+'ม.ค.-มี.ค.'!Q120+'ม.ค.-มี.ค.'!R120+'ม.ค.-มี.ค.'!S120+'ม.ค.-มี.ค.'!U120+'ม.ค.-มี.ค.'!V120</f>
        <v>50400</v>
      </c>
      <c r="F120" s="177">
        <f>+'ต.ค.-มิ.ย. 61'!E120+'ต.ค.-มิ.ย. 61'!F120+'ต.ค.-มิ.ย. 61'!G120+'ต.ค.-มิ.ย. 61'!H120+'ต.ค.-มิ.ย. 61'!I120+'ต.ค.-มิ.ย. 61'!M120+'ต.ค.-มิ.ย. 61'!N120+'ต.ค.-มิ.ย. 61'!P120+'ต.ค.-มิ.ย. 61'!R120+'ต.ค.-มิ.ย. 61'!S120</f>
        <v>155400</v>
      </c>
      <c r="G120" s="179"/>
      <c r="H120" s="179">
        <f t="shared" si="14"/>
        <v>260400</v>
      </c>
      <c r="I120" s="208">
        <f t="shared" si="13"/>
        <v>-59500</v>
      </c>
    </row>
    <row r="121" spans="1:14" ht="21.75" customHeight="1">
      <c r="A121" s="9"/>
      <c r="B121" s="187" t="s">
        <v>315</v>
      </c>
      <c r="C121" s="279">
        <v>230300</v>
      </c>
      <c r="D121" s="177">
        <f>+'ต.ค.-ธ.ค.'!E122+'ต.ค.-ธ.ค.'!F122+'ต.ค.-ธ.ค.'!H122+'ต.ค.-ธ.ค.'!I122+'ต.ค.-ธ.ค.'!M122+'ต.ค.-ธ.ค.'!Q122+'ต.ค.-ธ.ค.'!S122</f>
        <v>59800</v>
      </c>
      <c r="E121" s="177">
        <f>+'ม.ค.-มี.ค.'!D121+'ม.ค.-มี.ค.'!E121+'ม.ค.-มี.ค.'!F121+'ม.ค.-มี.ค.'!G121+'ม.ค.-มี.ค.'!H121+'ม.ค.-มี.ค.'!I121+'ม.ค.-มี.ค.'!J121+'ม.ค.-มี.ค.'!K121+'ม.ค.-มี.ค.'!L121+'ม.ค.-มี.ค.'!M121+'ม.ค.-มี.ค.'!N121+'ม.ค.-มี.ค.'!O121+'ม.ค.-มี.ค.'!P121+'ม.ค.-มี.ค.'!Q121+'ม.ค.-มี.ค.'!R121+'ม.ค.-มี.ค.'!S121+'ม.ค.-มี.ค.'!U121+'ม.ค.-มี.ค.'!V121</f>
        <v>55200</v>
      </c>
      <c r="F121" s="177">
        <f>+'ต.ค.-มิ.ย. 61'!E121+'ต.ค.-มิ.ย. 61'!F121+'ต.ค.-มิ.ย. 61'!G121+'ต.ค.-มิ.ย. 61'!H121+'ต.ค.-มิ.ย. 61'!I121+'ต.ค.-มิ.ย. 61'!M121+'ต.ค.-มิ.ย. 61'!N121+'ต.ค.-มิ.ย. 61'!P121+'ต.ค.-มิ.ย. 61'!R121+'ต.ค.-มิ.ย. 61'!S121</f>
        <v>170200</v>
      </c>
      <c r="G121" s="179"/>
      <c r="H121" s="179">
        <f t="shared" si="14"/>
        <v>285200</v>
      </c>
      <c r="I121" s="208">
        <f t="shared" si="13"/>
        <v>-54900</v>
      </c>
    </row>
    <row r="122" spans="1:14" ht="21.75" customHeight="1">
      <c r="A122" s="9"/>
      <c r="B122" s="187" t="s">
        <v>212</v>
      </c>
      <c r="C122" s="279">
        <v>171500</v>
      </c>
      <c r="D122" s="177">
        <f>+'ต.ค.-ธ.ค.'!E123+'ต.ค.-ธ.ค.'!F123+'ต.ค.-ธ.ค.'!H123+'ต.ค.-ธ.ค.'!I123+'ต.ค.-ธ.ค.'!M123+'ต.ค.-ธ.ค.'!Q123+'ต.ค.-ธ.ค.'!S123</f>
        <v>45500</v>
      </c>
      <c r="E122" s="177">
        <f>+'ม.ค.-มี.ค.'!D122+'ม.ค.-มี.ค.'!E122+'ม.ค.-มี.ค.'!F122+'ม.ค.-มี.ค.'!G122+'ม.ค.-มี.ค.'!H122+'ม.ค.-มี.ค.'!I122+'ม.ค.-มี.ค.'!J122+'ม.ค.-มี.ค.'!K122+'ม.ค.-มี.ค.'!L122+'ม.ค.-มี.ค.'!M122+'ม.ค.-มี.ค.'!N122+'ม.ค.-มี.ค.'!O122+'ม.ค.-มี.ค.'!P122+'ม.ค.-มี.ค.'!Q122+'ม.ค.-มี.ค.'!R122+'ม.ค.-มี.ค.'!S122+'ม.ค.-มี.ค.'!U122+'ม.ค.-มี.ค.'!V122</f>
        <v>43200</v>
      </c>
      <c r="F122" s="177">
        <f>+'ต.ค.-มิ.ย. 61'!E122+'ต.ค.-มิ.ย. 61'!F122+'ต.ค.-มิ.ย. 61'!G122+'ต.ค.-มิ.ย. 61'!H122+'ต.ค.-มิ.ย. 61'!I122+'ต.ค.-มิ.ย. 61'!M122+'ต.ค.-มิ.ย. 61'!N122+'ต.ค.-มิ.ย. 61'!P122+'ต.ค.-มิ.ย. 61'!R122+'ต.ค.-มิ.ย. 61'!S122</f>
        <v>131900</v>
      </c>
      <c r="G122" s="179"/>
      <c r="H122" s="179">
        <f t="shared" si="14"/>
        <v>220600</v>
      </c>
      <c r="I122" s="208">
        <f t="shared" si="13"/>
        <v>-49100</v>
      </c>
    </row>
    <row r="123" spans="1:14" ht="21.75" customHeight="1">
      <c r="A123" s="9"/>
      <c r="B123" s="187" t="s">
        <v>140</v>
      </c>
      <c r="C123" s="279">
        <v>50000</v>
      </c>
      <c r="D123" s="177">
        <f>+'ต.ค.-ธ.ค.'!E124+'ต.ค.-ธ.ค.'!F124+'ต.ค.-ธ.ค.'!H124+'ต.ค.-ธ.ค.'!I124+'ต.ค.-ธ.ค.'!M124+'ต.ค.-ธ.ค.'!Q124+'ต.ค.-ธ.ค.'!S124</f>
        <v>0</v>
      </c>
      <c r="E123" s="177">
        <f>+'ม.ค.-มี.ค.'!D123+'ม.ค.-มี.ค.'!E123+'ม.ค.-มี.ค.'!F123+'ม.ค.-มี.ค.'!G123+'ม.ค.-มี.ค.'!H123+'ม.ค.-มี.ค.'!I123+'ม.ค.-มี.ค.'!J123+'ม.ค.-มี.ค.'!K123+'ม.ค.-มี.ค.'!L123+'ม.ค.-มี.ค.'!M123+'ม.ค.-มี.ค.'!N123+'ม.ค.-มี.ค.'!O123+'ม.ค.-มี.ค.'!P123+'ม.ค.-มี.ค.'!Q123+'ม.ค.-มี.ค.'!R123+'ม.ค.-มี.ค.'!S123+'ม.ค.-มี.ค.'!U123+'ม.ค.-มี.ค.'!V123</f>
        <v>49995</v>
      </c>
      <c r="F123" s="177">
        <f>+'ต.ค.-มิ.ย. 61'!E123+'ต.ค.-มิ.ย. 61'!F123+'ต.ค.-มิ.ย. 61'!G123+'ต.ค.-มิ.ย. 61'!H123+'ต.ค.-มิ.ย. 61'!I123+'ต.ค.-มิ.ย. 61'!M123+'ต.ค.-มิ.ย. 61'!N123+'ต.ค.-มิ.ย. 61'!P123+'ต.ค.-มิ.ย. 61'!R123+'ต.ค.-มิ.ย. 61'!S123</f>
        <v>0</v>
      </c>
      <c r="G123" s="179"/>
      <c r="H123" s="179">
        <f t="shared" si="14"/>
        <v>49995</v>
      </c>
      <c r="I123" s="208">
        <f t="shared" si="13"/>
        <v>5</v>
      </c>
      <c r="K123" s="331"/>
      <c r="L123" s="247"/>
      <c r="M123" s="247"/>
      <c r="N123" s="168"/>
    </row>
    <row r="124" spans="1:14" ht="21.75" customHeight="1">
      <c r="A124" s="9"/>
      <c r="B124" s="187" t="s">
        <v>206</v>
      </c>
      <c r="C124" s="279">
        <v>20000</v>
      </c>
      <c r="D124" s="177">
        <f>+'ต.ค.-ธ.ค.'!E125+'ต.ค.-ธ.ค.'!F125+'ต.ค.-ธ.ค.'!H125+'ต.ค.-ธ.ค.'!I125+'ต.ค.-ธ.ค.'!M125+'ต.ค.-ธ.ค.'!Q125+'ต.ค.-ธ.ค.'!S125</f>
        <v>0</v>
      </c>
      <c r="E124" s="177">
        <f>+'ม.ค.-มี.ค.'!D124+'ม.ค.-มี.ค.'!E124+'ม.ค.-มี.ค.'!F124+'ม.ค.-มี.ค.'!G124+'ม.ค.-มี.ค.'!H124+'ม.ค.-มี.ค.'!I124+'ม.ค.-มี.ค.'!J124+'ม.ค.-มี.ค.'!K124+'ม.ค.-มี.ค.'!L124+'ม.ค.-มี.ค.'!M124+'ม.ค.-มี.ค.'!N124+'ม.ค.-มี.ค.'!O124+'ม.ค.-มี.ค.'!P124+'ม.ค.-มี.ค.'!Q124+'ม.ค.-มี.ค.'!R124+'ม.ค.-มี.ค.'!S124+'ม.ค.-มี.ค.'!U124+'ม.ค.-มี.ค.'!V124</f>
        <v>0</v>
      </c>
      <c r="F124" s="177">
        <f>+'ต.ค.-มิ.ย. 61'!E124+'ต.ค.-มิ.ย. 61'!F124+'ต.ค.-มิ.ย. 61'!G124+'ต.ค.-มิ.ย. 61'!H124+'ต.ค.-มิ.ย. 61'!I124+'ต.ค.-มิ.ย. 61'!M124+'ต.ค.-มิ.ย. 61'!N124+'ต.ค.-มิ.ย. 61'!P124+'ต.ค.-มิ.ย. 61'!R124+'ต.ค.-มิ.ย. 61'!S124</f>
        <v>0</v>
      </c>
      <c r="G124" s="179"/>
      <c r="H124" s="179">
        <f t="shared" si="14"/>
        <v>0</v>
      </c>
      <c r="I124" s="208">
        <f t="shared" si="13"/>
        <v>20000</v>
      </c>
      <c r="K124" s="331"/>
      <c r="L124" s="247"/>
      <c r="M124" s="247"/>
      <c r="N124" s="168"/>
    </row>
    <row r="125" spans="1:14" s="168" customFormat="1" ht="21.75" customHeight="1">
      <c r="A125" s="9"/>
      <c r="B125" s="187" t="s">
        <v>326</v>
      </c>
      <c r="C125" s="279">
        <v>5000</v>
      </c>
      <c r="D125" s="177">
        <f>+'ต.ค.-ธ.ค.'!E126+'ต.ค.-ธ.ค.'!F126+'ต.ค.-ธ.ค.'!H126+'ต.ค.-ธ.ค.'!I126+'ต.ค.-ธ.ค.'!M126+'ต.ค.-ธ.ค.'!Q126+'ต.ค.-ธ.ค.'!S126</f>
        <v>0</v>
      </c>
      <c r="E125" s="177">
        <f>+'ม.ค.-มี.ค.'!D125+'ม.ค.-มี.ค.'!E125+'ม.ค.-มี.ค.'!F125+'ม.ค.-มี.ค.'!G125+'ม.ค.-มี.ค.'!H125+'ม.ค.-มี.ค.'!I125+'ม.ค.-มี.ค.'!J125+'ม.ค.-มี.ค.'!K125+'ม.ค.-มี.ค.'!L125+'ม.ค.-มี.ค.'!M125+'ม.ค.-มี.ค.'!N125+'ม.ค.-มี.ค.'!O125+'ม.ค.-มี.ค.'!P125+'ม.ค.-มี.ค.'!Q125+'ม.ค.-มี.ค.'!R125+'ม.ค.-มี.ค.'!S125+'ม.ค.-มี.ค.'!U125+'ม.ค.-มี.ค.'!V125</f>
        <v>0</v>
      </c>
      <c r="F125" s="177">
        <f>+'ต.ค.-มิ.ย. 61'!E125+'ต.ค.-มิ.ย. 61'!F125+'ต.ค.-มิ.ย. 61'!G125+'ต.ค.-มิ.ย. 61'!H125+'ต.ค.-มิ.ย. 61'!I125+'ต.ค.-มิ.ย. 61'!M125+'ต.ค.-มิ.ย. 61'!N125+'ต.ค.-มิ.ย. 61'!P125+'ต.ค.-มิ.ย. 61'!R125+'ต.ค.-มิ.ย. 61'!S125</f>
        <v>0</v>
      </c>
      <c r="G125" s="179"/>
      <c r="H125" s="179">
        <f t="shared" si="14"/>
        <v>0</v>
      </c>
      <c r="I125" s="208">
        <f t="shared" si="13"/>
        <v>5000</v>
      </c>
      <c r="J125" s="233"/>
      <c r="K125" s="331"/>
      <c r="L125" s="247"/>
      <c r="M125" s="338"/>
    </row>
    <row r="126" spans="1:14" ht="21.75" customHeight="1">
      <c r="A126" s="9"/>
      <c r="B126" s="187" t="s">
        <v>327</v>
      </c>
      <c r="C126" s="279">
        <v>5000</v>
      </c>
      <c r="D126" s="177">
        <f>+'ต.ค.-ธ.ค.'!E127+'ต.ค.-ธ.ค.'!F127+'ต.ค.-ธ.ค.'!H127+'ต.ค.-ธ.ค.'!I127+'ต.ค.-ธ.ค.'!M127+'ต.ค.-ธ.ค.'!Q127+'ต.ค.-ธ.ค.'!S127</f>
        <v>0</v>
      </c>
      <c r="E126" s="177">
        <f>+'ม.ค.-มี.ค.'!D126+'ม.ค.-มี.ค.'!E126+'ม.ค.-มี.ค.'!F126+'ม.ค.-มี.ค.'!G126+'ม.ค.-มี.ค.'!H126+'ม.ค.-มี.ค.'!I126+'ม.ค.-มี.ค.'!J126+'ม.ค.-มี.ค.'!K126+'ม.ค.-มี.ค.'!L126+'ม.ค.-มี.ค.'!M126+'ม.ค.-มี.ค.'!N126+'ม.ค.-มี.ค.'!O126+'ม.ค.-มี.ค.'!P126+'ม.ค.-มี.ค.'!Q126+'ม.ค.-มี.ค.'!R126+'ม.ค.-มี.ค.'!S126+'ม.ค.-มี.ค.'!U126+'ม.ค.-มี.ค.'!V126</f>
        <v>0</v>
      </c>
      <c r="F126" s="177">
        <f>+'ต.ค.-มิ.ย. 61'!E126+'ต.ค.-มิ.ย. 61'!F126+'ต.ค.-มิ.ย. 61'!G126+'ต.ค.-มิ.ย. 61'!H126+'ต.ค.-มิ.ย. 61'!I126+'ต.ค.-มิ.ย. 61'!M126+'ต.ค.-มิ.ย. 61'!N126+'ต.ค.-มิ.ย. 61'!P126+'ต.ค.-มิ.ย. 61'!R126+'ต.ค.-มิ.ย. 61'!S126</f>
        <v>0</v>
      </c>
      <c r="G126" s="179"/>
      <c r="H126" s="179">
        <f t="shared" si="14"/>
        <v>0</v>
      </c>
      <c r="I126" s="208">
        <f t="shared" si="13"/>
        <v>5000</v>
      </c>
      <c r="K126" s="331"/>
      <c r="L126" s="247"/>
      <c r="M126" s="247"/>
      <c r="N126" s="168"/>
    </row>
    <row r="127" spans="1:14" ht="21.75" customHeight="1">
      <c r="A127" s="9"/>
      <c r="B127" s="187" t="s">
        <v>142</v>
      </c>
      <c r="C127" s="279">
        <v>20000</v>
      </c>
      <c r="D127" s="177">
        <f>+'ต.ค.-ธ.ค.'!E128+'ต.ค.-ธ.ค.'!F128+'ต.ค.-ธ.ค.'!H128+'ต.ค.-ธ.ค.'!I128+'ต.ค.-ธ.ค.'!M128+'ต.ค.-ธ.ค.'!Q128+'ต.ค.-ธ.ค.'!S128</f>
        <v>0</v>
      </c>
      <c r="E127" s="177">
        <f>+'ม.ค.-มี.ค.'!D127+'ม.ค.-มี.ค.'!E127+'ม.ค.-มี.ค.'!F127+'ม.ค.-มี.ค.'!G127+'ม.ค.-มี.ค.'!H127+'ม.ค.-มี.ค.'!I127+'ม.ค.-มี.ค.'!J127+'ม.ค.-มี.ค.'!K127+'ม.ค.-มี.ค.'!L127+'ม.ค.-มี.ค.'!M127+'ม.ค.-มี.ค.'!N127+'ม.ค.-มี.ค.'!O127+'ม.ค.-มี.ค.'!P127+'ม.ค.-มี.ค.'!Q127+'ม.ค.-มี.ค.'!R127+'ม.ค.-มี.ค.'!S127+'ม.ค.-มี.ค.'!U127+'ม.ค.-มี.ค.'!V127</f>
        <v>0</v>
      </c>
      <c r="F127" s="177">
        <f>+'ต.ค.-มิ.ย. 61'!E127+'ต.ค.-มิ.ย. 61'!F127+'ต.ค.-มิ.ย. 61'!G127+'ต.ค.-มิ.ย. 61'!H127+'ต.ค.-มิ.ย. 61'!I127+'ต.ค.-มิ.ย. 61'!M127+'ต.ค.-มิ.ย. 61'!N127+'ต.ค.-มิ.ย. 61'!P127+'ต.ค.-มิ.ย. 61'!R127+'ต.ค.-มิ.ย. 61'!S127</f>
        <v>0</v>
      </c>
      <c r="G127" s="179"/>
      <c r="H127" s="179">
        <f t="shared" si="14"/>
        <v>0</v>
      </c>
      <c r="I127" s="208">
        <f t="shared" si="13"/>
        <v>20000</v>
      </c>
    </row>
    <row r="128" spans="1:14" ht="21.75" customHeight="1">
      <c r="A128" s="9"/>
      <c r="B128" s="226" t="s">
        <v>328</v>
      </c>
      <c r="C128" s="279">
        <v>10000</v>
      </c>
      <c r="D128" s="177">
        <f>+'ต.ค.-ธ.ค.'!E129+'ต.ค.-ธ.ค.'!F129+'ต.ค.-ธ.ค.'!H129+'ต.ค.-ธ.ค.'!I129+'ต.ค.-ธ.ค.'!M129+'ต.ค.-ธ.ค.'!Q129+'ต.ค.-ธ.ค.'!S129</f>
        <v>0</v>
      </c>
      <c r="E128" s="177">
        <f>+'ม.ค.-มี.ค.'!D128+'ม.ค.-มี.ค.'!E128+'ม.ค.-มี.ค.'!F128+'ม.ค.-มี.ค.'!G128+'ม.ค.-มี.ค.'!H128+'ม.ค.-มี.ค.'!I128+'ม.ค.-มี.ค.'!J128+'ม.ค.-มี.ค.'!K128+'ม.ค.-มี.ค.'!L128+'ม.ค.-มี.ค.'!M128+'ม.ค.-มี.ค.'!N128+'ม.ค.-มี.ค.'!O128+'ม.ค.-มี.ค.'!P128+'ม.ค.-มี.ค.'!Q128+'ม.ค.-มี.ค.'!R128+'ม.ค.-มี.ค.'!S128+'ม.ค.-มี.ค.'!U128+'ม.ค.-มี.ค.'!V128</f>
        <v>0</v>
      </c>
      <c r="F128" s="177">
        <f>+'ต.ค.-มิ.ย. 61'!E128+'ต.ค.-มิ.ย. 61'!F128+'ต.ค.-มิ.ย. 61'!G128+'ต.ค.-มิ.ย. 61'!H128+'ต.ค.-มิ.ย. 61'!I128+'ต.ค.-มิ.ย. 61'!M128+'ต.ค.-มิ.ย. 61'!N128+'ต.ค.-มิ.ย. 61'!P128+'ต.ค.-มิ.ย. 61'!R128+'ต.ค.-มิ.ย. 61'!S128</f>
        <v>0</v>
      </c>
      <c r="G128" s="179"/>
      <c r="H128" s="179">
        <f t="shared" si="14"/>
        <v>0</v>
      </c>
      <c r="I128" s="208">
        <f t="shared" si="13"/>
        <v>10000</v>
      </c>
    </row>
    <row r="129" spans="1:13" ht="21.75" customHeight="1">
      <c r="A129" s="9"/>
      <c r="B129" s="226" t="s">
        <v>329</v>
      </c>
      <c r="C129" s="279">
        <v>10000</v>
      </c>
      <c r="D129" s="177">
        <f>+'ต.ค.-ธ.ค.'!E130+'ต.ค.-ธ.ค.'!F130+'ต.ค.-ธ.ค.'!H130+'ต.ค.-ธ.ค.'!I130+'ต.ค.-ธ.ค.'!M130+'ต.ค.-ธ.ค.'!Q130+'ต.ค.-ธ.ค.'!S130</f>
        <v>0</v>
      </c>
      <c r="E129" s="177">
        <f>+'ม.ค.-มี.ค.'!D129+'ม.ค.-มี.ค.'!E129+'ม.ค.-มี.ค.'!F129+'ม.ค.-มี.ค.'!G129+'ม.ค.-มี.ค.'!H129+'ม.ค.-มี.ค.'!I129+'ม.ค.-มี.ค.'!J129+'ม.ค.-มี.ค.'!K129+'ม.ค.-มี.ค.'!L129+'ม.ค.-มี.ค.'!M129+'ม.ค.-มี.ค.'!N129+'ม.ค.-มี.ค.'!O129+'ม.ค.-มี.ค.'!P129+'ม.ค.-มี.ค.'!Q129+'ม.ค.-มี.ค.'!R129+'ม.ค.-มี.ค.'!S129+'ม.ค.-มี.ค.'!U129+'ม.ค.-มี.ค.'!V129</f>
        <v>0</v>
      </c>
      <c r="F129" s="177">
        <f>+'ต.ค.-มิ.ย. 61'!E129+'ต.ค.-มิ.ย. 61'!F129+'ต.ค.-มิ.ย. 61'!G129+'ต.ค.-มิ.ย. 61'!H129+'ต.ค.-มิ.ย. 61'!I129+'ต.ค.-มิ.ย. 61'!M129+'ต.ค.-มิ.ย. 61'!N129+'ต.ค.-มิ.ย. 61'!P129+'ต.ค.-มิ.ย. 61'!R129+'ต.ค.-มิ.ย. 61'!S129</f>
        <v>0</v>
      </c>
      <c r="G129" s="179"/>
      <c r="H129" s="179">
        <f t="shared" si="14"/>
        <v>0</v>
      </c>
      <c r="I129" s="208">
        <f t="shared" si="13"/>
        <v>10000</v>
      </c>
    </row>
    <row r="130" spans="1:13" s="168" customFormat="1" ht="21.75" customHeight="1">
      <c r="A130" s="9"/>
      <c r="B130" s="226" t="s">
        <v>330</v>
      </c>
      <c r="C130" s="279">
        <v>10000</v>
      </c>
      <c r="D130" s="177">
        <f>+'ต.ค.-ธ.ค.'!E131+'ต.ค.-ธ.ค.'!F131+'ต.ค.-ธ.ค.'!H131+'ต.ค.-ธ.ค.'!I131+'ต.ค.-ธ.ค.'!M131+'ต.ค.-ธ.ค.'!Q131+'ต.ค.-ธ.ค.'!S131</f>
        <v>0</v>
      </c>
      <c r="E130" s="177">
        <f>+'ม.ค.-มี.ค.'!D130+'ม.ค.-มี.ค.'!E130+'ม.ค.-มี.ค.'!F130+'ม.ค.-มี.ค.'!G130+'ม.ค.-มี.ค.'!H130+'ม.ค.-มี.ค.'!I130+'ม.ค.-มี.ค.'!J130+'ม.ค.-มี.ค.'!K130+'ม.ค.-มี.ค.'!L130+'ม.ค.-มี.ค.'!M130+'ม.ค.-มี.ค.'!N130+'ม.ค.-มี.ค.'!O130+'ม.ค.-มี.ค.'!P130+'ม.ค.-มี.ค.'!Q130+'ม.ค.-มี.ค.'!R130+'ม.ค.-มี.ค.'!S130+'ม.ค.-มี.ค.'!U130+'ม.ค.-มี.ค.'!V130</f>
        <v>0</v>
      </c>
      <c r="F130" s="177">
        <f>+'ต.ค.-มิ.ย. 61'!E130+'ต.ค.-มิ.ย. 61'!F130+'ต.ค.-มิ.ย. 61'!G130+'ต.ค.-มิ.ย. 61'!H130+'ต.ค.-มิ.ย. 61'!I130+'ต.ค.-มิ.ย. 61'!M130+'ต.ค.-มิ.ย. 61'!N130+'ต.ค.-มิ.ย. 61'!P130+'ต.ค.-มิ.ย. 61'!R130+'ต.ค.-มิ.ย. 61'!S130</f>
        <v>0</v>
      </c>
      <c r="G130" s="179"/>
      <c r="H130" s="179">
        <f t="shared" si="14"/>
        <v>0</v>
      </c>
      <c r="I130" s="208">
        <f t="shared" si="13"/>
        <v>10000</v>
      </c>
      <c r="J130" s="233"/>
      <c r="K130" s="331"/>
      <c r="L130" s="247"/>
      <c r="M130" s="247"/>
    </row>
    <row r="131" spans="1:13" s="168" customFormat="1" ht="21.75" customHeight="1">
      <c r="A131" s="9"/>
      <c r="B131" s="226" t="s">
        <v>331</v>
      </c>
      <c r="C131" s="279">
        <f>10000-10000</f>
        <v>0</v>
      </c>
      <c r="D131" s="177">
        <f>+'ต.ค.-ธ.ค.'!E132+'ต.ค.-ธ.ค.'!F132+'ต.ค.-ธ.ค.'!H132+'ต.ค.-ธ.ค.'!I132+'ต.ค.-ธ.ค.'!M132+'ต.ค.-ธ.ค.'!Q132+'ต.ค.-ธ.ค.'!S132</f>
        <v>0</v>
      </c>
      <c r="E131" s="177">
        <f>+'ม.ค.-มี.ค.'!D131+'ม.ค.-มี.ค.'!E131+'ม.ค.-มี.ค.'!F131+'ม.ค.-มี.ค.'!G131+'ม.ค.-มี.ค.'!H131+'ม.ค.-มี.ค.'!I131+'ม.ค.-มี.ค.'!J131+'ม.ค.-มี.ค.'!K131+'ม.ค.-มี.ค.'!L131+'ม.ค.-มี.ค.'!M131+'ม.ค.-มี.ค.'!N131+'ม.ค.-มี.ค.'!O131+'ม.ค.-มี.ค.'!P131+'ม.ค.-มี.ค.'!Q131+'ม.ค.-มี.ค.'!R131+'ม.ค.-มี.ค.'!S131+'ม.ค.-มี.ค.'!U131+'ม.ค.-มี.ค.'!V131</f>
        <v>0</v>
      </c>
      <c r="F131" s="177">
        <f>+'ต.ค.-มิ.ย. 61'!E131+'ต.ค.-มิ.ย. 61'!F131+'ต.ค.-มิ.ย. 61'!G131+'ต.ค.-มิ.ย. 61'!H131+'ต.ค.-มิ.ย. 61'!I131+'ต.ค.-มิ.ย. 61'!M131+'ต.ค.-มิ.ย. 61'!N131+'ต.ค.-มิ.ย. 61'!P131+'ต.ค.-มิ.ย. 61'!R131+'ต.ค.-มิ.ย. 61'!S131</f>
        <v>0</v>
      </c>
      <c r="G131" s="179"/>
      <c r="H131" s="179">
        <f t="shared" si="14"/>
        <v>0</v>
      </c>
      <c r="I131" s="208">
        <f t="shared" si="13"/>
        <v>0</v>
      </c>
      <c r="J131" s="233"/>
      <c r="K131" s="331"/>
      <c r="L131" s="247"/>
      <c r="M131" s="247"/>
    </row>
    <row r="132" spans="1:13" s="168" customFormat="1" ht="21.75" customHeight="1">
      <c r="A132" s="9"/>
      <c r="B132" s="226" t="s">
        <v>333</v>
      </c>
      <c r="C132" s="279">
        <v>15000</v>
      </c>
      <c r="D132" s="177">
        <f>+'ต.ค.-ธ.ค.'!E133+'ต.ค.-ธ.ค.'!F133+'ต.ค.-ธ.ค.'!H133+'ต.ค.-ธ.ค.'!I133+'ต.ค.-ธ.ค.'!M133+'ต.ค.-ธ.ค.'!Q133+'ต.ค.-ธ.ค.'!S133</f>
        <v>0</v>
      </c>
      <c r="E132" s="177">
        <f>+'ม.ค.-มี.ค.'!D132+'ม.ค.-มี.ค.'!E132+'ม.ค.-มี.ค.'!F132+'ม.ค.-มี.ค.'!G132+'ม.ค.-มี.ค.'!H132+'ม.ค.-มี.ค.'!I132+'ม.ค.-มี.ค.'!J132+'ม.ค.-มี.ค.'!K132+'ม.ค.-มี.ค.'!L132+'ม.ค.-มี.ค.'!M132+'ม.ค.-มี.ค.'!N132+'ม.ค.-มี.ค.'!O132+'ม.ค.-มี.ค.'!P132+'ม.ค.-มี.ค.'!Q132+'ม.ค.-มี.ค.'!R132+'ม.ค.-มี.ค.'!S132+'ม.ค.-มี.ค.'!U132+'ม.ค.-มี.ค.'!V132</f>
        <v>0</v>
      </c>
      <c r="F132" s="177">
        <f>+'ต.ค.-มิ.ย. 61'!E132+'ต.ค.-มิ.ย. 61'!F132+'ต.ค.-มิ.ย. 61'!G132+'ต.ค.-มิ.ย. 61'!H132+'ต.ค.-มิ.ย. 61'!I132+'ต.ค.-มิ.ย. 61'!M132+'ต.ค.-มิ.ย. 61'!N132+'ต.ค.-มิ.ย. 61'!P132+'ต.ค.-มิ.ย. 61'!R132+'ต.ค.-มิ.ย. 61'!S132</f>
        <v>0</v>
      </c>
      <c r="G132" s="179"/>
      <c r="H132" s="179">
        <f t="shared" si="14"/>
        <v>0</v>
      </c>
      <c r="I132" s="208">
        <f t="shared" si="13"/>
        <v>15000</v>
      </c>
      <c r="J132" s="233"/>
      <c r="K132" s="331"/>
      <c r="L132" s="247"/>
      <c r="M132" s="247"/>
    </row>
    <row r="133" spans="1:13" ht="21.75" customHeight="1">
      <c r="A133" s="9"/>
      <c r="B133" s="226" t="s">
        <v>157</v>
      </c>
      <c r="C133" s="279">
        <f>10000+8000</f>
        <v>18000</v>
      </c>
      <c r="D133" s="177">
        <f>+'ต.ค.-ธ.ค.'!E134+'ต.ค.-ธ.ค.'!F134+'ต.ค.-ธ.ค.'!H134+'ต.ค.-ธ.ค.'!I134+'ต.ค.-ธ.ค.'!M134+'ต.ค.-ธ.ค.'!Q134+'ต.ค.-ธ.ค.'!S134</f>
        <v>0</v>
      </c>
      <c r="E133" s="177">
        <f>+'ม.ค.-มี.ค.'!D133+'ม.ค.-มี.ค.'!E133+'ม.ค.-มี.ค.'!F133+'ม.ค.-มี.ค.'!G133+'ม.ค.-มี.ค.'!H133+'ม.ค.-มี.ค.'!I133+'ม.ค.-มี.ค.'!J133+'ม.ค.-มี.ค.'!K133+'ม.ค.-มี.ค.'!L133+'ม.ค.-มี.ค.'!M133+'ม.ค.-มี.ค.'!N133+'ม.ค.-มี.ค.'!O133+'ม.ค.-มี.ค.'!P133+'ม.ค.-มี.ค.'!Q133+'ม.ค.-มี.ค.'!R133+'ม.ค.-มี.ค.'!S133+'ม.ค.-มี.ค.'!U133+'ม.ค.-มี.ค.'!V133</f>
        <v>0</v>
      </c>
      <c r="F133" s="177">
        <f>+'ต.ค.-มิ.ย. 61'!E133+'ต.ค.-มิ.ย. 61'!F133+'ต.ค.-มิ.ย. 61'!G133+'ต.ค.-มิ.ย. 61'!H133+'ต.ค.-มิ.ย. 61'!I133+'ต.ค.-มิ.ย. 61'!M133+'ต.ค.-มิ.ย. 61'!N133+'ต.ค.-มิ.ย. 61'!P133+'ต.ค.-มิ.ย. 61'!R133+'ต.ค.-มิ.ย. 61'!S133</f>
        <v>3600</v>
      </c>
      <c r="G133" s="179"/>
      <c r="H133" s="179">
        <f t="shared" si="14"/>
        <v>3600</v>
      </c>
      <c r="I133" s="208">
        <f t="shared" si="13"/>
        <v>14400</v>
      </c>
    </row>
    <row r="134" spans="1:13" ht="21.75" customHeight="1">
      <c r="A134" s="9"/>
      <c r="B134" s="226" t="s">
        <v>158</v>
      </c>
      <c r="C134" s="279">
        <f>10000-8000</f>
        <v>2000</v>
      </c>
      <c r="D134" s="177">
        <f>+'ต.ค.-ธ.ค.'!E135+'ต.ค.-ธ.ค.'!F135+'ต.ค.-ธ.ค.'!H135+'ต.ค.-ธ.ค.'!I135+'ต.ค.-ธ.ค.'!M135+'ต.ค.-ธ.ค.'!Q135+'ต.ค.-ธ.ค.'!S135</f>
        <v>0</v>
      </c>
      <c r="E134" s="177">
        <f>+'ม.ค.-มี.ค.'!D134+'ม.ค.-มี.ค.'!E134+'ม.ค.-มี.ค.'!F134+'ม.ค.-มี.ค.'!G134+'ม.ค.-มี.ค.'!H134+'ม.ค.-มี.ค.'!I134+'ม.ค.-มี.ค.'!J134+'ม.ค.-มี.ค.'!K134+'ม.ค.-มี.ค.'!L134+'ม.ค.-มี.ค.'!M134+'ม.ค.-มี.ค.'!N134+'ม.ค.-มี.ค.'!O134+'ม.ค.-มี.ค.'!P134+'ม.ค.-มี.ค.'!Q134+'ม.ค.-มี.ค.'!R134+'ม.ค.-มี.ค.'!S134+'ม.ค.-มี.ค.'!U134+'ม.ค.-มี.ค.'!V134</f>
        <v>0</v>
      </c>
      <c r="F134" s="177">
        <f>+'ต.ค.-มิ.ย. 61'!E134+'ต.ค.-มิ.ย. 61'!F134+'ต.ค.-มิ.ย. 61'!G134+'ต.ค.-มิ.ย. 61'!H134+'ต.ค.-มิ.ย. 61'!I134+'ต.ค.-มิ.ย. 61'!M134+'ต.ค.-มิ.ย. 61'!N134+'ต.ค.-มิ.ย. 61'!P134+'ต.ค.-มิ.ย. 61'!R134+'ต.ค.-มิ.ย. 61'!S134</f>
        <v>0</v>
      </c>
      <c r="G134" s="179"/>
      <c r="H134" s="179">
        <f t="shared" si="14"/>
        <v>0</v>
      </c>
      <c r="I134" s="208">
        <f t="shared" si="13"/>
        <v>2000</v>
      </c>
    </row>
    <row r="135" spans="1:13" ht="21.75" customHeight="1">
      <c r="A135" s="9"/>
      <c r="B135" s="226" t="s">
        <v>352</v>
      </c>
      <c r="C135" s="279">
        <f>10000+10000-20000</f>
        <v>0</v>
      </c>
      <c r="D135" s="177">
        <f>+'ต.ค.-ธ.ค.'!E136+'ต.ค.-ธ.ค.'!F136+'ต.ค.-ธ.ค.'!H136+'ต.ค.-ธ.ค.'!I136+'ต.ค.-ธ.ค.'!M136+'ต.ค.-ธ.ค.'!Q136+'ต.ค.-ธ.ค.'!S136</f>
        <v>0</v>
      </c>
      <c r="E135" s="177">
        <f>+'ม.ค.-มี.ค.'!D135+'ม.ค.-มี.ค.'!E135+'ม.ค.-มี.ค.'!F135+'ม.ค.-มี.ค.'!G135+'ม.ค.-มี.ค.'!H135+'ม.ค.-มี.ค.'!I135+'ม.ค.-มี.ค.'!J135+'ม.ค.-มี.ค.'!K135+'ม.ค.-มี.ค.'!L135+'ม.ค.-มี.ค.'!M135+'ม.ค.-มี.ค.'!N135+'ม.ค.-มี.ค.'!O135+'ม.ค.-มี.ค.'!P135+'ม.ค.-มี.ค.'!Q135+'ม.ค.-มี.ค.'!R135+'ม.ค.-มี.ค.'!S135+'ม.ค.-มี.ค.'!U135+'ม.ค.-มี.ค.'!V135</f>
        <v>0</v>
      </c>
      <c r="F135" s="177">
        <f>+'ต.ค.-มิ.ย. 61'!E135+'ต.ค.-มิ.ย. 61'!F135+'ต.ค.-มิ.ย. 61'!G135+'ต.ค.-มิ.ย. 61'!H135+'ต.ค.-มิ.ย. 61'!I135+'ต.ค.-มิ.ย. 61'!M135+'ต.ค.-มิ.ย. 61'!N135+'ต.ค.-มิ.ย. 61'!P135+'ต.ค.-มิ.ย. 61'!R135+'ต.ค.-มิ.ย. 61'!S135</f>
        <v>0</v>
      </c>
      <c r="G135" s="179"/>
      <c r="H135" s="179">
        <f t="shared" si="14"/>
        <v>0</v>
      </c>
      <c r="I135" s="208">
        <f t="shared" si="13"/>
        <v>0</v>
      </c>
    </row>
    <row r="136" spans="1:13" ht="21.75" customHeight="1">
      <c r="A136" s="9"/>
      <c r="B136" s="226" t="s">
        <v>213</v>
      </c>
      <c r="C136" s="279">
        <v>15000</v>
      </c>
      <c r="D136" s="177">
        <f>+'ต.ค.-ธ.ค.'!E137+'ต.ค.-ธ.ค.'!F137+'ต.ค.-ธ.ค.'!H137+'ต.ค.-ธ.ค.'!I137+'ต.ค.-ธ.ค.'!M137+'ต.ค.-ธ.ค.'!Q137+'ต.ค.-ธ.ค.'!S137</f>
        <v>0</v>
      </c>
      <c r="E136" s="177">
        <f>+'ม.ค.-มี.ค.'!D136+'ม.ค.-มี.ค.'!E136+'ม.ค.-มี.ค.'!F136+'ม.ค.-มี.ค.'!G136+'ม.ค.-มี.ค.'!H136+'ม.ค.-มี.ค.'!I136+'ม.ค.-มี.ค.'!J136+'ม.ค.-มี.ค.'!K136+'ม.ค.-มี.ค.'!L136+'ม.ค.-มี.ค.'!M136+'ม.ค.-มี.ค.'!N136+'ม.ค.-มี.ค.'!O136+'ม.ค.-มี.ค.'!P136+'ม.ค.-มี.ค.'!Q136+'ม.ค.-มี.ค.'!R136+'ม.ค.-มี.ค.'!S136+'ม.ค.-มี.ค.'!U136+'ม.ค.-มี.ค.'!V136</f>
        <v>0</v>
      </c>
      <c r="F136" s="177">
        <f>+'ต.ค.-มิ.ย. 61'!E136+'ต.ค.-มิ.ย. 61'!F136+'ต.ค.-มิ.ย. 61'!G136+'ต.ค.-มิ.ย. 61'!H136+'ต.ค.-มิ.ย. 61'!I136+'ต.ค.-มิ.ย. 61'!M136+'ต.ค.-มิ.ย. 61'!N136+'ต.ค.-มิ.ย. 61'!P136+'ต.ค.-มิ.ย. 61'!R136+'ต.ค.-มิ.ย. 61'!S136</f>
        <v>0</v>
      </c>
      <c r="G136" s="179"/>
      <c r="H136" s="179">
        <f t="shared" si="14"/>
        <v>0</v>
      </c>
      <c r="I136" s="208">
        <f t="shared" si="13"/>
        <v>15000</v>
      </c>
    </row>
    <row r="137" spans="1:13" ht="21.75" customHeight="1">
      <c r="A137" s="9"/>
      <c r="B137" s="226" t="s">
        <v>265</v>
      </c>
      <c r="C137" s="279">
        <f>20000-20000</f>
        <v>0</v>
      </c>
      <c r="D137" s="177">
        <f>+'ต.ค.-ธ.ค.'!E138+'ต.ค.-ธ.ค.'!F138+'ต.ค.-ธ.ค.'!H138+'ต.ค.-ธ.ค.'!I138+'ต.ค.-ธ.ค.'!M138+'ต.ค.-ธ.ค.'!Q138+'ต.ค.-ธ.ค.'!S138</f>
        <v>0</v>
      </c>
      <c r="E137" s="177">
        <f>+'ม.ค.-มี.ค.'!D137+'ม.ค.-มี.ค.'!E137+'ม.ค.-มี.ค.'!F137+'ม.ค.-มี.ค.'!G137+'ม.ค.-มี.ค.'!H137+'ม.ค.-มี.ค.'!I137+'ม.ค.-มี.ค.'!J137+'ม.ค.-มี.ค.'!K137+'ม.ค.-มี.ค.'!L137+'ม.ค.-มี.ค.'!M137+'ม.ค.-มี.ค.'!N137+'ม.ค.-มี.ค.'!O137+'ม.ค.-มี.ค.'!P137+'ม.ค.-มี.ค.'!Q137+'ม.ค.-มี.ค.'!R137+'ม.ค.-มี.ค.'!S137+'ม.ค.-มี.ค.'!U137+'ม.ค.-มี.ค.'!V137</f>
        <v>0</v>
      </c>
      <c r="F137" s="177">
        <f>+'ต.ค.-มิ.ย. 61'!E137+'ต.ค.-มิ.ย. 61'!F137+'ต.ค.-มิ.ย. 61'!G137+'ต.ค.-มิ.ย. 61'!H137+'ต.ค.-มิ.ย. 61'!I137+'ต.ค.-มิ.ย. 61'!M137+'ต.ค.-มิ.ย. 61'!N137+'ต.ค.-มิ.ย. 61'!P137+'ต.ค.-มิ.ย. 61'!R137+'ต.ค.-มิ.ย. 61'!S137</f>
        <v>0</v>
      </c>
      <c r="G137" s="179"/>
      <c r="H137" s="179">
        <f t="shared" si="14"/>
        <v>0</v>
      </c>
      <c r="I137" s="208">
        <f t="shared" si="13"/>
        <v>0</v>
      </c>
    </row>
    <row r="138" spans="1:13" ht="21.75" customHeight="1">
      <c r="A138" s="9"/>
      <c r="B138" s="226" t="s">
        <v>353</v>
      </c>
      <c r="C138" s="279">
        <v>5000</v>
      </c>
      <c r="D138" s="177">
        <f>+'ต.ค.-ธ.ค.'!E139+'ต.ค.-ธ.ค.'!F139+'ต.ค.-ธ.ค.'!H139+'ต.ค.-ธ.ค.'!I139+'ต.ค.-ธ.ค.'!M139+'ต.ค.-ธ.ค.'!Q139+'ต.ค.-ธ.ค.'!S139</f>
        <v>4880</v>
      </c>
      <c r="E138" s="177">
        <f>+'ม.ค.-มี.ค.'!D138+'ม.ค.-มี.ค.'!E138+'ม.ค.-มี.ค.'!F138+'ม.ค.-มี.ค.'!G138+'ม.ค.-มี.ค.'!H138+'ม.ค.-มี.ค.'!I138+'ม.ค.-มี.ค.'!J138+'ม.ค.-มี.ค.'!K138+'ม.ค.-มี.ค.'!L138+'ม.ค.-มี.ค.'!M138+'ม.ค.-มี.ค.'!N138+'ม.ค.-มี.ค.'!O138+'ม.ค.-มี.ค.'!P138+'ม.ค.-มี.ค.'!Q138+'ม.ค.-มี.ค.'!R138+'ม.ค.-มี.ค.'!S138+'ม.ค.-มี.ค.'!U138+'ม.ค.-มี.ค.'!V138</f>
        <v>0</v>
      </c>
      <c r="F138" s="177">
        <f>+'ต.ค.-มิ.ย. 61'!E138+'ต.ค.-มิ.ย. 61'!F138+'ต.ค.-มิ.ย. 61'!G138+'ต.ค.-มิ.ย. 61'!H138+'ต.ค.-มิ.ย. 61'!I138+'ต.ค.-มิ.ย. 61'!M138+'ต.ค.-มิ.ย. 61'!N138+'ต.ค.-มิ.ย. 61'!P138+'ต.ค.-มิ.ย. 61'!R138+'ต.ค.-มิ.ย. 61'!S138</f>
        <v>0</v>
      </c>
      <c r="G138" s="179"/>
      <c r="H138" s="179">
        <f t="shared" si="14"/>
        <v>4880</v>
      </c>
      <c r="I138" s="208">
        <f t="shared" si="13"/>
        <v>120</v>
      </c>
    </row>
    <row r="139" spans="1:13" ht="21.75" customHeight="1">
      <c r="A139" s="9"/>
      <c r="B139" s="226" t="s">
        <v>354</v>
      </c>
      <c r="C139" s="279">
        <v>10000</v>
      </c>
      <c r="D139" s="177">
        <f>+'ต.ค.-ธ.ค.'!E140+'ต.ค.-ธ.ค.'!F140+'ต.ค.-ธ.ค.'!H140+'ต.ค.-ธ.ค.'!I140+'ต.ค.-ธ.ค.'!M140+'ต.ค.-ธ.ค.'!Q140+'ต.ค.-ธ.ค.'!S140</f>
        <v>0</v>
      </c>
      <c r="E139" s="177">
        <f>+'ม.ค.-มี.ค.'!D139+'ม.ค.-มี.ค.'!E139+'ม.ค.-มี.ค.'!F139+'ม.ค.-มี.ค.'!G139+'ม.ค.-มี.ค.'!H139+'ม.ค.-มี.ค.'!I139+'ม.ค.-มี.ค.'!J139+'ม.ค.-มี.ค.'!K139+'ม.ค.-มี.ค.'!L139+'ม.ค.-มี.ค.'!M139+'ม.ค.-มี.ค.'!N139+'ม.ค.-มี.ค.'!O139+'ม.ค.-มี.ค.'!P139+'ม.ค.-มี.ค.'!Q139+'ม.ค.-มี.ค.'!R139+'ม.ค.-มี.ค.'!S139+'ม.ค.-มี.ค.'!U139+'ม.ค.-มี.ค.'!V139</f>
        <v>0</v>
      </c>
      <c r="F139" s="177">
        <f>+'ต.ค.-มิ.ย. 61'!E139+'ต.ค.-มิ.ย. 61'!F139+'ต.ค.-มิ.ย. 61'!G139+'ต.ค.-มิ.ย. 61'!H139+'ต.ค.-มิ.ย. 61'!I139+'ต.ค.-มิ.ย. 61'!M139+'ต.ค.-มิ.ย. 61'!N139+'ต.ค.-มิ.ย. 61'!P139+'ต.ค.-มิ.ย. 61'!R139+'ต.ค.-มิ.ย. 61'!S139</f>
        <v>0</v>
      </c>
      <c r="G139" s="179"/>
      <c r="H139" s="179">
        <f t="shared" si="14"/>
        <v>0</v>
      </c>
      <c r="I139" s="208">
        <f t="shared" si="13"/>
        <v>10000</v>
      </c>
    </row>
    <row r="140" spans="1:13" ht="21.75" customHeight="1">
      <c r="A140" s="9"/>
      <c r="B140" s="187" t="s">
        <v>355</v>
      </c>
      <c r="C140" s="279">
        <v>20000</v>
      </c>
      <c r="D140" s="177">
        <f>+'ต.ค.-ธ.ค.'!E141+'ต.ค.-ธ.ค.'!F141+'ต.ค.-ธ.ค.'!H141+'ต.ค.-ธ.ค.'!I141+'ต.ค.-ธ.ค.'!M141+'ต.ค.-ธ.ค.'!Q141+'ต.ค.-ธ.ค.'!S141</f>
        <v>0</v>
      </c>
      <c r="E140" s="177">
        <f>+'ม.ค.-มี.ค.'!D140+'ม.ค.-มี.ค.'!E140+'ม.ค.-มี.ค.'!F140+'ม.ค.-มี.ค.'!G140+'ม.ค.-มี.ค.'!H140+'ม.ค.-มี.ค.'!I140+'ม.ค.-มี.ค.'!J140+'ม.ค.-มี.ค.'!K140+'ม.ค.-มี.ค.'!L140+'ม.ค.-มี.ค.'!M140+'ม.ค.-มี.ค.'!N140+'ม.ค.-มี.ค.'!O140+'ม.ค.-มี.ค.'!P140+'ม.ค.-มี.ค.'!Q140+'ม.ค.-มี.ค.'!R140+'ม.ค.-มี.ค.'!S140+'ม.ค.-มี.ค.'!U140+'ม.ค.-มี.ค.'!V140</f>
        <v>0</v>
      </c>
      <c r="F140" s="177">
        <f>+'ต.ค.-มิ.ย. 61'!E140+'ต.ค.-มิ.ย. 61'!F140+'ต.ค.-มิ.ย. 61'!G140+'ต.ค.-มิ.ย. 61'!H140+'ต.ค.-มิ.ย. 61'!I140+'ต.ค.-มิ.ย. 61'!M140+'ต.ค.-มิ.ย. 61'!N140+'ต.ค.-มิ.ย. 61'!P140+'ต.ค.-มิ.ย. 61'!R140+'ต.ค.-มิ.ย. 61'!S140</f>
        <v>0</v>
      </c>
      <c r="G140" s="179"/>
      <c r="H140" s="179">
        <f t="shared" si="14"/>
        <v>0</v>
      </c>
      <c r="I140" s="208">
        <f t="shared" si="13"/>
        <v>20000</v>
      </c>
    </row>
    <row r="141" spans="1:13" ht="21.75" customHeight="1">
      <c r="A141" s="9"/>
      <c r="B141" s="187" t="s">
        <v>356</v>
      </c>
      <c r="C141" s="279">
        <v>20000</v>
      </c>
      <c r="D141" s="177">
        <f>+'ต.ค.-ธ.ค.'!E142+'ต.ค.-ธ.ค.'!F142+'ต.ค.-ธ.ค.'!H142+'ต.ค.-ธ.ค.'!I142+'ต.ค.-ธ.ค.'!M142+'ต.ค.-ธ.ค.'!Q142+'ต.ค.-ธ.ค.'!S142</f>
        <v>0</v>
      </c>
      <c r="E141" s="177">
        <f>+'ม.ค.-มี.ค.'!D141+'ม.ค.-มี.ค.'!E141+'ม.ค.-มี.ค.'!F141+'ม.ค.-มี.ค.'!G141+'ม.ค.-มี.ค.'!H141+'ม.ค.-มี.ค.'!I141+'ม.ค.-มี.ค.'!J141+'ม.ค.-มี.ค.'!K141+'ม.ค.-มี.ค.'!L141+'ม.ค.-มี.ค.'!M141+'ม.ค.-มี.ค.'!N141+'ม.ค.-มี.ค.'!O141+'ม.ค.-มี.ค.'!P141+'ม.ค.-มี.ค.'!Q141+'ม.ค.-มี.ค.'!R141+'ม.ค.-มี.ค.'!S141+'ม.ค.-มี.ค.'!U141+'ม.ค.-มี.ค.'!V141</f>
        <v>0</v>
      </c>
      <c r="F141" s="177">
        <f>+'ต.ค.-มิ.ย. 61'!E141+'ต.ค.-มิ.ย. 61'!F141+'ต.ค.-มิ.ย. 61'!G141+'ต.ค.-มิ.ย. 61'!H141+'ต.ค.-มิ.ย. 61'!I141+'ต.ค.-มิ.ย. 61'!M141+'ต.ค.-มิ.ย. 61'!N141+'ต.ค.-มิ.ย. 61'!P141+'ต.ค.-มิ.ย. 61'!R141+'ต.ค.-มิ.ย. 61'!S141</f>
        <v>0</v>
      </c>
      <c r="G141" s="179"/>
      <c r="H141" s="179">
        <f t="shared" si="14"/>
        <v>0</v>
      </c>
      <c r="I141" s="208">
        <f t="shared" si="13"/>
        <v>20000</v>
      </c>
    </row>
    <row r="142" spans="1:13" s="172" customFormat="1" ht="21.75" customHeight="1">
      <c r="A142" s="9"/>
      <c r="B142" s="187" t="s">
        <v>357</v>
      </c>
      <c r="C142" s="279">
        <v>10000</v>
      </c>
      <c r="D142" s="177">
        <f>+'ต.ค.-ธ.ค.'!E143+'ต.ค.-ธ.ค.'!F143+'ต.ค.-ธ.ค.'!H143+'ต.ค.-ธ.ค.'!I143+'ต.ค.-ธ.ค.'!M143+'ต.ค.-ธ.ค.'!Q143+'ต.ค.-ธ.ค.'!S143</f>
        <v>0</v>
      </c>
      <c r="E142" s="177">
        <f>+'ม.ค.-มี.ค.'!D142+'ม.ค.-มี.ค.'!E142+'ม.ค.-มี.ค.'!F142+'ม.ค.-มี.ค.'!G142+'ม.ค.-มี.ค.'!H142+'ม.ค.-มี.ค.'!I142+'ม.ค.-มี.ค.'!J142+'ม.ค.-มี.ค.'!K142+'ม.ค.-มี.ค.'!L142+'ม.ค.-มี.ค.'!M142+'ม.ค.-มี.ค.'!N142+'ม.ค.-มี.ค.'!O142+'ม.ค.-มี.ค.'!P142+'ม.ค.-มี.ค.'!Q142+'ม.ค.-มี.ค.'!R142+'ม.ค.-มี.ค.'!S142+'ม.ค.-มี.ค.'!U142+'ม.ค.-มี.ค.'!V142</f>
        <v>0</v>
      </c>
      <c r="F142" s="177">
        <f>+'ต.ค.-มิ.ย. 61'!E142+'ต.ค.-มิ.ย. 61'!F142+'ต.ค.-มิ.ย. 61'!G142+'ต.ค.-มิ.ย. 61'!H142+'ต.ค.-มิ.ย. 61'!I142+'ต.ค.-มิ.ย. 61'!M142+'ต.ค.-มิ.ย. 61'!N142+'ต.ค.-มิ.ย. 61'!P142+'ต.ค.-มิ.ย. 61'!R142+'ต.ค.-มิ.ย. 61'!S142</f>
        <v>0</v>
      </c>
      <c r="G142" s="199"/>
      <c r="H142" s="179">
        <f t="shared" si="14"/>
        <v>0</v>
      </c>
      <c r="I142" s="208">
        <f t="shared" si="13"/>
        <v>10000</v>
      </c>
      <c r="J142" s="233"/>
      <c r="K142" s="329"/>
      <c r="L142" s="330"/>
      <c r="M142" s="330"/>
    </row>
    <row r="143" spans="1:13" s="172" customFormat="1" ht="21.75" customHeight="1">
      <c r="A143" s="9"/>
      <c r="B143" s="187" t="s">
        <v>358</v>
      </c>
      <c r="C143" s="279">
        <v>10000</v>
      </c>
      <c r="D143" s="177">
        <f>+'ต.ค.-ธ.ค.'!E144+'ต.ค.-ธ.ค.'!F144+'ต.ค.-ธ.ค.'!H144+'ต.ค.-ธ.ค.'!I144+'ต.ค.-ธ.ค.'!M144+'ต.ค.-ธ.ค.'!Q144+'ต.ค.-ธ.ค.'!S144</f>
        <v>0</v>
      </c>
      <c r="E143" s="177">
        <f>+'ม.ค.-มี.ค.'!D143+'ม.ค.-มี.ค.'!E143+'ม.ค.-มี.ค.'!F143+'ม.ค.-มี.ค.'!G143+'ม.ค.-มี.ค.'!H143+'ม.ค.-มี.ค.'!I143+'ม.ค.-มี.ค.'!J143+'ม.ค.-มี.ค.'!K143+'ม.ค.-มี.ค.'!L143+'ม.ค.-มี.ค.'!M143+'ม.ค.-มี.ค.'!N143+'ม.ค.-มี.ค.'!O143+'ม.ค.-มี.ค.'!P143+'ม.ค.-มี.ค.'!Q143+'ม.ค.-มี.ค.'!R143+'ม.ค.-มี.ค.'!S143+'ม.ค.-มี.ค.'!U143+'ม.ค.-มี.ค.'!V143</f>
        <v>0</v>
      </c>
      <c r="F143" s="177">
        <f>+'ต.ค.-มิ.ย. 61'!E143+'ต.ค.-มิ.ย. 61'!F143+'ต.ค.-มิ.ย. 61'!G143+'ต.ค.-มิ.ย. 61'!H143+'ต.ค.-มิ.ย. 61'!I143+'ต.ค.-มิ.ย. 61'!M143+'ต.ค.-มิ.ย. 61'!N143+'ต.ค.-มิ.ย. 61'!P143+'ต.ค.-มิ.ย. 61'!R143+'ต.ค.-มิ.ย. 61'!S143</f>
        <v>0</v>
      </c>
      <c r="G143" s="199"/>
      <c r="H143" s="179">
        <f t="shared" si="14"/>
        <v>0</v>
      </c>
      <c r="I143" s="208">
        <f t="shared" si="13"/>
        <v>10000</v>
      </c>
      <c r="J143" s="233"/>
      <c r="K143" s="329"/>
      <c r="L143" s="330"/>
      <c r="M143" s="330"/>
    </row>
    <row r="144" spans="1:13" s="172" customFormat="1" ht="21.75" customHeight="1">
      <c r="A144" s="9"/>
      <c r="B144" s="187" t="s">
        <v>359</v>
      </c>
      <c r="C144" s="279">
        <v>5000</v>
      </c>
      <c r="D144" s="177">
        <f>+'ต.ค.-ธ.ค.'!E145+'ต.ค.-ธ.ค.'!F145+'ต.ค.-ธ.ค.'!H145+'ต.ค.-ธ.ค.'!I145+'ต.ค.-ธ.ค.'!M145+'ต.ค.-ธ.ค.'!Q145+'ต.ค.-ธ.ค.'!S145</f>
        <v>0</v>
      </c>
      <c r="E144" s="177">
        <f>+'ม.ค.-มี.ค.'!D144+'ม.ค.-มี.ค.'!E144+'ม.ค.-มี.ค.'!F144+'ม.ค.-มี.ค.'!G144+'ม.ค.-มี.ค.'!H144+'ม.ค.-มี.ค.'!I144+'ม.ค.-มี.ค.'!J144+'ม.ค.-มี.ค.'!K144+'ม.ค.-มี.ค.'!L144+'ม.ค.-มี.ค.'!M144+'ม.ค.-มี.ค.'!N144+'ม.ค.-มี.ค.'!O144+'ม.ค.-มี.ค.'!P144+'ม.ค.-มี.ค.'!Q144+'ม.ค.-มี.ค.'!R144+'ม.ค.-มี.ค.'!S144+'ม.ค.-มี.ค.'!U144+'ม.ค.-มี.ค.'!V144</f>
        <v>0</v>
      </c>
      <c r="F144" s="177">
        <f>+'ต.ค.-มิ.ย. 61'!E144+'ต.ค.-มิ.ย. 61'!F144+'ต.ค.-มิ.ย. 61'!G144+'ต.ค.-มิ.ย. 61'!H144+'ต.ค.-มิ.ย. 61'!I144+'ต.ค.-มิ.ย. 61'!M144+'ต.ค.-มิ.ย. 61'!N144+'ต.ค.-มิ.ย. 61'!P144+'ต.ค.-มิ.ย. 61'!R144+'ต.ค.-มิ.ย. 61'!S144</f>
        <v>0</v>
      </c>
      <c r="G144" s="199"/>
      <c r="H144" s="179">
        <f t="shared" si="14"/>
        <v>0</v>
      </c>
      <c r="I144" s="208">
        <f t="shared" si="13"/>
        <v>5000</v>
      </c>
      <c r="J144" s="233"/>
      <c r="K144" s="329"/>
      <c r="L144" s="330"/>
      <c r="M144" s="330"/>
    </row>
    <row r="145" spans="1:13" s="172" customFormat="1" ht="21.75" customHeight="1">
      <c r="A145" s="9"/>
      <c r="B145" s="187" t="s">
        <v>360</v>
      </c>
      <c r="C145" s="279">
        <v>5000</v>
      </c>
      <c r="D145" s="177">
        <f>+'ต.ค.-ธ.ค.'!E146+'ต.ค.-ธ.ค.'!F146+'ต.ค.-ธ.ค.'!H146+'ต.ค.-ธ.ค.'!I146+'ต.ค.-ธ.ค.'!M146+'ต.ค.-ธ.ค.'!Q146+'ต.ค.-ธ.ค.'!S146</f>
        <v>0</v>
      </c>
      <c r="E145" s="177">
        <f>+'ม.ค.-มี.ค.'!D145+'ม.ค.-มี.ค.'!E145+'ม.ค.-มี.ค.'!F145+'ม.ค.-มี.ค.'!G145+'ม.ค.-มี.ค.'!H145+'ม.ค.-มี.ค.'!I145+'ม.ค.-มี.ค.'!J145+'ม.ค.-มี.ค.'!K145+'ม.ค.-มี.ค.'!L145+'ม.ค.-มี.ค.'!M145+'ม.ค.-มี.ค.'!N145+'ม.ค.-มี.ค.'!O145+'ม.ค.-มี.ค.'!P145+'ม.ค.-มี.ค.'!Q145+'ม.ค.-มี.ค.'!R145+'ม.ค.-มี.ค.'!S145+'ม.ค.-มี.ค.'!U145+'ม.ค.-มี.ค.'!V145</f>
        <v>0</v>
      </c>
      <c r="F145" s="177">
        <f>+'ต.ค.-มิ.ย. 61'!E145+'ต.ค.-มิ.ย. 61'!F145+'ต.ค.-มิ.ย. 61'!G145+'ต.ค.-มิ.ย. 61'!H145+'ต.ค.-มิ.ย. 61'!I145+'ต.ค.-มิ.ย. 61'!M145+'ต.ค.-มิ.ย. 61'!N145+'ต.ค.-มิ.ย. 61'!P145+'ต.ค.-มิ.ย. 61'!R145+'ต.ค.-มิ.ย. 61'!S145</f>
        <v>0</v>
      </c>
      <c r="G145" s="199"/>
      <c r="H145" s="179">
        <f t="shared" si="14"/>
        <v>0</v>
      </c>
      <c r="I145" s="208">
        <f t="shared" si="13"/>
        <v>5000</v>
      </c>
      <c r="J145" s="233"/>
      <c r="K145" s="329"/>
      <c r="L145" s="330"/>
      <c r="M145" s="330"/>
    </row>
    <row r="146" spans="1:13" s="172" customFormat="1" ht="21.75" customHeight="1">
      <c r="A146" s="9"/>
      <c r="B146" s="187" t="s">
        <v>361</v>
      </c>
      <c r="C146" s="279">
        <v>5000</v>
      </c>
      <c r="D146" s="177">
        <f>+'ต.ค.-ธ.ค.'!E147+'ต.ค.-ธ.ค.'!F147+'ต.ค.-ธ.ค.'!H147+'ต.ค.-ธ.ค.'!I147+'ต.ค.-ธ.ค.'!M147+'ต.ค.-ธ.ค.'!Q147+'ต.ค.-ธ.ค.'!S147</f>
        <v>0</v>
      </c>
      <c r="E146" s="177">
        <f>+'ม.ค.-มี.ค.'!D146+'ม.ค.-มี.ค.'!E146+'ม.ค.-มี.ค.'!F146+'ม.ค.-มี.ค.'!G146+'ม.ค.-มี.ค.'!H146+'ม.ค.-มี.ค.'!I146+'ม.ค.-มี.ค.'!J146+'ม.ค.-มี.ค.'!K146+'ม.ค.-มี.ค.'!L146+'ม.ค.-มี.ค.'!M146+'ม.ค.-มี.ค.'!N146+'ม.ค.-มี.ค.'!O146+'ม.ค.-มี.ค.'!P146+'ม.ค.-มี.ค.'!Q146+'ม.ค.-มี.ค.'!R146+'ม.ค.-มี.ค.'!S146+'ม.ค.-มี.ค.'!U146+'ม.ค.-มี.ค.'!V146</f>
        <v>0</v>
      </c>
      <c r="F146" s="177">
        <f>+'ต.ค.-มิ.ย. 61'!E146+'ต.ค.-มิ.ย. 61'!F146+'ต.ค.-มิ.ย. 61'!G146+'ต.ค.-มิ.ย. 61'!H146+'ต.ค.-มิ.ย. 61'!I146+'ต.ค.-มิ.ย. 61'!M146+'ต.ค.-มิ.ย. 61'!N146+'ต.ค.-มิ.ย. 61'!P146+'ต.ค.-มิ.ย. 61'!R146+'ต.ค.-มิ.ย. 61'!S146</f>
        <v>0</v>
      </c>
      <c r="G146" s="199"/>
      <c r="H146" s="179">
        <f t="shared" si="14"/>
        <v>0</v>
      </c>
      <c r="I146" s="208">
        <f t="shared" si="13"/>
        <v>5000</v>
      </c>
      <c r="J146" s="233"/>
      <c r="K146" s="329"/>
      <c r="L146" s="330"/>
      <c r="M146" s="330"/>
    </row>
    <row r="147" spans="1:13" s="172" customFormat="1" ht="21.75" customHeight="1">
      <c r="A147" s="9"/>
      <c r="B147" s="187" t="s">
        <v>362</v>
      </c>
      <c r="C147" s="279">
        <v>5000</v>
      </c>
      <c r="D147" s="177">
        <f>+'ต.ค.-ธ.ค.'!E148+'ต.ค.-ธ.ค.'!F148+'ต.ค.-ธ.ค.'!H148+'ต.ค.-ธ.ค.'!I148+'ต.ค.-ธ.ค.'!M148+'ต.ค.-ธ.ค.'!Q148+'ต.ค.-ธ.ค.'!S148</f>
        <v>0</v>
      </c>
      <c r="E147" s="177">
        <f>+'ม.ค.-มี.ค.'!D147+'ม.ค.-มี.ค.'!E147+'ม.ค.-มี.ค.'!F147+'ม.ค.-มี.ค.'!G147+'ม.ค.-มี.ค.'!H147+'ม.ค.-มี.ค.'!I147+'ม.ค.-มี.ค.'!J147+'ม.ค.-มี.ค.'!K147+'ม.ค.-มี.ค.'!L147+'ม.ค.-มี.ค.'!M147+'ม.ค.-มี.ค.'!N147+'ม.ค.-มี.ค.'!O147+'ม.ค.-มี.ค.'!P147+'ม.ค.-มี.ค.'!Q147+'ม.ค.-มี.ค.'!R147+'ม.ค.-มี.ค.'!S147+'ม.ค.-มี.ค.'!U147+'ม.ค.-มี.ค.'!V147</f>
        <v>0</v>
      </c>
      <c r="F147" s="177">
        <f>+'ต.ค.-มิ.ย. 61'!E147+'ต.ค.-มิ.ย. 61'!F147+'ต.ค.-มิ.ย. 61'!G147+'ต.ค.-มิ.ย. 61'!H147+'ต.ค.-มิ.ย. 61'!I147+'ต.ค.-มิ.ย. 61'!M147+'ต.ค.-มิ.ย. 61'!N147+'ต.ค.-มิ.ย. 61'!P147+'ต.ค.-มิ.ย. 61'!R147+'ต.ค.-มิ.ย. 61'!S147</f>
        <v>0</v>
      </c>
      <c r="G147" s="199"/>
      <c r="H147" s="179">
        <f t="shared" si="14"/>
        <v>0</v>
      </c>
      <c r="I147" s="208">
        <f t="shared" si="13"/>
        <v>5000</v>
      </c>
      <c r="J147" s="233"/>
      <c r="K147" s="329"/>
      <c r="L147" s="330"/>
      <c r="M147" s="330"/>
    </row>
    <row r="148" spans="1:13" s="172" customFormat="1" ht="21.75" customHeight="1">
      <c r="A148" s="9"/>
      <c r="B148" s="187" t="s">
        <v>363</v>
      </c>
      <c r="C148" s="279">
        <v>5000</v>
      </c>
      <c r="D148" s="177">
        <f>+'ต.ค.-ธ.ค.'!E149+'ต.ค.-ธ.ค.'!F149+'ต.ค.-ธ.ค.'!H149+'ต.ค.-ธ.ค.'!I149+'ต.ค.-ธ.ค.'!M149+'ต.ค.-ธ.ค.'!Q149+'ต.ค.-ธ.ค.'!S149</f>
        <v>0</v>
      </c>
      <c r="E148" s="177">
        <f>+'ม.ค.-มี.ค.'!D148+'ม.ค.-มี.ค.'!E148+'ม.ค.-มี.ค.'!F148+'ม.ค.-มี.ค.'!G148+'ม.ค.-มี.ค.'!H148+'ม.ค.-มี.ค.'!I148+'ม.ค.-มี.ค.'!J148+'ม.ค.-มี.ค.'!K148+'ม.ค.-มี.ค.'!L148+'ม.ค.-มี.ค.'!M148+'ม.ค.-มี.ค.'!N148+'ม.ค.-มี.ค.'!O148+'ม.ค.-มี.ค.'!P148+'ม.ค.-มี.ค.'!Q148+'ม.ค.-มี.ค.'!R148+'ม.ค.-มี.ค.'!S148+'ม.ค.-มี.ค.'!U148+'ม.ค.-มี.ค.'!V148</f>
        <v>0</v>
      </c>
      <c r="F148" s="177">
        <f>+'ต.ค.-มิ.ย. 61'!E148+'ต.ค.-มิ.ย. 61'!F148+'ต.ค.-มิ.ย. 61'!G148+'ต.ค.-มิ.ย. 61'!H148+'ต.ค.-มิ.ย. 61'!I148+'ต.ค.-มิ.ย. 61'!M148+'ต.ค.-มิ.ย. 61'!N148+'ต.ค.-มิ.ย. 61'!P148+'ต.ค.-มิ.ย. 61'!R148+'ต.ค.-มิ.ย. 61'!S148</f>
        <v>0</v>
      </c>
      <c r="G148" s="199"/>
      <c r="H148" s="179">
        <f t="shared" si="14"/>
        <v>0</v>
      </c>
      <c r="I148" s="208">
        <f t="shared" si="13"/>
        <v>5000</v>
      </c>
      <c r="J148" s="233"/>
      <c r="K148" s="329"/>
      <c r="L148" s="330"/>
      <c r="M148" s="330"/>
    </row>
    <row r="149" spans="1:13" s="172" customFormat="1" ht="21.75" customHeight="1">
      <c r="A149" s="9"/>
      <c r="B149" s="187" t="s">
        <v>364</v>
      </c>
      <c r="C149" s="279">
        <v>5000</v>
      </c>
      <c r="D149" s="177">
        <f>+'ต.ค.-ธ.ค.'!E150+'ต.ค.-ธ.ค.'!F150+'ต.ค.-ธ.ค.'!H150+'ต.ค.-ธ.ค.'!I150+'ต.ค.-ธ.ค.'!M150+'ต.ค.-ธ.ค.'!Q150+'ต.ค.-ธ.ค.'!S150</f>
        <v>0</v>
      </c>
      <c r="E149" s="177">
        <f>+'ม.ค.-มี.ค.'!D149+'ม.ค.-มี.ค.'!E149+'ม.ค.-มี.ค.'!F149+'ม.ค.-มี.ค.'!G149+'ม.ค.-มี.ค.'!H149+'ม.ค.-มี.ค.'!I149+'ม.ค.-มี.ค.'!J149+'ม.ค.-มี.ค.'!K149+'ม.ค.-มี.ค.'!L149+'ม.ค.-มี.ค.'!M149+'ม.ค.-มี.ค.'!N149+'ม.ค.-มี.ค.'!O149+'ม.ค.-มี.ค.'!P149+'ม.ค.-มี.ค.'!Q149+'ม.ค.-มี.ค.'!R149+'ม.ค.-มี.ค.'!S149+'ม.ค.-มี.ค.'!U149+'ม.ค.-มี.ค.'!V149</f>
        <v>0</v>
      </c>
      <c r="F149" s="177">
        <f>+'ต.ค.-มิ.ย. 61'!E149+'ต.ค.-มิ.ย. 61'!F149+'ต.ค.-มิ.ย. 61'!G149+'ต.ค.-มิ.ย. 61'!H149+'ต.ค.-มิ.ย. 61'!I149+'ต.ค.-มิ.ย. 61'!M149+'ต.ค.-มิ.ย. 61'!N149+'ต.ค.-มิ.ย. 61'!P149+'ต.ค.-มิ.ย. 61'!R149+'ต.ค.-มิ.ย. 61'!S149</f>
        <v>0</v>
      </c>
      <c r="G149" s="199"/>
      <c r="H149" s="179">
        <f t="shared" si="14"/>
        <v>0</v>
      </c>
      <c r="I149" s="208">
        <f t="shared" si="13"/>
        <v>5000</v>
      </c>
      <c r="J149" s="233"/>
      <c r="K149" s="329"/>
      <c r="L149" s="330"/>
      <c r="M149" s="330"/>
    </row>
    <row r="150" spans="1:13" s="172" customFormat="1" ht="21.75" customHeight="1">
      <c r="A150" s="9"/>
      <c r="B150" s="187" t="s">
        <v>365</v>
      </c>
      <c r="C150" s="279">
        <v>5000</v>
      </c>
      <c r="D150" s="177">
        <f>+'ต.ค.-ธ.ค.'!E151+'ต.ค.-ธ.ค.'!F151+'ต.ค.-ธ.ค.'!H151+'ต.ค.-ธ.ค.'!I151+'ต.ค.-ธ.ค.'!M151+'ต.ค.-ธ.ค.'!Q151+'ต.ค.-ธ.ค.'!S151</f>
        <v>0</v>
      </c>
      <c r="E150" s="177">
        <f>+'ม.ค.-มี.ค.'!D150+'ม.ค.-มี.ค.'!E150+'ม.ค.-มี.ค.'!F150+'ม.ค.-มี.ค.'!G150+'ม.ค.-มี.ค.'!H150+'ม.ค.-มี.ค.'!I150+'ม.ค.-มี.ค.'!J150+'ม.ค.-มี.ค.'!K150+'ม.ค.-มี.ค.'!L150+'ม.ค.-มี.ค.'!M150+'ม.ค.-มี.ค.'!N150+'ม.ค.-มี.ค.'!O150+'ม.ค.-มี.ค.'!P150+'ม.ค.-มี.ค.'!Q150+'ม.ค.-มี.ค.'!R150+'ม.ค.-มี.ค.'!S150+'ม.ค.-มี.ค.'!U150+'ม.ค.-มี.ค.'!V150</f>
        <v>0</v>
      </c>
      <c r="F150" s="177">
        <f>+'ต.ค.-มิ.ย. 61'!E150+'ต.ค.-มิ.ย. 61'!F150+'ต.ค.-มิ.ย. 61'!G150+'ต.ค.-มิ.ย. 61'!H150+'ต.ค.-มิ.ย. 61'!I150+'ต.ค.-มิ.ย. 61'!M150+'ต.ค.-มิ.ย. 61'!N150+'ต.ค.-มิ.ย. 61'!P150+'ต.ค.-มิ.ย. 61'!R150+'ต.ค.-มิ.ย. 61'!S150</f>
        <v>0</v>
      </c>
      <c r="G150" s="199"/>
      <c r="H150" s="179">
        <f t="shared" si="14"/>
        <v>0</v>
      </c>
      <c r="I150" s="208">
        <f t="shared" si="13"/>
        <v>5000</v>
      </c>
      <c r="J150" s="233"/>
      <c r="K150" s="329"/>
      <c r="L150" s="330"/>
      <c r="M150" s="330"/>
    </row>
    <row r="151" spans="1:13" s="172" customFormat="1" ht="21.75" customHeight="1">
      <c r="A151" s="9"/>
      <c r="B151" s="187" t="s">
        <v>366</v>
      </c>
      <c r="C151" s="279">
        <v>5000</v>
      </c>
      <c r="D151" s="177">
        <f>+'ต.ค.-ธ.ค.'!E152+'ต.ค.-ธ.ค.'!F152+'ต.ค.-ธ.ค.'!H152+'ต.ค.-ธ.ค.'!I152+'ต.ค.-ธ.ค.'!M152+'ต.ค.-ธ.ค.'!Q152+'ต.ค.-ธ.ค.'!S152</f>
        <v>0</v>
      </c>
      <c r="E151" s="177">
        <f>+'ม.ค.-มี.ค.'!D151+'ม.ค.-มี.ค.'!E151+'ม.ค.-มี.ค.'!F151+'ม.ค.-มี.ค.'!G151+'ม.ค.-มี.ค.'!H151+'ม.ค.-มี.ค.'!I151+'ม.ค.-มี.ค.'!J151+'ม.ค.-มี.ค.'!K151+'ม.ค.-มี.ค.'!L151+'ม.ค.-มี.ค.'!M151+'ม.ค.-มี.ค.'!N151+'ม.ค.-มี.ค.'!O151+'ม.ค.-มี.ค.'!P151+'ม.ค.-มี.ค.'!Q151+'ม.ค.-มี.ค.'!R151+'ม.ค.-มี.ค.'!S151+'ม.ค.-มี.ค.'!U151+'ม.ค.-มี.ค.'!V151</f>
        <v>0</v>
      </c>
      <c r="F151" s="177">
        <f>+'ต.ค.-มิ.ย. 61'!E151+'ต.ค.-มิ.ย. 61'!F151+'ต.ค.-มิ.ย. 61'!G151+'ต.ค.-มิ.ย. 61'!H151+'ต.ค.-มิ.ย. 61'!I151+'ต.ค.-มิ.ย. 61'!M151+'ต.ค.-มิ.ย. 61'!N151+'ต.ค.-มิ.ย. 61'!P151+'ต.ค.-มิ.ย. 61'!R151+'ต.ค.-มิ.ย. 61'!S151</f>
        <v>0</v>
      </c>
      <c r="G151" s="199"/>
      <c r="H151" s="179">
        <f t="shared" si="14"/>
        <v>0</v>
      </c>
      <c r="I151" s="208">
        <f t="shared" si="13"/>
        <v>5000</v>
      </c>
      <c r="J151" s="233"/>
      <c r="K151" s="329"/>
      <c r="L151" s="330"/>
      <c r="M151" s="330"/>
    </row>
    <row r="152" spans="1:13" s="172" customFormat="1" ht="21.75" customHeight="1">
      <c r="A152" s="9"/>
      <c r="B152" s="187" t="s">
        <v>367</v>
      </c>
      <c r="C152" s="279">
        <v>5000</v>
      </c>
      <c r="D152" s="177">
        <f>+'ต.ค.-ธ.ค.'!E153+'ต.ค.-ธ.ค.'!F153+'ต.ค.-ธ.ค.'!H153+'ต.ค.-ธ.ค.'!I153+'ต.ค.-ธ.ค.'!M153+'ต.ค.-ธ.ค.'!Q153+'ต.ค.-ธ.ค.'!S153</f>
        <v>0</v>
      </c>
      <c r="E152" s="177">
        <f>+'ม.ค.-มี.ค.'!D152+'ม.ค.-มี.ค.'!E152+'ม.ค.-มี.ค.'!F152+'ม.ค.-มี.ค.'!G152+'ม.ค.-มี.ค.'!H152+'ม.ค.-มี.ค.'!I152+'ม.ค.-มี.ค.'!J152+'ม.ค.-มี.ค.'!K152+'ม.ค.-มี.ค.'!L152+'ม.ค.-มี.ค.'!M152+'ม.ค.-มี.ค.'!N152+'ม.ค.-มี.ค.'!O152+'ม.ค.-มี.ค.'!P152+'ม.ค.-มี.ค.'!Q152+'ม.ค.-มี.ค.'!R152+'ม.ค.-มี.ค.'!S152+'ม.ค.-มี.ค.'!U152+'ม.ค.-มี.ค.'!V152</f>
        <v>0</v>
      </c>
      <c r="F152" s="177">
        <f>+'ต.ค.-มิ.ย. 61'!E152+'ต.ค.-มิ.ย. 61'!F152+'ต.ค.-มิ.ย. 61'!G152+'ต.ค.-มิ.ย. 61'!H152+'ต.ค.-มิ.ย. 61'!I152+'ต.ค.-มิ.ย. 61'!M152+'ต.ค.-มิ.ย. 61'!N152+'ต.ค.-มิ.ย. 61'!P152+'ต.ค.-มิ.ย. 61'!R152+'ต.ค.-มิ.ย. 61'!S152</f>
        <v>0</v>
      </c>
      <c r="G152" s="199"/>
      <c r="H152" s="179">
        <f t="shared" si="14"/>
        <v>0</v>
      </c>
      <c r="I152" s="208">
        <f t="shared" si="13"/>
        <v>5000</v>
      </c>
      <c r="J152" s="233"/>
      <c r="K152" s="329"/>
      <c r="L152" s="330"/>
      <c r="M152" s="330"/>
    </row>
    <row r="153" spans="1:13" s="172" customFormat="1" ht="21.75" customHeight="1">
      <c r="A153" s="9"/>
      <c r="B153" s="187" t="s">
        <v>368</v>
      </c>
      <c r="C153" s="279">
        <v>5000</v>
      </c>
      <c r="D153" s="177">
        <f>+'ต.ค.-ธ.ค.'!E154+'ต.ค.-ธ.ค.'!F154+'ต.ค.-ธ.ค.'!H154+'ต.ค.-ธ.ค.'!I154+'ต.ค.-ธ.ค.'!M154+'ต.ค.-ธ.ค.'!Q154+'ต.ค.-ธ.ค.'!S154</f>
        <v>0</v>
      </c>
      <c r="E153" s="177">
        <f>+'ม.ค.-มี.ค.'!D153+'ม.ค.-มี.ค.'!E153+'ม.ค.-มี.ค.'!F153+'ม.ค.-มี.ค.'!G153+'ม.ค.-มี.ค.'!H153+'ม.ค.-มี.ค.'!I153+'ม.ค.-มี.ค.'!J153+'ม.ค.-มี.ค.'!K153+'ม.ค.-มี.ค.'!L153+'ม.ค.-มี.ค.'!M153+'ม.ค.-มี.ค.'!N153+'ม.ค.-มี.ค.'!O153+'ม.ค.-มี.ค.'!P153+'ม.ค.-มี.ค.'!Q153+'ม.ค.-มี.ค.'!R153+'ม.ค.-มี.ค.'!S153+'ม.ค.-มี.ค.'!U153+'ม.ค.-มี.ค.'!V153</f>
        <v>0</v>
      </c>
      <c r="F153" s="177">
        <f>+'ต.ค.-มิ.ย. 61'!E153+'ต.ค.-มิ.ย. 61'!F153+'ต.ค.-มิ.ย. 61'!G153+'ต.ค.-มิ.ย. 61'!H153+'ต.ค.-มิ.ย. 61'!I153+'ต.ค.-มิ.ย. 61'!M153+'ต.ค.-มิ.ย. 61'!N153+'ต.ค.-มิ.ย. 61'!P153+'ต.ค.-มิ.ย. 61'!R153+'ต.ค.-มิ.ย. 61'!S153</f>
        <v>0</v>
      </c>
      <c r="G153" s="199"/>
      <c r="H153" s="179">
        <f t="shared" si="14"/>
        <v>0</v>
      </c>
      <c r="I153" s="208">
        <f t="shared" si="13"/>
        <v>5000</v>
      </c>
      <c r="J153" s="233"/>
      <c r="K153" s="329"/>
      <c r="L153" s="330"/>
      <c r="M153" s="330"/>
    </row>
    <row r="154" spans="1:13" s="172" customFormat="1" ht="21.75" customHeight="1">
      <c r="A154" s="9"/>
      <c r="B154" s="187" t="s">
        <v>369</v>
      </c>
      <c r="C154" s="279">
        <f>10000-10000</f>
        <v>0</v>
      </c>
      <c r="D154" s="177">
        <f>+'ต.ค.-ธ.ค.'!E155+'ต.ค.-ธ.ค.'!F155+'ต.ค.-ธ.ค.'!H155+'ต.ค.-ธ.ค.'!I155+'ต.ค.-ธ.ค.'!M155+'ต.ค.-ธ.ค.'!Q155+'ต.ค.-ธ.ค.'!S155</f>
        <v>0</v>
      </c>
      <c r="E154" s="177">
        <f>+'ม.ค.-มี.ค.'!D154+'ม.ค.-มี.ค.'!E154+'ม.ค.-มี.ค.'!F154+'ม.ค.-มี.ค.'!G154+'ม.ค.-มี.ค.'!H154+'ม.ค.-มี.ค.'!I154+'ม.ค.-มี.ค.'!J154+'ม.ค.-มี.ค.'!K154+'ม.ค.-มี.ค.'!L154+'ม.ค.-มี.ค.'!M154+'ม.ค.-มี.ค.'!N154+'ม.ค.-มี.ค.'!O154+'ม.ค.-มี.ค.'!P154+'ม.ค.-มี.ค.'!Q154+'ม.ค.-มี.ค.'!R154+'ม.ค.-มี.ค.'!S154+'ม.ค.-มี.ค.'!U154+'ม.ค.-มี.ค.'!V154</f>
        <v>0</v>
      </c>
      <c r="F154" s="177">
        <f>+'ต.ค.-มิ.ย. 61'!E154+'ต.ค.-มิ.ย. 61'!F154+'ต.ค.-มิ.ย. 61'!G154+'ต.ค.-มิ.ย. 61'!H154+'ต.ค.-มิ.ย. 61'!I154+'ต.ค.-มิ.ย. 61'!M154+'ต.ค.-มิ.ย. 61'!N154+'ต.ค.-มิ.ย. 61'!P154+'ต.ค.-มิ.ย. 61'!R154+'ต.ค.-มิ.ย. 61'!S154</f>
        <v>0</v>
      </c>
      <c r="G154" s="199"/>
      <c r="H154" s="179">
        <f t="shared" si="14"/>
        <v>0</v>
      </c>
      <c r="I154" s="208">
        <f t="shared" si="13"/>
        <v>0</v>
      </c>
      <c r="J154" s="233"/>
      <c r="K154" s="329"/>
      <c r="L154" s="330"/>
      <c r="M154" s="330"/>
    </row>
    <row r="155" spans="1:13" s="172" customFormat="1" ht="21.75" customHeight="1">
      <c r="A155" s="9"/>
      <c r="B155" s="187" t="s">
        <v>370</v>
      </c>
      <c r="C155" s="279">
        <v>10000</v>
      </c>
      <c r="D155" s="177">
        <f>+'ต.ค.-ธ.ค.'!E156+'ต.ค.-ธ.ค.'!F156+'ต.ค.-ธ.ค.'!H156+'ต.ค.-ธ.ค.'!I156+'ต.ค.-ธ.ค.'!M156+'ต.ค.-ธ.ค.'!Q156+'ต.ค.-ธ.ค.'!S156</f>
        <v>0</v>
      </c>
      <c r="E155" s="177">
        <f>+'ม.ค.-มี.ค.'!D155+'ม.ค.-มี.ค.'!E155+'ม.ค.-มี.ค.'!F155+'ม.ค.-มี.ค.'!G155+'ม.ค.-มี.ค.'!H155+'ม.ค.-มี.ค.'!I155+'ม.ค.-มี.ค.'!J155+'ม.ค.-มี.ค.'!K155+'ม.ค.-มี.ค.'!L155+'ม.ค.-มี.ค.'!M155+'ม.ค.-มี.ค.'!N155+'ม.ค.-มี.ค.'!O155+'ม.ค.-มี.ค.'!P155+'ม.ค.-มี.ค.'!Q155+'ม.ค.-มี.ค.'!R155+'ม.ค.-มี.ค.'!S155+'ม.ค.-มี.ค.'!U155+'ม.ค.-มี.ค.'!V155</f>
        <v>0</v>
      </c>
      <c r="F155" s="177">
        <f>+'ต.ค.-มิ.ย. 61'!E155+'ต.ค.-มิ.ย. 61'!F155+'ต.ค.-มิ.ย. 61'!G155+'ต.ค.-มิ.ย. 61'!H155+'ต.ค.-มิ.ย. 61'!I155+'ต.ค.-มิ.ย. 61'!M155+'ต.ค.-มิ.ย. 61'!N155+'ต.ค.-มิ.ย. 61'!P155+'ต.ค.-มิ.ย. 61'!R155+'ต.ค.-มิ.ย. 61'!S155</f>
        <v>0</v>
      </c>
      <c r="G155" s="199"/>
      <c r="H155" s="179">
        <f t="shared" si="14"/>
        <v>0</v>
      </c>
      <c r="I155" s="208">
        <f t="shared" si="13"/>
        <v>10000</v>
      </c>
      <c r="J155" s="233"/>
      <c r="K155" s="329"/>
      <c r="L155" s="330"/>
      <c r="M155" s="330"/>
    </row>
    <row r="156" spans="1:13" s="172" customFormat="1" ht="21.75" customHeight="1">
      <c r="A156" s="9"/>
      <c r="B156" s="187" t="s">
        <v>163</v>
      </c>
      <c r="C156" s="279">
        <f>350000-156000-153000-11000-10000-20000</f>
        <v>0</v>
      </c>
      <c r="D156" s="177">
        <f>+'ต.ค.-ธ.ค.'!E157+'ต.ค.-ธ.ค.'!F157+'ต.ค.-ธ.ค.'!H157+'ต.ค.-ธ.ค.'!I157+'ต.ค.-ธ.ค.'!M157+'ต.ค.-ธ.ค.'!Q157+'ต.ค.-ธ.ค.'!S157</f>
        <v>0</v>
      </c>
      <c r="E156" s="177">
        <f>+'ม.ค.-มี.ค.'!D156+'ม.ค.-มี.ค.'!E156+'ม.ค.-มี.ค.'!F156+'ม.ค.-มี.ค.'!G156+'ม.ค.-มี.ค.'!H156+'ม.ค.-มี.ค.'!I156+'ม.ค.-มี.ค.'!J156+'ม.ค.-มี.ค.'!K156+'ม.ค.-มี.ค.'!L156+'ม.ค.-มี.ค.'!M156+'ม.ค.-มี.ค.'!N156+'ม.ค.-มี.ค.'!O156+'ม.ค.-มี.ค.'!P156+'ม.ค.-มี.ค.'!Q156+'ม.ค.-มี.ค.'!R156+'ม.ค.-มี.ค.'!S156+'ม.ค.-มี.ค.'!U156+'ม.ค.-มี.ค.'!V156</f>
        <v>0</v>
      </c>
      <c r="F156" s="177">
        <f>+'ต.ค.-มิ.ย. 61'!E156+'ต.ค.-มิ.ย. 61'!F156+'ต.ค.-มิ.ย. 61'!G156+'ต.ค.-มิ.ย. 61'!H156+'ต.ค.-มิ.ย. 61'!I156+'ต.ค.-มิ.ย. 61'!M156+'ต.ค.-มิ.ย. 61'!N156+'ต.ค.-มิ.ย. 61'!P156+'ต.ค.-มิ.ย. 61'!R156+'ต.ค.-มิ.ย. 61'!S156</f>
        <v>0</v>
      </c>
      <c r="G156" s="199"/>
      <c r="H156" s="179">
        <f t="shared" si="14"/>
        <v>0</v>
      </c>
      <c r="I156" s="208">
        <f t="shared" si="13"/>
        <v>0</v>
      </c>
      <c r="J156" s="233"/>
      <c r="K156" s="329"/>
      <c r="L156" s="330"/>
      <c r="M156" s="330"/>
    </row>
    <row r="157" spans="1:13" s="172" customFormat="1" ht="21.75" customHeight="1">
      <c r="A157" s="9"/>
      <c r="B157" s="187" t="s">
        <v>214</v>
      </c>
      <c r="C157" s="279">
        <v>25000</v>
      </c>
      <c r="D157" s="177">
        <f>+'ต.ค.-ธ.ค.'!E158+'ต.ค.-ธ.ค.'!F158+'ต.ค.-ธ.ค.'!H158+'ต.ค.-ธ.ค.'!I158+'ต.ค.-ธ.ค.'!M158+'ต.ค.-ธ.ค.'!Q158+'ต.ค.-ธ.ค.'!S158</f>
        <v>0</v>
      </c>
      <c r="E157" s="177">
        <f>+'ม.ค.-มี.ค.'!D157+'ม.ค.-มี.ค.'!E157+'ม.ค.-มี.ค.'!F157+'ม.ค.-มี.ค.'!G157+'ม.ค.-มี.ค.'!H157+'ม.ค.-มี.ค.'!I157+'ม.ค.-มี.ค.'!J157+'ม.ค.-มี.ค.'!K157+'ม.ค.-มี.ค.'!L157+'ม.ค.-มี.ค.'!M157+'ม.ค.-มี.ค.'!N157+'ม.ค.-มี.ค.'!O157+'ม.ค.-มี.ค.'!P157+'ม.ค.-มี.ค.'!Q157+'ม.ค.-มี.ค.'!R157+'ม.ค.-มี.ค.'!S157+'ม.ค.-มี.ค.'!U157+'ม.ค.-มี.ค.'!V157</f>
        <v>24450</v>
      </c>
      <c r="F157" s="177">
        <f>+'ต.ค.-มิ.ย. 61'!E157+'ต.ค.-มิ.ย. 61'!F157+'ต.ค.-มิ.ย. 61'!G157+'ต.ค.-มิ.ย. 61'!H157+'ต.ค.-มิ.ย. 61'!I157+'ต.ค.-มิ.ย. 61'!M157+'ต.ค.-มิ.ย. 61'!N157+'ต.ค.-มิ.ย. 61'!P157+'ต.ค.-มิ.ย. 61'!R157+'ต.ค.-มิ.ย. 61'!S157</f>
        <v>24450</v>
      </c>
      <c r="G157" s="199"/>
      <c r="H157" s="179">
        <f t="shared" si="14"/>
        <v>48900</v>
      </c>
      <c r="I157" s="208">
        <f t="shared" si="13"/>
        <v>-23900</v>
      </c>
      <c r="J157" s="233"/>
      <c r="K157" s="329"/>
      <c r="L157" s="330"/>
      <c r="M157" s="330"/>
    </row>
    <row r="158" spans="1:13" s="172" customFormat="1" ht="21.75" customHeight="1">
      <c r="A158" s="9"/>
      <c r="B158" s="187" t="s">
        <v>167</v>
      </c>
      <c r="C158" s="279">
        <f>30000-30000</f>
        <v>0</v>
      </c>
      <c r="D158" s="177">
        <f>+'ต.ค.-ธ.ค.'!E159+'ต.ค.-ธ.ค.'!F159+'ต.ค.-ธ.ค.'!H159+'ต.ค.-ธ.ค.'!I159+'ต.ค.-ธ.ค.'!M159+'ต.ค.-ธ.ค.'!Q159+'ต.ค.-ธ.ค.'!S159</f>
        <v>0</v>
      </c>
      <c r="E158" s="177">
        <f>+'ม.ค.-มี.ค.'!D158+'ม.ค.-มี.ค.'!E158+'ม.ค.-มี.ค.'!F158+'ม.ค.-มี.ค.'!G158+'ม.ค.-มี.ค.'!H158+'ม.ค.-มี.ค.'!I158+'ม.ค.-มี.ค.'!J158+'ม.ค.-มี.ค.'!K158+'ม.ค.-มี.ค.'!L158+'ม.ค.-มี.ค.'!M158+'ม.ค.-มี.ค.'!N158+'ม.ค.-มี.ค.'!O158+'ม.ค.-มี.ค.'!P158+'ม.ค.-มี.ค.'!Q158+'ม.ค.-มี.ค.'!R158+'ม.ค.-มี.ค.'!S158+'ม.ค.-มี.ค.'!U158+'ม.ค.-มี.ค.'!V158</f>
        <v>0</v>
      </c>
      <c r="F158" s="177">
        <f>+'ต.ค.-มิ.ย. 61'!E158+'ต.ค.-มิ.ย. 61'!F158+'ต.ค.-มิ.ย. 61'!G158+'ต.ค.-มิ.ย. 61'!H158+'ต.ค.-มิ.ย. 61'!I158+'ต.ค.-มิ.ย. 61'!M158+'ต.ค.-มิ.ย. 61'!N158+'ต.ค.-มิ.ย. 61'!P158+'ต.ค.-มิ.ย. 61'!R158+'ต.ค.-มิ.ย. 61'!S158</f>
        <v>0</v>
      </c>
      <c r="G158" s="199"/>
      <c r="H158" s="179">
        <f t="shared" si="14"/>
        <v>0</v>
      </c>
      <c r="I158" s="208">
        <f t="shared" si="13"/>
        <v>0</v>
      </c>
      <c r="J158" s="233"/>
      <c r="K158" s="329"/>
      <c r="L158" s="330"/>
      <c r="M158" s="330"/>
    </row>
    <row r="159" spans="1:13" s="172" customFormat="1" ht="21.75" customHeight="1">
      <c r="A159" s="9"/>
      <c r="B159" s="187" t="s">
        <v>371</v>
      </c>
      <c r="C159" s="279">
        <v>30000</v>
      </c>
      <c r="D159" s="177">
        <f>+'ต.ค.-ธ.ค.'!E160+'ต.ค.-ธ.ค.'!F160+'ต.ค.-ธ.ค.'!H160+'ต.ค.-ธ.ค.'!I160+'ต.ค.-ธ.ค.'!M160+'ต.ค.-ธ.ค.'!Q160+'ต.ค.-ธ.ค.'!S160</f>
        <v>0</v>
      </c>
      <c r="E159" s="177">
        <f>+'ม.ค.-มี.ค.'!D159+'ม.ค.-มี.ค.'!E159+'ม.ค.-มี.ค.'!F159+'ม.ค.-มี.ค.'!G159+'ม.ค.-มี.ค.'!H159+'ม.ค.-มี.ค.'!I159+'ม.ค.-มี.ค.'!J159+'ม.ค.-มี.ค.'!K159+'ม.ค.-มี.ค.'!L159+'ม.ค.-มี.ค.'!M159+'ม.ค.-มี.ค.'!N159+'ม.ค.-มี.ค.'!O159+'ม.ค.-มี.ค.'!P159+'ม.ค.-มี.ค.'!Q159+'ม.ค.-มี.ค.'!R159+'ม.ค.-มี.ค.'!S159+'ม.ค.-มี.ค.'!U159+'ม.ค.-มี.ค.'!V159</f>
        <v>0</v>
      </c>
      <c r="F159" s="177">
        <f>+'ต.ค.-มิ.ย. 61'!E159+'ต.ค.-มิ.ย. 61'!F159+'ต.ค.-มิ.ย. 61'!G159+'ต.ค.-มิ.ย. 61'!H159+'ต.ค.-มิ.ย. 61'!I159+'ต.ค.-มิ.ย. 61'!M159+'ต.ค.-มิ.ย. 61'!N159+'ต.ค.-มิ.ย. 61'!P159+'ต.ค.-มิ.ย. 61'!R159+'ต.ค.-มิ.ย. 61'!S159</f>
        <v>30000</v>
      </c>
      <c r="G159" s="199"/>
      <c r="H159" s="179">
        <f t="shared" si="14"/>
        <v>30000</v>
      </c>
      <c r="I159" s="208">
        <f t="shared" si="13"/>
        <v>0</v>
      </c>
      <c r="J159" s="233"/>
      <c r="K159" s="329"/>
      <c r="L159" s="330"/>
      <c r="M159" s="330"/>
    </row>
    <row r="160" spans="1:13" s="172" customFormat="1" ht="21.75" customHeight="1">
      <c r="A160" s="9"/>
      <c r="B160" s="187" t="s">
        <v>170</v>
      </c>
      <c r="C160" s="279">
        <v>40000</v>
      </c>
      <c r="D160" s="177">
        <f>+'ต.ค.-ธ.ค.'!E161+'ต.ค.-ธ.ค.'!F161+'ต.ค.-ธ.ค.'!H161+'ต.ค.-ธ.ค.'!I161+'ต.ค.-ธ.ค.'!M161+'ต.ค.-ธ.ค.'!Q161+'ต.ค.-ธ.ค.'!S161</f>
        <v>0</v>
      </c>
      <c r="E160" s="177">
        <f>+'ม.ค.-มี.ค.'!D160+'ม.ค.-มี.ค.'!E160+'ม.ค.-มี.ค.'!F160+'ม.ค.-มี.ค.'!G160+'ม.ค.-มี.ค.'!H160+'ม.ค.-มี.ค.'!I160+'ม.ค.-มี.ค.'!J160+'ม.ค.-มี.ค.'!K160+'ม.ค.-มี.ค.'!L160+'ม.ค.-มี.ค.'!M160+'ม.ค.-มี.ค.'!N160+'ม.ค.-มี.ค.'!O160+'ม.ค.-มี.ค.'!P160+'ม.ค.-มี.ค.'!Q160+'ม.ค.-มี.ค.'!R160+'ม.ค.-มี.ค.'!S160+'ม.ค.-มี.ค.'!U160+'ม.ค.-มี.ค.'!V160</f>
        <v>0</v>
      </c>
      <c r="F160" s="177">
        <f>+'ต.ค.-มิ.ย. 61'!E160+'ต.ค.-มิ.ย. 61'!F160+'ต.ค.-มิ.ย. 61'!G160+'ต.ค.-มิ.ย. 61'!H160+'ต.ค.-มิ.ย. 61'!I160+'ต.ค.-มิ.ย. 61'!M160+'ต.ค.-มิ.ย. 61'!N160+'ต.ค.-มิ.ย. 61'!P160+'ต.ค.-มิ.ย. 61'!R160+'ต.ค.-มิ.ย. 61'!S160</f>
        <v>40000</v>
      </c>
      <c r="G160" s="199"/>
      <c r="H160" s="179">
        <f t="shared" si="14"/>
        <v>40000</v>
      </c>
      <c r="I160" s="208">
        <f t="shared" si="13"/>
        <v>0</v>
      </c>
      <c r="J160" s="233"/>
      <c r="K160" s="329"/>
      <c r="L160" s="330"/>
      <c r="M160" s="330"/>
    </row>
    <row r="161" spans="1:13" s="172" customFormat="1" ht="21.75" customHeight="1">
      <c r="A161" s="9"/>
      <c r="B161" s="187" t="s">
        <v>266</v>
      </c>
      <c r="C161" s="279">
        <v>15000</v>
      </c>
      <c r="D161" s="177">
        <f>+'ต.ค.-ธ.ค.'!E162+'ต.ค.-ธ.ค.'!F162+'ต.ค.-ธ.ค.'!H162+'ต.ค.-ธ.ค.'!I162+'ต.ค.-ธ.ค.'!M162+'ต.ค.-ธ.ค.'!Q162+'ต.ค.-ธ.ค.'!S162</f>
        <v>0</v>
      </c>
      <c r="E161" s="177">
        <f>+'ม.ค.-มี.ค.'!D161+'ม.ค.-มี.ค.'!E161+'ม.ค.-มี.ค.'!F161+'ม.ค.-มี.ค.'!G161+'ม.ค.-มี.ค.'!H161+'ม.ค.-มี.ค.'!I161+'ม.ค.-มี.ค.'!J161+'ม.ค.-มี.ค.'!K161+'ม.ค.-มี.ค.'!L161+'ม.ค.-มี.ค.'!M161+'ม.ค.-มี.ค.'!N161+'ม.ค.-มี.ค.'!O161+'ม.ค.-มี.ค.'!P161+'ม.ค.-มี.ค.'!Q161+'ม.ค.-มี.ค.'!R161+'ม.ค.-มี.ค.'!S161+'ม.ค.-มี.ค.'!U161+'ม.ค.-มี.ค.'!V161</f>
        <v>0</v>
      </c>
      <c r="F161" s="177">
        <f>+'ต.ค.-มิ.ย. 61'!E161+'ต.ค.-มิ.ย. 61'!F161+'ต.ค.-มิ.ย. 61'!G161+'ต.ค.-มิ.ย. 61'!H161+'ต.ค.-มิ.ย. 61'!I161+'ต.ค.-มิ.ย. 61'!M161+'ต.ค.-มิ.ย. 61'!N161+'ต.ค.-มิ.ย. 61'!P161+'ต.ค.-มิ.ย. 61'!R161+'ต.ค.-มิ.ย. 61'!S161</f>
        <v>0</v>
      </c>
      <c r="G161" s="199"/>
      <c r="H161" s="179">
        <f t="shared" si="14"/>
        <v>0</v>
      </c>
      <c r="I161" s="208">
        <f t="shared" si="13"/>
        <v>15000</v>
      </c>
      <c r="J161" s="233"/>
      <c r="K161" s="329"/>
      <c r="L161" s="330"/>
      <c r="M161" s="330"/>
    </row>
    <row r="162" spans="1:13" s="172" customFormat="1" ht="21.75" customHeight="1">
      <c r="A162" s="9"/>
      <c r="B162" s="187" t="s">
        <v>372</v>
      </c>
      <c r="C162" s="279">
        <v>65000</v>
      </c>
      <c r="D162" s="177">
        <f>+'ต.ค.-ธ.ค.'!E163+'ต.ค.-ธ.ค.'!F163+'ต.ค.-ธ.ค.'!H163+'ต.ค.-ธ.ค.'!I163+'ต.ค.-ธ.ค.'!M163+'ต.ค.-ธ.ค.'!Q163+'ต.ค.-ธ.ค.'!S163</f>
        <v>60000</v>
      </c>
      <c r="E162" s="177">
        <f>+'ม.ค.-มี.ค.'!D162+'ม.ค.-มี.ค.'!E162+'ม.ค.-มี.ค.'!F162+'ม.ค.-มี.ค.'!G162+'ม.ค.-มี.ค.'!H162+'ม.ค.-มี.ค.'!I162+'ม.ค.-มี.ค.'!J162+'ม.ค.-มี.ค.'!K162+'ม.ค.-มี.ค.'!L162+'ม.ค.-มี.ค.'!M162+'ม.ค.-มี.ค.'!N162+'ม.ค.-มี.ค.'!O162+'ม.ค.-มี.ค.'!P162+'ม.ค.-มี.ค.'!Q162+'ม.ค.-มี.ค.'!R162+'ม.ค.-มี.ค.'!S162+'ม.ค.-มี.ค.'!U162+'ม.ค.-มี.ค.'!V162</f>
        <v>4980</v>
      </c>
      <c r="F162" s="177">
        <f>+'ต.ค.-มิ.ย. 61'!E162+'ต.ค.-มิ.ย. 61'!F162+'ต.ค.-มิ.ย. 61'!G162+'ต.ค.-มิ.ย. 61'!H162+'ต.ค.-มิ.ย. 61'!I162+'ต.ค.-มิ.ย. 61'!M162+'ต.ค.-มิ.ย. 61'!N162+'ต.ค.-มิ.ย. 61'!P162+'ต.ค.-มิ.ย. 61'!R162+'ต.ค.-มิ.ย. 61'!S162</f>
        <v>64980</v>
      </c>
      <c r="G162" s="199"/>
      <c r="H162" s="179">
        <f t="shared" si="14"/>
        <v>129960</v>
      </c>
      <c r="I162" s="208">
        <f t="shared" si="13"/>
        <v>-64960</v>
      </c>
      <c r="J162" s="233"/>
      <c r="K162" s="329"/>
      <c r="L162" s="330"/>
      <c r="M162" s="330"/>
    </row>
    <row r="163" spans="1:13" s="172" customFormat="1" ht="21.75" customHeight="1">
      <c r="A163" s="9"/>
      <c r="B163" s="187" t="s">
        <v>373</v>
      </c>
      <c r="C163" s="279">
        <f>65000-65000</f>
        <v>0</v>
      </c>
      <c r="D163" s="177">
        <f>+'ต.ค.-ธ.ค.'!E164+'ต.ค.-ธ.ค.'!F164+'ต.ค.-ธ.ค.'!H164+'ต.ค.-ธ.ค.'!I164+'ต.ค.-ธ.ค.'!M164+'ต.ค.-ธ.ค.'!Q164+'ต.ค.-ธ.ค.'!S164</f>
        <v>0</v>
      </c>
      <c r="E163" s="177">
        <f>+'ม.ค.-มี.ค.'!D163+'ม.ค.-มี.ค.'!E163+'ม.ค.-มี.ค.'!F163+'ม.ค.-มี.ค.'!G163+'ม.ค.-มี.ค.'!H163+'ม.ค.-มี.ค.'!I163+'ม.ค.-มี.ค.'!J163+'ม.ค.-มี.ค.'!K163+'ม.ค.-มี.ค.'!L163+'ม.ค.-มี.ค.'!M163+'ม.ค.-มี.ค.'!N163+'ม.ค.-มี.ค.'!O163+'ม.ค.-มี.ค.'!P163+'ม.ค.-มี.ค.'!Q163+'ม.ค.-มี.ค.'!R163+'ม.ค.-มี.ค.'!S163+'ม.ค.-มี.ค.'!U163+'ม.ค.-มี.ค.'!V163</f>
        <v>0</v>
      </c>
      <c r="F163" s="177">
        <f>+'ต.ค.-มิ.ย. 61'!E163+'ต.ค.-มิ.ย. 61'!F163+'ต.ค.-มิ.ย. 61'!G163+'ต.ค.-มิ.ย. 61'!H163+'ต.ค.-มิ.ย. 61'!I163+'ต.ค.-มิ.ย. 61'!M163+'ต.ค.-มิ.ย. 61'!N163+'ต.ค.-มิ.ย. 61'!P163+'ต.ค.-มิ.ย. 61'!R163+'ต.ค.-มิ.ย. 61'!S163</f>
        <v>0</v>
      </c>
      <c r="G163" s="199"/>
      <c r="H163" s="179">
        <f t="shared" si="14"/>
        <v>0</v>
      </c>
      <c r="I163" s="208">
        <f t="shared" si="13"/>
        <v>0</v>
      </c>
      <c r="J163" s="233"/>
      <c r="K163" s="329"/>
      <c r="L163" s="330"/>
      <c r="M163" s="330"/>
    </row>
    <row r="164" spans="1:13" s="172" customFormat="1" ht="21.75" customHeight="1">
      <c r="A164" s="9"/>
      <c r="B164" s="187" t="s">
        <v>374</v>
      </c>
      <c r="C164" s="279">
        <v>20000</v>
      </c>
      <c r="D164" s="177">
        <f>+'ต.ค.-ธ.ค.'!E165+'ต.ค.-ธ.ค.'!F165+'ต.ค.-ธ.ค.'!H165+'ต.ค.-ธ.ค.'!I165+'ต.ค.-ธ.ค.'!M165+'ต.ค.-ธ.ค.'!Q165+'ต.ค.-ธ.ค.'!S165</f>
        <v>0</v>
      </c>
      <c r="E164" s="177">
        <f>+'ม.ค.-มี.ค.'!D164+'ม.ค.-มี.ค.'!E164+'ม.ค.-มี.ค.'!F164+'ม.ค.-มี.ค.'!G164+'ม.ค.-มี.ค.'!H164+'ม.ค.-มี.ค.'!I164+'ม.ค.-มี.ค.'!J164+'ม.ค.-มี.ค.'!K164+'ม.ค.-มี.ค.'!L164+'ม.ค.-มี.ค.'!M164+'ม.ค.-มี.ค.'!N164+'ม.ค.-มี.ค.'!O164+'ม.ค.-มี.ค.'!P164+'ม.ค.-มี.ค.'!Q164+'ม.ค.-มี.ค.'!R164+'ม.ค.-มี.ค.'!S164+'ม.ค.-มี.ค.'!U164+'ม.ค.-มี.ค.'!V164</f>
        <v>0</v>
      </c>
      <c r="F164" s="177">
        <f>+'ต.ค.-มิ.ย. 61'!E164+'ต.ค.-มิ.ย. 61'!F164+'ต.ค.-มิ.ย. 61'!G164+'ต.ค.-มิ.ย. 61'!H164+'ต.ค.-มิ.ย. 61'!I164+'ต.ค.-มิ.ย. 61'!M164+'ต.ค.-มิ.ย. 61'!N164+'ต.ค.-มิ.ย. 61'!P164+'ต.ค.-มิ.ย. 61'!R164+'ต.ค.-มิ.ย. 61'!S164</f>
        <v>20000</v>
      </c>
      <c r="G164" s="199"/>
      <c r="H164" s="179">
        <f t="shared" si="14"/>
        <v>20000</v>
      </c>
      <c r="I164" s="208">
        <f t="shared" si="13"/>
        <v>0</v>
      </c>
      <c r="J164" s="233"/>
      <c r="K164" s="329"/>
      <c r="L164" s="330"/>
      <c r="M164" s="330"/>
    </row>
    <row r="165" spans="1:13" s="172" customFormat="1" ht="21.75" customHeight="1">
      <c r="A165" s="9"/>
      <c r="B165" s="187" t="s">
        <v>375</v>
      </c>
      <c r="C165" s="279">
        <v>20000</v>
      </c>
      <c r="D165" s="177">
        <f>+'ต.ค.-ธ.ค.'!E166+'ต.ค.-ธ.ค.'!F166+'ต.ค.-ธ.ค.'!H166+'ต.ค.-ธ.ค.'!I166+'ต.ค.-ธ.ค.'!M166+'ต.ค.-ธ.ค.'!Q166+'ต.ค.-ธ.ค.'!S166</f>
        <v>0</v>
      </c>
      <c r="E165" s="177">
        <f>+'ม.ค.-มี.ค.'!D165+'ม.ค.-มี.ค.'!E165+'ม.ค.-มี.ค.'!F165+'ม.ค.-มี.ค.'!G165+'ม.ค.-มี.ค.'!H165+'ม.ค.-มี.ค.'!I165+'ม.ค.-มี.ค.'!J165+'ม.ค.-มี.ค.'!K165+'ม.ค.-มี.ค.'!L165+'ม.ค.-มี.ค.'!M165+'ม.ค.-มี.ค.'!N165+'ม.ค.-มี.ค.'!O165+'ม.ค.-มี.ค.'!P165+'ม.ค.-มี.ค.'!Q165+'ม.ค.-มี.ค.'!R165+'ม.ค.-มี.ค.'!S165+'ม.ค.-มี.ค.'!U165+'ม.ค.-มี.ค.'!V165</f>
        <v>0</v>
      </c>
      <c r="F165" s="177">
        <f>+'ต.ค.-มิ.ย. 61'!E165+'ต.ค.-มิ.ย. 61'!F165+'ต.ค.-มิ.ย. 61'!G165+'ต.ค.-มิ.ย. 61'!H165+'ต.ค.-มิ.ย. 61'!I165+'ต.ค.-มิ.ย. 61'!M165+'ต.ค.-มิ.ย. 61'!N165+'ต.ค.-มิ.ย. 61'!P165+'ต.ค.-มิ.ย. 61'!R165+'ต.ค.-มิ.ย. 61'!S165</f>
        <v>4000</v>
      </c>
      <c r="G165" s="199"/>
      <c r="H165" s="179">
        <f t="shared" si="14"/>
        <v>4000</v>
      </c>
      <c r="I165" s="208">
        <f t="shared" si="13"/>
        <v>16000</v>
      </c>
      <c r="J165" s="233"/>
      <c r="K165" s="329"/>
      <c r="L165" s="330"/>
      <c r="M165" s="330"/>
    </row>
    <row r="166" spans="1:13" s="172" customFormat="1" ht="21.75" customHeight="1">
      <c r="A166" s="9"/>
      <c r="B166" s="187" t="s">
        <v>376</v>
      </c>
      <c r="C166" s="279">
        <v>25000</v>
      </c>
      <c r="D166" s="177">
        <f>+'ต.ค.-ธ.ค.'!E167+'ต.ค.-ธ.ค.'!F167+'ต.ค.-ธ.ค.'!H167+'ต.ค.-ธ.ค.'!I167+'ต.ค.-ธ.ค.'!M167+'ต.ค.-ธ.ค.'!Q167+'ต.ค.-ธ.ค.'!S167</f>
        <v>0</v>
      </c>
      <c r="E166" s="177">
        <f>+'ม.ค.-มี.ค.'!D166+'ม.ค.-มี.ค.'!E166+'ม.ค.-มี.ค.'!F166+'ม.ค.-มี.ค.'!G166+'ม.ค.-มี.ค.'!H166+'ม.ค.-มี.ค.'!I166+'ม.ค.-มี.ค.'!J166+'ม.ค.-มี.ค.'!K166+'ม.ค.-มี.ค.'!L166+'ม.ค.-มี.ค.'!M166+'ม.ค.-มี.ค.'!N166+'ม.ค.-มี.ค.'!O166+'ม.ค.-มี.ค.'!P166+'ม.ค.-มี.ค.'!Q166+'ม.ค.-มี.ค.'!R166+'ม.ค.-มี.ค.'!S166+'ม.ค.-มี.ค.'!U166+'ม.ค.-มี.ค.'!V166</f>
        <v>0</v>
      </c>
      <c r="F166" s="177">
        <f>+'ต.ค.-มิ.ย. 61'!E166+'ต.ค.-มิ.ย. 61'!F166+'ต.ค.-มิ.ย. 61'!G166+'ต.ค.-มิ.ย. 61'!H166+'ต.ค.-มิ.ย. 61'!I166+'ต.ค.-มิ.ย. 61'!M166+'ต.ค.-มิ.ย. 61'!N166+'ต.ค.-มิ.ย. 61'!P166+'ต.ค.-มิ.ย. 61'!R166+'ต.ค.-มิ.ย. 61'!S166</f>
        <v>0</v>
      </c>
      <c r="G166" s="199"/>
      <c r="H166" s="179">
        <f t="shared" si="14"/>
        <v>0</v>
      </c>
      <c r="I166" s="208">
        <f t="shared" si="13"/>
        <v>25000</v>
      </c>
      <c r="J166" s="233"/>
      <c r="K166" s="329"/>
      <c r="L166" s="330"/>
      <c r="M166" s="330"/>
    </row>
    <row r="167" spans="1:13" s="172" customFormat="1" ht="21.75" customHeight="1">
      <c r="A167" s="9"/>
      <c r="B167" s="187" t="s">
        <v>377</v>
      </c>
      <c r="C167" s="279">
        <v>20000</v>
      </c>
      <c r="D167" s="177">
        <f>+'ต.ค.-ธ.ค.'!E168+'ต.ค.-ธ.ค.'!F168+'ต.ค.-ธ.ค.'!H168+'ต.ค.-ธ.ค.'!I168+'ต.ค.-ธ.ค.'!M168+'ต.ค.-ธ.ค.'!Q168+'ต.ค.-ธ.ค.'!S168</f>
        <v>0</v>
      </c>
      <c r="E167" s="177">
        <f>+'ม.ค.-มี.ค.'!D167+'ม.ค.-มี.ค.'!E167+'ม.ค.-มี.ค.'!F167+'ม.ค.-มี.ค.'!G167+'ม.ค.-มี.ค.'!H167+'ม.ค.-มี.ค.'!I167+'ม.ค.-มี.ค.'!J167+'ม.ค.-มี.ค.'!K167+'ม.ค.-มี.ค.'!L167+'ม.ค.-มี.ค.'!M167+'ม.ค.-มี.ค.'!N167+'ม.ค.-มี.ค.'!O167+'ม.ค.-มี.ค.'!P167+'ม.ค.-มี.ค.'!Q167+'ม.ค.-มี.ค.'!R167+'ม.ค.-มี.ค.'!S167+'ม.ค.-มี.ค.'!U167+'ม.ค.-มี.ค.'!V167</f>
        <v>0</v>
      </c>
      <c r="F167" s="177">
        <f>+'ต.ค.-มิ.ย. 61'!E167+'ต.ค.-มิ.ย. 61'!F167+'ต.ค.-มิ.ย. 61'!G167+'ต.ค.-มิ.ย. 61'!H167+'ต.ค.-มิ.ย. 61'!I167+'ต.ค.-มิ.ย. 61'!M167+'ต.ค.-มิ.ย. 61'!N167+'ต.ค.-มิ.ย. 61'!P167+'ต.ค.-มิ.ย. 61'!R167+'ต.ค.-มิ.ย. 61'!S167</f>
        <v>0</v>
      </c>
      <c r="G167" s="199"/>
      <c r="H167" s="179">
        <f t="shared" si="14"/>
        <v>0</v>
      </c>
      <c r="I167" s="208">
        <f t="shared" si="13"/>
        <v>20000</v>
      </c>
      <c r="J167" s="233"/>
      <c r="K167" s="329"/>
      <c r="L167" s="330"/>
      <c r="M167" s="330"/>
    </row>
    <row r="168" spans="1:13" s="172" customFormat="1" ht="21.75" customHeight="1">
      <c r="A168" s="9"/>
      <c r="B168" s="187" t="s">
        <v>267</v>
      </c>
      <c r="C168" s="279">
        <v>15000</v>
      </c>
      <c r="D168" s="177">
        <f>+'ต.ค.-ธ.ค.'!E169+'ต.ค.-ธ.ค.'!F169+'ต.ค.-ธ.ค.'!H169+'ต.ค.-ธ.ค.'!I169+'ต.ค.-ธ.ค.'!M169+'ต.ค.-ธ.ค.'!Q169+'ต.ค.-ธ.ค.'!S169</f>
        <v>0</v>
      </c>
      <c r="E168" s="177">
        <f>+'ม.ค.-มี.ค.'!D168+'ม.ค.-มี.ค.'!E168+'ม.ค.-มี.ค.'!F168+'ม.ค.-มี.ค.'!G168+'ม.ค.-มี.ค.'!H168+'ม.ค.-มี.ค.'!I168+'ม.ค.-มี.ค.'!J168+'ม.ค.-มี.ค.'!K168+'ม.ค.-มี.ค.'!L168+'ม.ค.-มี.ค.'!M168+'ม.ค.-มี.ค.'!N168+'ม.ค.-มี.ค.'!O168+'ม.ค.-มี.ค.'!P168+'ม.ค.-มี.ค.'!Q168+'ม.ค.-มี.ค.'!R168+'ม.ค.-มี.ค.'!S168+'ม.ค.-มี.ค.'!U168+'ม.ค.-มี.ค.'!V168</f>
        <v>0</v>
      </c>
      <c r="F168" s="177">
        <f>+'ต.ค.-มิ.ย. 61'!E168+'ต.ค.-มิ.ย. 61'!F168+'ต.ค.-มิ.ย. 61'!G168+'ต.ค.-มิ.ย. 61'!H168+'ต.ค.-มิ.ย. 61'!I168+'ต.ค.-มิ.ย. 61'!M168+'ต.ค.-มิ.ย. 61'!N168+'ต.ค.-มิ.ย. 61'!P168+'ต.ค.-มิ.ย. 61'!R168+'ต.ค.-มิ.ย. 61'!S168</f>
        <v>0</v>
      </c>
      <c r="G168" s="199"/>
      <c r="H168" s="179">
        <f t="shared" si="14"/>
        <v>0</v>
      </c>
      <c r="I168" s="208">
        <f t="shared" si="13"/>
        <v>15000</v>
      </c>
      <c r="J168" s="233"/>
      <c r="K168" s="329"/>
      <c r="L168" s="330"/>
      <c r="M168" s="330"/>
    </row>
    <row r="169" spans="1:13" s="172" customFormat="1" ht="21.75" customHeight="1">
      <c r="A169" s="9"/>
      <c r="B169" s="187" t="s">
        <v>215</v>
      </c>
      <c r="C169" s="279">
        <v>10000</v>
      </c>
      <c r="D169" s="177">
        <f>+'ต.ค.-ธ.ค.'!E170+'ต.ค.-ธ.ค.'!F170+'ต.ค.-ธ.ค.'!H170+'ต.ค.-ธ.ค.'!I170+'ต.ค.-ธ.ค.'!M170+'ต.ค.-ธ.ค.'!Q170+'ต.ค.-ธ.ค.'!S170</f>
        <v>0</v>
      </c>
      <c r="E169" s="177">
        <f>+'ม.ค.-มี.ค.'!D169+'ม.ค.-มี.ค.'!E169+'ม.ค.-มี.ค.'!F169+'ม.ค.-มี.ค.'!G169+'ม.ค.-มี.ค.'!H169+'ม.ค.-มี.ค.'!I169+'ม.ค.-มี.ค.'!J169+'ม.ค.-มี.ค.'!K169+'ม.ค.-มี.ค.'!L169+'ม.ค.-มี.ค.'!M169+'ม.ค.-มี.ค.'!N169+'ม.ค.-มี.ค.'!O169+'ม.ค.-มี.ค.'!P169+'ม.ค.-มี.ค.'!Q169+'ม.ค.-มี.ค.'!R169+'ม.ค.-มี.ค.'!S169+'ม.ค.-มี.ค.'!U169+'ม.ค.-มี.ค.'!V169</f>
        <v>0</v>
      </c>
      <c r="F169" s="177">
        <f>+'ต.ค.-มิ.ย. 61'!E169+'ต.ค.-มิ.ย. 61'!F169+'ต.ค.-มิ.ย. 61'!G169+'ต.ค.-มิ.ย. 61'!H169+'ต.ค.-มิ.ย. 61'!I169+'ต.ค.-มิ.ย. 61'!M169+'ต.ค.-มิ.ย. 61'!N169+'ต.ค.-มิ.ย. 61'!P169+'ต.ค.-มิ.ย. 61'!R169+'ต.ค.-มิ.ย. 61'!S169</f>
        <v>0</v>
      </c>
      <c r="G169" s="199"/>
      <c r="H169" s="179">
        <f t="shared" si="14"/>
        <v>0</v>
      </c>
      <c r="I169" s="208">
        <f t="shared" si="13"/>
        <v>10000</v>
      </c>
      <c r="J169" s="233"/>
      <c r="K169" s="329"/>
      <c r="L169" s="330"/>
      <c r="M169" s="330"/>
    </row>
    <row r="170" spans="1:13" s="172" customFormat="1" ht="21.75" customHeight="1">
      <c r="A170" s="9"/>
      <c r="B170" s="187" t="s">
        <v>268</v>
      </c>
      <c r="C170" s="279">
        <v>5000</v>
      </c>
      <c r="D170" s="177">
        <f>+'ต.ค.-ธ.ค.'!E171+'ต.ค.-ธ.ค.'!F171+'ต.ค.-ธ.ค.'!H171+'ต.ค.-ธ.ค.'!I171+'ต.ค.-ธ.ค.'!M171+'ต.ค.-ธ.ค.'!Q171+'ต.ค.-ธ.ค.'!S171</f>
        <v>0</v>
      </c>
      <c r="E170" s="177">
        <f>+'ม.ค.-มี.ค.'!D170+'ม.ค.-มี.ค.'!E170+'ม.ค.-มี.ค.'!F170+'ม.ค.-มี.ค.'!G170+'ม.ค.-มี.ค.'!H170+'ม.ค.-มี.ค.'!I170+'ม.ค.-มี.ค.'!J170+'ม.ค.-มี.ค.'!K170+'ม.ค.-มี.ค.'!L170+'ม.ค.-มี.ค.'!M170+'ม.ค.-มี.ค.'!N170+'ม.ค.-มี.ค.'!O170+'ม.ค.-มี.ค.'!P170+'ม.ค.-มี.ค.'!Q170+'ม.ค.-มี.ค.'!R170+'ม.ค.-มี.ค.'!S170+'ม.ค.-มี.ค.'!U170+'ม.ค.-มี.ค.'!V170</f>
        <v>4715</v>
      </c>
      <c r="F170" s="177">
        <f>+'ต.ค.-มิ.ย. 61'!E170+'ต.ค.-มิ.ย. 61'!F170+'ต.ค.-มิ.ย. 61'!G170+'ต.ค.-มิ.ย. 61'!H170+'ต.ค.-มิ.ย. 61'!I170+'ต.ค.-มิ.ย. 61'!M170+'ต.ค.-มิ.ย. 61'!N170+'ต.ค.-มิ.ย. 61'!P170+'ต.ค.-มิ.ย. 61'!R170+'ต.ค.-มิ.ย. 61'!S170</f>
        <v>0</v>
      </c>
      <c r="G170" s="199"/>
      <c r="H170" s="179">
        <f t="shared" si="14"/>
        <v>4715</v>
      </c>
      <c r="I170" s="208">
        <f t="shared" si="13"/>
        <v>285</v>
      </c>
      <c r="J170" s="233"/>
      <c r="K170" s="329"/>
      <c r="L170" s="330"/>
      <c r="M170" s="330"/>
    </row>
    <row r="171" spans="1:13" s="172" customFormat="1" ht="21.75" customHeight="1">
      <c r="A171" s="9"/>
      <c r="B171" s="187" t="s">
        <v>413</v>
      </c>
      <c r="C171" s="279">
        <v>140000</v>
      </c>
      <c r="D171" s="177"/>
      <c r="E171" s="177">
        <f>+'ม.ค.-มี.ค.'!D171+'ม.ค.-มี.ค.'!E171+'ม.ค.-มี.ค.'!F171+'ม.ค.-มี.ค.'!G171+'ม.ค.-มี.ค.'!H171+'ม.ค.-มี.ค.'!I171+'ม.ค.-มี.ค.'!J171+'ม.ค.-มี.ค.'!K171+'ม.ค.-มี.ค.'!L171+'ม.ค.-มี.ค.'!M171+'ม.ค.-มี.ค.'!N171+'ม.ค.-มี.ค.'!O171+'ม.ค.-มี.ค.'!P171+'ม.ค.-มี.ค.'!Q171+'ม.ค.-มี.ค.'!R171+'ม.ค.-มี.ค.'!S171+'ม.ค.-มี.ค.'!U171+'ม.ค.-มี.ค.'!V171</f>
        <v>27080</v>
      </c>
      <c r="F171" s="177">
        <f>+'ต.ค.-มิ.ย. 61'!E171+'ต.ค.-มิ.ย. 61'!F171+'ต.ค.-มิ.ย. 61'!G171+'ต.ค.-มิ.ย. 61'!H171+'ต.ค.-มิ.ย. 61'!I171+'ต.ค.-มิ.ย. 61'!M171+'ต.ค.-มิ.ย. 61'!N171+'ต.ค.-มิ.ย. 61'!P171+'ต.ค.-มิ.ย. 61'!R171+'ต.ค.-มิ.ย. 61'!S171</f>
        <v>139960</v>
      </c>
      <c r="G171" s="199"/>
      <c r="H171" s="179">
        <f t="shared" si="14"/>
        <v>167040</v>
      </c>
      <c r="I171" s="208">
        <f t="shared" si="13"/>
        <v>-27040</v>
      </c>
      <c r="J171" s="233"/>
      <c r="K171" s="329"/>
      <c r="L171" s="330"/>
      <c r="M171" s="330"/>
    </row>
    <row r="172" spans="1:13" s="172" customFormat="1" ht="21.75" customHeight="1">
      <c r="A172" s="9"/>
      <c r="B172" s="187" t="s">
        <v>414</v>
      </c>
      <c r="C172" s="279">
        <v>40000</v>
      </c>
      <c r="D172" s="177"/>
      <c r="E172" s="177">
        <f>+'ม.ค.-มี.ค.'!D172+'ม.ค.-มี.ค.'!E172+'ม.ค.-มี.ค.'!F172+'ม.ค.-มี.ค.'!G172+'ม.ค.-มี.ค.'!H172+'ม.ค.-มี.ค.'!I172+'ม.ค.-มี.ค.'!J172+'ม.ค.-มี.ค.'!K172+'ม.ค.-มี.ค.'!L172+'ม.ค.-มี.ค.'!M172+'ม.ค.-มี.ค.'!N172+'ม.ค.-มี.ค.'!O172+'ม.ค.-มี.ค.'!P172+'ม.ค.-มี.ค.'!Q172+'ม.ค.-มี.ค.'!R172+'ม.ค.-มี.ค.'!S172+'ม.ค.-มี.ค.'!U172+'ม.ค.-มี.ค.'!V172</f>
        <v>37080</v>
      </c>
      <c r="F172" s="177">
        <f>+'ต.ค.-มิ.ย. 61'!E172+'ต.ค.-มิ.ย. 61'!F172+'ต.ค.-มิ.ย. 61'!G172+'ต.ค.-มิ.ย. 61'!H172+'ต.ค.-มิ.ย. 61'!I172+'ต.ค.-มิ.ย. 61'!M172+'ต.ค.-มิ.ย. 61'!N172+'ต.ค.-มิ.ย. 61'!P172+'ต.ค.-มิ.ย. 61'!R172+'ต.ค.-มิ.ย. 61'!S172</f>
        <v>0</v>
      </c>
      <c r="G172" s="199"/>
      <c r="H172" s="179">
        <f t="shared" si="14"/>
        <v>37080</v>
      </c>
      <c r="I172" s="208">
        <f t="shared" si="13"/>
        <v>2920</v>
      </c>
      <c r="J172" s="233"/>
      <c r="K172" s="329"/>
      <c r="L172" s="330"/>
      <c r="M172" s="330"/>
    </row>
    <row r="173" spans="1:13" s="172" customFormat="1" ht="21.75" customHeight="1">
      <c r="A173" s="9"/>
      <c r="B173" s="187" t="s">
        <v>415</v>
      </c>
      <c r="C173" s="279">
        <v>20000</v>
      </c>
      <c r="D173" s="177"/>
      <c r="E173" s="177">
        <f>+'ม.ค.-มี.ค.'!D173+'ม.ค.-มี.ค.'!E173+'ม.ค.-มี.ค.'!F173+'ม.ค.-มี.ค.'!G173+'ม.ค.-มี.ค.'!H173+'ม.ค.-มี.ค.'!I173+'ม.ค.-มี.ค.'!J173+'ม.ค.-มี.ค.'!K173+'ม.ค.-มี.ค.'!L173+'ม.ค.-มี.ค.'!M173+'ม.ค.-มี.ค.'!N173+'ม.ค.-มี.ค.'!O173+'ม.ค.-มี.ค.'!P173+'ม.ค.-มี.ค.'!Q173+'ม.ค.-มี.ค.'!R173+'ม.ค.-มี.ค.'!S173+'ม.ค.-มี.ค.'!U173+'ม.ค.-มี.ค.'!V173</f>
        <v>1200</v>
      </c>
      <c r="F173" s="177">
        <f>+'ต.ค.-มิ.ย. 61'!E173+'ต.ค.-มิ.ย. 61'!F173+'ต.ค.-มิ.ย. 61'!G173+'ต.ค.-มิ.ย. 61'!H173+'ต.ค.-มิ.ย. 61'!I173+'ต.ค.-มิ.ย. 61'!M173+'ต.ค.-มิ.ย. 61'!N173+'ต.ค.-มิ.ย. 61'!P173+'ต.ค.-มิ.ย. 61'!R173+'ต.ค.-มิ.ย. 61'!S173</f>
        <v>20000</v>
      </c>
      <c r="G173" s="199"/>
      <c r="H173" s="179">
        <f t="shared" si="14"/>
        <v>21200</v>
      </c>
      <c r="I173" s="208">
        <f t="shared" si="13"/>
        <v>-1200</v>
      </c>
      <c r="J173" s="233"/>
      <c r="K173" s="329"/>
      <c r="L173" s="330"/>
      <c r="M173" s="330"/>
    </row>
    <row r="174" spans="1:13" s="172" customFormat="1" ht="21.75" customHeight="1">
      <c r="A174" s="9"/>
      <c r="B174" s="187"/>
      <c r="C174" s="279"/>
      <c r="D174" s="177"/>
      <c r="E174" s="177">
        <f>+'ม.ค.-มี.ค.'!E174+'ม.ค.-มี.ค.'!F174+'ม.ค.-มี.ค.'!H174+'ม.ค.-มี.ค.'!I174+'ม.ค.-มี.ค.'!K174+'ม.ค.-มี.ค.'!M174+'ม.ค.-มี.ค.'!N174+'ม.ค.-มี.ค.'!V174</f>
        <v>0</v>
      </c>
      <c r="F174" s="177">
        <f>+'ต.ค.-มิ.ย. 61'!E174+'ต.ค.-มิ.ย. 61'!F174+'ต.ค.-มิ.ย. 61'!G174+'ต.ค.-มิ.ย. 61'!H174+'ต.ค.-มิ.ย. 61'!I174+'ต.ค.-มิ.ย. 61'!M174+'ต.ค.-มิ.ย. 61'!N174+'ต.ค.-มิ.ย. 61'!P174+'ต.ค.-มิ.ย. 61'!R174+'ต.ค.-มิ.ย. 61'!S174</f>
        <v>0</v>
      </c>
      <c r="G174" s="199"/>
      <c r="H174" s="179">
        <f t="shared" si="14"/>
        <v>0</v>
      </c>
      <c r="I174" s="208">
        <f t="shared" si="13"/>
        <v>0</v>
      </c>
      <c r="J174" s="233"/>
      <c r="K174" s="329"/>
      <c r="L174" s="330"/>
      <c r="M174" s="330"/>
    </row>
    <row r="175" spans="1:13" s="172" customFormat="1" ht="21.75" customHeight="1">
      <c r="A175" s="9"/>
      <c r="B175" s="187"/>
      <c r="C175" s="279"/>
      <c r="D175" s="177"/>
      <c r="E175" s="177"/>
      <c r="F175" s="177"/>
      <c r="G175" s="199"/>
      <c r="H175" s="179">
        <f t="shared" si="14"/>
        <v>0</v>
      </c>
      <c r="I175" s="208">
        <f t="shared" si="13"/>
        <v>0</v>
      </c>
      <c r="J175" s="233"/>
      <c r="K175" s="329"/>
      <c r="L175" s="330"/>
      <c r="M175" s="330"/>
    </row>
    <row r="176" spans="1:13" s="221" customFormat="1" ht="21.75" customHeight="1" thickBot="1">
      <c r="A176" s="15"/>
      <c r="B176" s="14" t="s">
        <v>5</v>
      </c>
      <c r="C176" s="170">
        <f>SUM(C51:C175)</f>
        <v>6274300</v>
      </c>
      <c r="D176" s="26">
        <f>SUM(D51:D175)</f>
        <v>1392690</v>
      </c>
      <c r="E176" s="26">
        <f>SUM(E51:E175)</f>
        <v>1541883</v>
      </c>
      <c r="F176" s="235">
        <f>SUM(F51:F175)</f>
        <v>4459695.04</v>
      </c>
      <c r="G176" s="26">
        <f>SUM(G51:G175)</f>
        <v>0</v>
      </c>
      <c r="H176" s="26">
        <f t="shared" si="14"/>
        <v>7394268.04</v>
      </c>
      <c r="I176" s="371">
        <f>+C176-H176</f>
        <v>-1119968.04</v>
      </c>
      <c r="J176" s="244"/>
      <c r="K176" s="329"/>
      <c r="L176" s="330"/>
      <c r="M176" s="330"/>
    </row>
    <row r="177" spans="1:13" ht="21.75" customHeight="1" thickTop="1">
      <c r="A177" s="3" t="s">
        <v>113</v>
      </c>
      <c r="B177" s="4"/>
      <c r="C177" s="287"/>
      <c r="D177" s="201"/>
      <c r="E177" s="201"/>
      <c r="F177" s="231"/>
      <c r="G177" s="201"/>
      <c r="H177" s="201"/>
      <c r="I177" s="211"/>
    </row>
    <row r="178" spans="1:13" ht="21.75" customHeight="1">
      <c r="A178" s="9"/>
      <c r="B178" s="130" t="s">
        <v>111</v>
      </c>
      <c r="C178" s="216">
        <f>50000+25000+5000+25000+10000+10000-8000</f>
        <v>117000</v>
      </c>
      <c r="D178" s="240">
        <f>+'ต.ค.-ธ.ค.'!D179+'ต.ค.-ธ.ค.'!E179+'ต.ค.-ธ.ค.'!F179+'ต.ค.-ธ.ค.'!H179+'ต.ค.-ธ.ค.'!I179+'ต.ค.-ธ.ค.'!M179+'ต.ค.-ธ.ค.'!S179</f>
        <v>15519</v>
      </c>
      <c r="E178" s="240">
        <f>+'ม.ค.-มี.ค.'!E178+'ม.ค.-มี.ค.'!F178+'ม.ค.-มี.ค.'!H178+'ม.ค.-มี.ค.'!I178+'ม.ค.-มี.ค.'!K178+'ม.ค.-มี.ค.'!M178+'ม.ค.-มี.ค.'!N178+'ม.ค.-มี.ค.'!V178</f>
        <v>50661.8</v>
      </c>
      <c r="F178" s="177">
        <f>+'ต.ค.-มิ.ย. 61'!E178+'ต.ค.-มิ.ย. 61'!F178+'ต.ค.-มิ.ย. 61'!G178+'ต.ค.-มิ.ย. 61'!H178+'ต.ค.-มิ.ย. 61'!I178+'ต.ค.-มิ.ย. 61'!M178+'ต.ค.-มิ.ย. 61'!N178+'ต.ค.-มิ.ย. 61'!P178+'ต.ค.-มิ.ย. 61'!R178+'ต.ค.-มิ.ย. 61'!S178</f>
        <v>95638.8</v>
      </c>
      <c r="G178" s="224"/>
      <c r="H178" s="224">
        <f>SUM(D178:G178)</f>
        <v>161819.6</v>
      </c>
      <c r="I178" s="205">
        <f>+C178-H178</f>
        <v>-44819.600000000006</v>
      </c>
      <c r="J178" s="244"/>
    </row>
    <row r="179" spans="1:13" ht="21.75" customHeight="1">
      <c r="A179" s="9"/>
      <c r="B179" s="130" t="s">
        <v>302</v>
      </c>
      <c r="C179" s="216">
        <v>10000</v>
      </c>
      <c r="D179" s="240">
        <f>+'ต.ค.-ธ.ค.'!D180+'ต.ค.-ธ.ค.'!E180+'ต.ค.-ธ.ค.'!F180+'ต.ค.-ธ.ค.'!H180+'ต.ค.-ธ.ค.'!I180+'ต.ค.-ธ.ค.'!M180+'ต.ค.-ธ.ค.'!S180</f>
        <v>500</v>
      </c>
      <c r="E179" s="240">
        <f>+'ม.ค.-มี.ค.'!E179+'ม.ค.-มี.ค.'!F179+'ม.ค.-มี.ค.'!H179+'ม.ค.-มี.ค.'!I179+'ม.ค.-มี.ค.'!K179+'ม.ค.-มี.ค.'!M179+'ม.ค.-มี.ค.'!N179+'ม.ค.-มี.ค.'!V179</f>
        <v>0</v>
      </c>
      <c r="F179" s="177">
        <f>+'ต.ค.-มิ.ย. 61'!E179+'ต.ค.-มิ.ย. 61'!F179+'ต.ค.-มิ.ย. 61'!G179+'ต.ค.-มิ.ย. 61'!H179+'ต.ค.-มิ.ย. 61'!I179+'ต.ค.-มิ.ย. 61'!M179+'ต.ค.-มิ.ย. 61'!N179+'ต.ค.-มิ.ย. 61'!P179+'ต.ค.-มิ.ย. 61'!R179+'ต.ค.-มิ.ย. 61'!S179</f>
        <v>500</v>
      </c>
      <c r="G179" s="224"/>
      <c r="H179" s="224"/>
      <c r="I179" s="205"/>
      <c r="J179" s="244"/>
    </row>
    <row r="180" spans="1:13" s="168" customFormat="1" ht="21.75" customHeight="1">
      <c r="A180" s="9"/>
      <c r="B180" s="130" t="s">
        <v>16</v>
      </c>
      <c r="C180" s="216">
        <f>8000+200000+5000</f>
        <v>213000</v>
      </c>
      <c r="D180" s="240">
        <f>+'ต.ค.-ธ.ค.'!D181+'ต.ค.-ธ.ค.'!E181+'ต.ค.-ธ.ค.'!F181+'ต.ค.-ธ.ค.'!H181+'ต.ค.-ธ.ค.'!I181+'ต.ค.-ธ.ค.'!M181+'ต.ค.-ธ.ค.'!S181</f>
        <v>1039</v>
      </c>
      <c r="E180" s="240">
        <f>+'ม.ค.-มี.ค.'!E180+'ม.ค.-มี.ค.'!F180+'ม.ค.-มี.ค.'!H180+'ม.ค.-มี.ค.'!I180+'ม.ค.-มี.ค.'!K180+'ม.ค.-มี.ค.'!M180+'ม.ค.-มี.ค.'!N180+'ม.ค.-มี.ค.'!V180</f>
        <v>79750</v>
      </c>
      <c r="F180" s="177">
        <f>+'ต.ค.-มิ.ย. 61'!E180+'ต.ค.-มิ.ย. 61'!F180+'ต.ค.-มิ.ย. 61'!G180+'ต.ค.-มิ.ย. 61'!H180+'ต.ค.-มิ.ย. 61'!I180+'ต.ค.-มิ.ย. 61'!M180+'ต.ค.-มิ.ย. 61'!N180+'ต.ค.-มิ.ย. 61'!P180+'ต.ค.-มิ.ย. 61'!R180+'ต.ค.-มิ.ย. 61'!S180</f>
        <v>82159</v>
      </c>
      <c r="G180" s="177"/>
      <c r="H180" s="224">
        <f t="shared" ref="H180:H203" si="15">SUM(D180:G180)</f>
        <v>162948</v>
      </c>
      <c r="I180" s="205">
        <f t="shared" ref="I180:I203" si="16">+C180-H180</f>
        <v>50052</v>
      </c>
      <c r="J180" s="233"/>
      <c r="K180" s="331"/>
      <c r="L180" s="247"/>
      <c r="M180" s="247"/>
    </row>
    <row r="181" spans="1:13" s="172" customFormat="1" ht="21.75" customHeight="1">
      <c r="A181" s="9"/>
      <c r="B181" s="130" t="s">
        <v>12</v>
      </c>
      <c r="C181" s="216">
        <f>15000+10000</f>
        <v>25000</v>
      </c>
      <c r="D181" s="240">
        <f>+'ต.ค.-ธ.ค.'!D182+'ต.ค.-ธ.ค.'!E182+'ต.ค.-ธ.ค.'!F182+'ต.ค.-ธ.ค.'!H182+'ต.ค.-ธ.ค.'!I182+'ต.ค.-ธ.ค.'!M182+'ต.ค.-ธ.ค.'!S182</f>
        <v>9570</v>
      </c>
      <c r="E181" s="240">
        <f>+'ม.ค.-มี.ค.'!E181+'ม.ค.-มี.ค.'!F181+'ม.ค.-มี.ค.'!H181+'ม.ค.-มี.ค.'!I181+'ม.ค.-มี.ค.'!K181+'ม.ค.-มี.ค.'!M181+'ม.ค.-มี.ค.'!N181+'ม.ค.-มี.ค.'!V181</f>
        <v>8703</v>
      </c>
      <c r="F181" s="177">
        <f>+'ต.ค.-มิ.ย. 61'!E181+'ต.ค.-มิ.ย. 61'!F181+'ต.ค.-มิ.ย. 61'!G181+'ต.ค.-มิ.ย. 61'!H181+'ต.ค.-มิ.ย. 61'!I181+'ต.ค.-มิ.ย. 61'!M181+'ต.ค.-มิ.ย. 61'!N181+'ต.ค.-มิ.ย. 61'!P181+'ต.ค.-มิ.ย. 61'!R181+'ต.ค.-มิ.ย. 61'!S181</f>
        <v>20193</v>
      </c>
      <c r="G181" s="177"/>
      <c r="H181" s="224">
        <f t="shared" si="15"/>
        <v>38466</v>
      </c>
      <c r="I181" s="205">
        <f t="shared" si="16"/>
        <v>-13466</v>
      </c>
      <c r="J181" s="244"/>
      <c r="K181" s="329"/>
      <c r="L181" s="330"/>
      <c r="M181" s="330"/>
    </row>
    <row r="182" spans="1:13" ht="21.75" customHeight="1">
      <c r="A182" s="9"/>
      <c r="B182" s="130" t="s">
        <v>17</v>
      </c>
      <c r="C182" s="216">
        <f>15000+25000+20000-10000+8000-3000</f>
        <v>55000</v>
      </c>
      <c r="D182" s="240">
        <f>+'ต.ค.-ธ.ค.'!D183+'ต.ค.-ธ.ค.'!E183+'ต.ค.-ธ.ค.'!F183+'ต.ค.-ธ.ค.'!H183+'ต.ค.-ธ.ค.'!I183+'ต.ค.-ธ.ค.'!M183+'ต.ค.-ธ.ค.'!S183</f>
        <v>4320</v>
      </c>
      <c r="E182" s="240">
        <f>+'ม.ค.-มี.ค.'!E182+'ม.ค.-มี.ค.'!F182+'ม.ค.-มี.ค.'!H182+'ม.ค.-มี.ค.'!I182+'ม.ค.-มี.ค.'!K182+'ม.ค.-มี.ค.'!M182+'ม.ค.-มี.ค.'!N182+'ม.ค.-มี.ค.'!V182</f>
        <v>11271</v>
      </c>
      <c r="F182" s="177">
        <f>+'ต.ค.-มิ.ย. 61'!E182+'ต.ค.-มิ.ย. 61'!F182+'ต.ค.-มิ.ย. 61'!G182+'ต.ค.-มิ.ย. 61'!H182+'ต.ค.-มิ.ย. 61'!I182+'ต.ค.-มิ.ย. 61'!M182+'ต.ค.-มิ.ย. 61'!N182+'ต.ค.-มิ.ย. 61'!P182+'ต.ค.-มิ.ย. 61'!R182+'ต.ค.-มิ.ย. 61'!S182</f>
        <v>15591</v>
      </c>
      <c r="G182" s="180"/>
      <c r="H182" s="224">
        <f t="shared" si="15"/>
        <v>31182</v>
      </c>
      <c r="I182" s="205">
        <f t="shared" si="16"/>
        <v>23818</v>
      </c>
      <c r="J182" s="244"/>
    </row>
    <row r="183" spans="1:13" s="168" customFormat="1" ht="21.75" customHeight="1">
      <c r="A183" s="9"/>
      <c r="B183" s="130" t="s">
        <v>13</v>
      </c>
      <c r="C183" s="216">
        <v>15000</v>
      </c>
      <c r="D183" s="240">
        <f>+'ต.ค.-ธ.ค.'!D184+'ต.ค.-ธ.ค.'!E184+'ต.ค.-ธ.ค.'!F184+'ต.ค.-ธ.ค.'!H184+'ต.ค.-ธ.ค.'!I184+'ต.ค.-ธ.ค.'!M184+'ต.ค.-ธ.ค.'!S184</f>
        <v>0</v>
      </c>
      <c r="E183" s="240">
        <f>+'ม.ค.-มี.ค.'!E183+'ม.ค.-มี.ค.'!F183+'ม.ค.-มี.ค.'!H183+'ม.ค.-มี.ค.'!I183+'ม.ค.-มี.ค.'!K183+'ม.ค.-มี.ค.'!M183+'ม.ค.-มี.ค.'!N183+'ม.ค.-มี.ค.'!V183</f>
        <v>0</v>
      </c>
      <c r="F183" s="177">
        <f>+'ต.ค.-มิ.ย. 61'!E183+'ต.ค.-มิ.ย. 61'!F183+'ต.ค.-มิ.ย. 61'!G183+'ต.ค.-มิ.ย. 61'!H183+'ต.ค.-มิ.ย. 61'!I183+'ต.ค.-มิ.ย. 61'!M183+'ต.ค.-มิ.ย. 61'!N183+'ต.ค.-มิ.ย. 61'!P183+'ต.ค.-มิ.ย. 61'!R183+'ต.ค.-มิ.ย. 61'!S183</f>
        <v>0</v>
      </c>
      <c r="G183" s="179"/>
      <c r="H183" s="224">
        <f t="shared" si="15"/>
        <v>0</v>
      </c>
      <c r="I183" s="205">
        <f t="shared" si="16"/>
        <v>15000</v>
      </c>
      <c r="J183" s="244"/>
      <c r="K183" s="331"/>
      <c r="L183" s="247"/>
      <c r="M183" s="247"/>
    </row>
    <row r="184" spans="1:13" s="168" customFormat="1" ht="21.75" customHeight="1">
      <c r="A184" s="9"/>
      <c r="B184" s="130" t="s">
        <v>14</v>
      </c>
      <c r="C184" s="216">
        <f>240000+5000+20000</f>
        <v>265000</v>
      </c>
      <c r="D184" s="240">
        <f>+'ต.ค.-ธ.ค.'!D185+'ต.ค.-ธ.ค.'!E185+'ต.ค.-ธ.ค.'!F185+'ต.ค.-ธ.ค.'!H185+'ต.ค.-ธ.ค.'!I185+'ต.ค.-ธ.ค.'!M185+'ต.ค.-ธ.ค.'!S185</f>
        <v>40588.5</v>
      </c>
      <c r="E184" s="240">
        <f>+'ม.ค.-มี.ค.'!E184+'ม.ค.-มี.ค.'!F184+'ม.ค.-มี.ค.'!H184+'ม.ค.-มี.ค.'!I184+'ม.ค.-มี.ค.'!K184+'ม.ค.-มี.ค.'!M184+'ม.ค.-มี.ค.'!N184+'ม.ค.-มี.ค.'!V184</f>
        <v>67289.3</v>
      </c>
      <c r="F184" s="177">
        <f>+'ต.ค.-มิ.ย. 61'!E184+'ต.ค.-มิ.ย. 61'!F184+'ต.ค.-มิ.ย. 61'!G184+'ต.ค.-มิ.ย. 61'!H184+'ต.ค.-มิ.ย. 61'!I184+'ต.ค.-มิ.ย. 61'!M184+'ต.ค.-มิ.ย. 61'!N184+'ต.ค.-มิ.ย. 61'!P184+'ต.ค.-มิ.ย. 61'!R184+'ต.ค.-มิ.ย. 61'!S184</f>
        <v>170283.41</v>
      </c>
      <c r="G184" s="179"/>
      <c r="H184" s="224">
        <f t="shared" si="15"/>
        <v>278161.21000000002</v>
      </c>
      <c r="I184" s="205">
        <f t="shared" si="16"/>
        <v>-13161.210000000021</v>
      </c>
      <c r="J184" s="244"/>
      <c r="K184" s="331"/>
      <c r="L184" s="247"/>
      <c r="M184" s="247"/>
    </row>
    <row r="185" spans="1:13" ht="21.75" customHeight="1">
      <c r="A185" s="9"/>
      <c r="B185" s="130" t="s">
        <v>112</v>
      </c>
      <c r="C185" s="216">
        <f>5000+5000+5000-5000</f>
        <v>10000</v>
      </c>
      <c r="D185" s="240">
        <f>+'ต.ค.-ธ.ค.'!D186+'ต.ค.-ธ.ค.'!E186+'ต.ค.-ธ.ค.'!F186+'ต.ค.-ธ.ค.'!H186+'ต.ค.-ธ.ค.'!I186+'ต.ค.-ธ.ค.'!M186+'ต.ค.-ธ.ค.'!S186</f>
        <v>0</v>
      </c>
      <c r="E185" s="240">
        <f>+'ม.ค.-มี.ค.'!E185+'ม.ค.-มี.ค.'!F185+'ม.ค.-มี.ค.'!H185+'ม.ค.-มี.ค.'!I185+'ม.ค.-มี.ค.'!K185+'ม.ค.-มี.ค.'!M185+'ม.ค.-มี.ค.'!N185+'ม.ค.-มี.ค.'!V185</f>
        <v>0</v>
      </c>
      <c r="F185" s="177">
        <f>+'ต.ค.-มิ.ย. 61'!E185+'ต.ค.-มิ.ย. 61'!F185+'ต.ค.-มิ.ย. 61'!G185+'ต.ค.-มิ.ย. 61'!H185+'ต.ค.-มิ.ย. 61'!I185+'ต.ค.-มิ.ย. 61'!M185+'ต.ค.-มิ.ย. 61'!N185+'ต.ค.-มิ.ย. 61'!P185+'ต.ค.-มิ.ย. 61'!R185+'ต.ค.-มิ.ย. 61'!S185</f>
        <v>0</v>
      </c>
      <c r="G185" s="179"/>
      <c r="H185" s="224">
        <f t="shared" si="15"/>
        <v>0</v>
      </c>
      <c r="I185" s="205">
        <f t="shared" si="16"/>
        <v>10000</v>
      </c>
      <c r="J185" s="244"/>
    </row>
    <row r="186" spans="1:13" ht="21.75" customHeight="1">
      <c r="A186" s="9"/>
      <c r="B186" s="130" t="s">
        <v>208</v>
      </c>
      <c r="C186" s="216">
        <v>5000</v>
      </c>
      <c r="D186" s="240">
        <f>+'ต.ค.-ธ.ค.'!D187+'ต.ค.-ธ.ค.'!E187+'ต.ค.-ธ.ค.'!F187+'ต.ค.-ธ.ค.'!H187+'ต.ค.-ธ.ค.'!I187+'ต.ค.-ธ.ค.'!M187+'ต.ค.-ธ.ค.'!S187</f>
        <v>0</v>
      </c>
      <c r="E186" s="240">
        <f>+'ม.ค.-มี.ค.'!E186+'ม.ค.-มี.ค.'!F186+'ม.ค.-มี.ค.'!H186+'ม.ค.-มี.ค.'!I186+'ม.ค.-มี.ค.'!K186+'ม.ค.-มี.ค.'!M186+'ม.ค.-มี.ค.'!N186+'ม.ค.-มี.ค.'!V186</f>
        <v>540</v>
      </c>
      <c r="F186" s="177">
        <f>+'ต.ค.-มิ.ย. 61'!E186+'ต.ค.-มิ.ย. 61'!F186+'ต.ค.-มิ.ย. 61'!G186+'ต.ค.-มิ.ย. 61'!H186+'ต.ค.-มิ.ย. 61'!I186+'ต.ค.-มิ.ย. 61'!M186+'ต.ค.-มิ.ย. 61'!N186+'ต.ค.-มิ.ย. 61'!P186+'ต.ค.-มิ.ย. 61'!R186+'ต.ค.-มิ.ย. 61'!S186</f>
        <v>540</v>
      </c>
      <c r="G186" s="179"/>
      <c r="H186" s="224">
        <f t="shared" si="15"/>
        <v>1080</v>
      </c>
      <c r="I186" s="205">
        <f t="shared" si="16"/>
        <v>3920</v>
      </c>
      <c r="J186" s="244"/>
    </row>
    <row r="187" spans="1:13" ht="21.75" customHeight="1">
      <c r="A187" s="9"/>
      <c r="B187" s="130" t="s">
        <v>15</v>
      </c>
      <c r="C187" s="216">
        <f>40000+15000+15000+40000+40000+15000</f>
        <v>165000</v>
      </c>
      <c r="D187" s="240">
        <f>+'ต.ค.-ธ.ค.'!D188+'ต.ค.-ธ.ค.'!E188+'ต.ค.-ธ.ค.'!F188+'ต.ค.-ธ.ค.'!H188+'ต.ค.-ธ.ค.'!I188+'ต.ค.-ธ.ค.'!M188+'ต.ค.-ธ.ค.'!S188</f>
        <v>33367</v>
      </c>
      <c r="E187" s="240">
        <f>+'ม.ค.-มี.ค.'!E187+'ม.ค.-มี.ค.'!F187+'ม.ค.-มี.ค.'!H187+'ม.ค.-มี.ค.'!I187+'ม.ค.-มี.ค.'!K187+'ม.ค.-มี.ค.'!M187+'ม.ค.-มี.ค.'!N187+'ม.ค.-มี.ค.'!V187</f>
        <v>10111</v>
      </c>
      <c r="F187" s="177">
        <f>+'ต.ค.-มิ.ย. 61'!E187+'ต.ค.-มิ.ย. 61'!F187+'ต.ค.-มิ.ย. 61'!G187+'ต.ค.-มิ.ย. 61'!H187+'ต.ค.-มิ.ย. 61'!I187+'ต.ค.-มิ.ย. 61'!M187+'ต.ค.-มิ.ย. 61'!N187+'ต.ค.-มิ.ย. 61'!P187+'ต.ค.-มิ.ย. 61'!R187+'ต.ค.-มิ.ย. 61'!S187</f>
        <v>110618</v>
      </c>
      <c r="G187" s="179"/>
      <c r="H187" s="224">
        <f t="shared" si="15"/>
        <v>154096</v>
      </c>
      <c r="I187" s="205">
        <f t="shared" si="16"/>
        <v>10904</v>
      </c>
      <c r="J187" s="244"/>
    </row>
    <row r="188" spans="1:13" s="172" customFormat="1" ht="21.75" customHeight="1">
      <c r="A188" s="9"/>
      <c r="B188" s="130" t="s">
        <v>303</v>
      </c>
      <c r="C188" s="216">
        <v>10000</v>
      </c>
      <c r="D188" s="240">
        <f>+'ต.ค.-ธ.ค.'!D189+'ต.ค.-ธ.ค.'!E189+'ต.ค.-ธ.ค.'!F189+'ต.ค.-ธ.ค.'!H189+'ต.ค.-ธ.ค.'!I189+'ต.ค.-ธ.ค.'!M189+'ต.ค.-ธ.ค.'!S189</f>
        <v>0</v>
      </c>
      <c r="E188" s="240">
        <f>+'ม.ค.-มี.ค.'!E188+'ม.ค.-มี.ค.'!F188+'ม.ค.-มี.ค.'!H188+'ม.ค.-มี.ค.'!I188+'ม.ค.-มี.ค.'!K188+'ม.ค.-มี.ค.'!M188+'ม.ค.-มี.ค.'!N188+'ม.ค.-มี.ค.'!V188</f>
        <v>0</v>
      </c>
      <c r="F188" s="177">
        <f>+'ต.ค.-มิ.ย. 61'!E188+'ต.ค.-มิ.ย. 61'!F188+'ต.ค.-มิ.ย. 61'!G188+'ต.ค.-มิ.ย. 61'!H188+'ต.ค.-มิ.ย. 61'!I188+'ต.ค.-มิ.ย. 61'!M188+'ต.ค.-มิ.ย. 61'!N188+'ต.ค.-มิ.ย. 61'!P188+'ต.ค.-มิ.ย. 61'!R188+'ต.ค.-มิ.ย. 61'!S188</f>
        <v>0</v>
      </c>
      <c r="G188" s="177"/>
      <c r="H188" s="224">
        <f t="shared" si="15"/>
        <v>0</v>
      </c>
      <c r="I188" s="205">
        <f t="shared" si="16"/>
        <v>10000</v>
      </c>
      <c r="J188" s="244"/>
      <c r="K188" s="329"/>
      <c r="L188" s="330"/>
      <c r="M188" s="330"/>
    </row>
    <row r="189" spans="1:13" s="67" customFormat="1" ht="21" customHeight="1">
      <c r="A189" s="9"/>
      <c r="B189" s="130" t="s">
        <v>304</v>
      </c>
      <c r="C189" s="216">
        <f>5000+20000</f>
        <v>25000</v>
      </c>
      <c r="D189" s="240">
        <f>+'ต.ค.-ธ.ค.'!D190+'ต.ค.-ธ.ค.'!E190+'ต.ค.-ธ.ค.'!F190+'ต.ค.-ธ.ค.'!H190+'ต.ค.-ธ.ค.'!I190+'ต.ค.-ธ.ค.'!M190+'ต.ค.-ธ.ค.'!S190</f>
        <v>1758</v>
      </c>
      <c r="E189" s="240">
        <f>+'ม.ค.-มี.ค.'!E189+'ม.ค.-มี.ค.'!F189+'ม.ค.-มี.ค.'!H189+'ม.ค.-มี.ค.'!I189+'ม.ค.-มี.ค.'!K189+'ม.ค.-มี.ค.'!M189+'ม.ค.-มี.ค.'!N189+'ม.ค.-มี.ค.'!V189</f>
        <v>4640</v>
      </c>
      <c r="F189" s="177">
        <f>+'ต.ค.-มิ.ย. 61'!E189+'ต.ค.-มิ.ย. 61'!F189+'ต.ค.-มิ.ย. 61'!G189+'ต.ค.-มิ.ย. 61'!H189+'ต.ค.-มิ.ย. 61'!I189+'ต.ค.-มิ.ย. 61'!M189+'ต.ค.-มิ.ย. 61'!N189+'ต.ค.-มิ.ย. 61'!P189+'ต.ค.-มิ.ย. 61'!R189+'ต.ค.-มิ.ย. 61'!S189</f>
        <v>2478</v>
      </c>
      <c r="G189" s="180"/>
      <c r="H189" s="224">
        <f t="shared" si="15"/>
        <v>8876</v>
      </c>
      <c r="I189" s="205">
        <f t="shared" si="16"/>
        <v>16124</v>
      </c>
      <c r="J189" s="245"/>
      <c r="K189" s="329"/>
      <c r="L189" s="330"/>
      <c r="M189" s="330"/>
    </row>
    <row r="190" spans="1:13" s="67" customFormat="1" ht="21" customHeight="1">
      <c r="A190" s="9"/>
      <c r="B190" s="130" t="s">
        <v>332</v>
      </c>
      <c r="C190" s="216">
        <v>10000</v>
      </c>
      <c r="D190" s="240">
        <f>+'ต.ค.-ธ.ค.'!D191+'ต.ค.-ธ.ค.'!E191+'ต.ค.-ธ.ค.'!F191+'ต.ค.-ธ.ค.'!H191+'ต.ค.-ธ.ค.'!I191+'ต.ค.-ธ.ค.'!M191+'ต.ค.-ธ.ค.'!S191</f>
        <v>0</v>
      </c>
      <c r="E190" s="240">
        <f>+'ม.ค.-มี.ค.'!E190+'ม.ค.-มี.ค.'!F190+'ม.ค.-มี.ค.'!H190+'ม.ค.-มี.ค.'!I190+'ม.ค.-มี.ค.'!K190+'ม.ค.-มี.ค.'!M190+'ม.ค.-มี.ค.'!N190+'ม.ค.-มี.ค.'!V190</f>
        <v>0</v>
      </c>
      <c r="F190" s="177">
        <f>+'ต.ค.-มิ.ย. 61'!E190+'ต.ค.-มิ.ย. 61'!F190+'ต.ค.-มิ.ย. 61'!G190+'ต.ค.-มิ.ย. 61'!H190+'ต.ค.-มิ.ย. 61'!I190+'ต.ค.-มิ.ย. 61'!M190+'ต.ค.-มิ.ย. 61'!N190+'ต.ค.-มิ.ย. 61'!P190+'ต.ค.-มิ.ย. 61'!R190+'ต.ค.-มิ.ย. 61'!S190</f>
        <v>0</v>
      </c>
      <c r="G190" s="180"/>
      <c r="H190" s="224">
        <f>SUM(D190:G190)</f>
        <v>0</v>
      </c>
      <c r="I190" s="205">
        <f t="shared" si="16"/>
        <v>10000</v>
      </c>
      <c r="J190" s="245"/>
      <c r="K190" s="329"/>
      <c r="L190" s="330"/>
      <c r="M190" s="330"/>
    </row>
    <row r="191" spans="1:13" s="67" customFormat="1" ht="21" customHeight="1">
      <c r="A191" s="9"/>
      <c r="B191" s="130" t="s">
        <v>46</v>
      </c>
      <c r="C191" s="216">
        <v>80000</v>
      </c>
      <c r="D191" s="240">
        <f>+'ต.ค.-ธ.ค.'!D192+'ต.ค.-ธ.ค.'!E192+'ต.ค.-ธ.ค.'!F192+'ต.ค.-ธ.ค.'!H192+'ต.ค.-ธ.ค.'!I192+'ต.ค.-ธ.ค.'!M192+'ต.ค.-ธ.ค.'!S192</f>
        <v>0</v>
      </c>
      <c r="E191" s="240">
        <f>+'ม.ค.-มี.ค.'!E191+'ม.ค.-มี.ค.'!F191+'ม.ค.-มี.ค.'!H191+'ม.ค.-มี.ค.'!I191+'ม.ค.-มี.ค.'!K191+'ม.ค.-มี.ค.'!M191+'ม.ค.-มี.ค.'!N191+'ม.ค.-มี.ค.'!V191</f>
        <v>0</v>
      </c>
      <c r="F191" s="177">
        <f>+'ต.ค.-มิ.ย. 61'!E191+'ต.ค.-มิ.ย. 61'!F191+'ต.ค.-มิ.ย. 61'!G191+'ต.ค.-มิ.ย. 61'!H191+'ต.ค.-มิ.ย. 61'!I191+'ต.ค.-มิ.ย. 61'!M191+'ต.ค.-มิ.ย. 61'!N191+'ต.ค.-มิ.ย. 61'!P191+'ต.ค.-มิ.ย. 61'!R191+'ต.ค.-มิ.ย. 61'!S191</f>
        <v>65658</v>
      </c>
      <c r="G191" s="180"/>
      <c r="H191" s="224">
        <f>SUM(D191:G191)</f>
        <v>65658</v>
      </c>
      <c r="I191" s="205">
        <f t="shared" si="16"/>
        <v>14342</v>
      </c>
      <c r="J191" s="245"/>
      <c r="K191" s="329"/>
      <c r="L191" s="330"/>
      <c r="M191" s="330"/>
    </row>
    <row r="192" spans="1:13" s="67" customFormat="1" ht="21" customHeight="1">
      <c r="A192" s="9"/>
      <c r="B192" s="130" t="s">
        <v>316</v>
      </c>
      <c r="C192" s="216">
        <v>1216788</v>
      </c>
      <c r="D192" s="326">
        <v>-8000</v>
      </c>
      <c r="E192" s="240">
        <f>+'ม.ค.-มี.ค.'!E192+'ม.ค.-มี.ค.'!F192+'ม.ค.-มี.ค.'!H192+'ม.ค.-มี.ค.'!I192+'ม.ค.-มี.ค.'!K192+'ม.ค.-มี.ค.'!M192+'ม.ค.-มี.ค.'!N192+'ม.ค.-มี.ค.'!V192</f>
        <v>171612.98</v>
      </c>
      <c r="F192" s="177">
        <f>+'ต.ค.-มิ.ย. 61'!E192+'ต.ค.-มิ.ย. 61'!F192+'ต.ค.-มิ.ย. 61'!G192+'ต.ค.-มิ.ย. 61'!H192+'ต.ค.-มิ.ย. 61'!I192+'ต.ค.-มิ.ย. 61'!M192+'ต.ค.-มิ.ย. 61'!N192+'ต.ค.-มิ.ย. 61'!P192+'ต.ค.-มิ.ย. 61'!R192+'ต.ค.-มิ.ย. 61'!S192</f>
        <v>420073.78</v>
      </c>
      <c r="G192" s="180"/>
      <c r="H192" s="224">
        <f>SUM(D192:G192)-8000</f>
        <v>575686.76</v>
      </c>
      <c r="I192" s="205">
        <f t="shared" si="16"/>
        <v>641101.24</v>
      </c>
      <c r="J192" s="245"/>
      <c r="K192" s="329"/>
      <c r="L192" s="330"/>
      <c r="M192" s="330"/>
    </row>
    <row r="193" spans="1:13" s="67" customFormat="1" ht="21" customHeight="1">
      <c r="A193" s="9"/>
      <c r="B193" s="130" t="s">
        <v>317</v>
      </c>
      <c r="C193" s="290">
        <v>0</v>
      </c>
      <c r="D193" s="240">
        <f>+'ต.ค.-ธ.ค.'!D194+'ต.ค.-ธ.ค.'!E194+'ต.ค.-ธ.ค.'!F194+'ต.ค.-ธ.ค.'!H194+'ต.ค.-ธ.ค.'!I194+'ต.ค.-ธ.ค.'!M194+'ต.ค.-ธ.ค.'!S194</f>
        <v>0</v>
      </c>
      <c r="E193" s="240">
        <f>+'ม.ค.-มี.ค.'!E193+'ม.ค.-มี.ค.'!F193+'ม.ค.-มี.ค.'!H193+'ม.ค.-มี.ค.'!I193+'ม.ค.-มี.ค.'!K193+'ม.ค.-มี.ค.'!M193+'ม.ค.-มี.ค.'!N193+'ม.ค.-มี.ค.'!V193</f>
        <v>0</v>
      </c>
      <c r="F193" s="177">
        <f>+'ต.ค.-มิ.ย. 61'!E193+'ต.ค.-มิ.ย. 61'!F193+'ต.ค.-มิ.ย. 61'!G193+'ต.ค.-มิ.ย. 61'!H193+'ต.ค.-มิ.ย. 61'!I193+'ต.ค.-มิ.ย. 61'!M193+'ต.ค.-มิ.ย. 61'!N193+'ต.ค.-มิ.ย. 61'!P193+'ต.ค.-มิ.ย. 61'!R193+'ต.ค.-มิ.ย. 61'!S193</f>
        <v>0</v>
      </c>
      <c r="G193" s="180"/>
      <c r="H193" s="224">
        <f t="shared" si="15"/>
        <v>0</v>
      </c>
      <c r="I193" s="205">
        <f t="shared" si="16"/>
        <v>0</v>
      </c>
      <c r="J193" s="244"/>
      <c r="K193" s="329"/>
      <c r="L193" s="330"/>
      <c r="M193" s="330"/>
    </row>
    <row r="194" spans="1:13" ht="21.75" customHeight="1">
      <c r="A194" s="9"/>
      <c r="B194" s="130" t="s">
        <v>318</v>
      </c>
      <c r="C194" s="216">
        <v>0</v>
      </c>
      <c r="D194" s="375">
        <v>0</v>
      </c>
      <c r="E194" s="375">
        <f>+'ม.ค.-มี.ค.'!E194+'ม.ค.-มี.ค.'!F194+'ม.ค.-มี.ค.'!H194+'ม.ค.-มี.ค.'!I194+'ม.ค.-มี.ค.'!K194+'ม.ค.-มี.ค.'!M194+'ม.ค.-มี.ค.'!N194+'ม.ค.-มี.ค.'!V194</f>
        <v>0</v>
      </c>
      <c r="F194" s="177">
        <f>+'ต.ค.-มิ.ย. 61'!E194+'ต.ค.-มิ.ย. 61'!F194+'ต.ค.-มิ.ย. 61'!G194+'ต.ค.-มิ.ย. 61'!H194+'ต.ค.-มิ.ย. 61'!I194+'ต.ค.-มิ.ย. 61'!M194+'ต.ค.-มิ.ย. 61'!N194+'ต.ค.-มิ.ย. 61'!P194+'ต.ค.-มิ.ย. 61'!R194+'ต.ค.-มิ.ย. 61'!S194</f>
        <v>-8000</v>
      </c>
      <c r="G194" s="180"/>
      <c r="H194" s="376">
        <f t="shared" si="15"/>
        <v>-8000</v>
      </c>
      <c r="I194" s="205">
        <f t="shared" si="16"/>
        <v>8000</v>
      </c>
    </row>
    <row r="195" spans="1:13" ht="21.75" customHeight="1">
      <c r="A195" s="9"/>
      <c r="B195" s="185" t="s">
        <v>319</v>
      </c>
      <c r="C195" s="216">
        <f>388990-35000</f>
        <v>353990</v>
      </c>
      <c r="D195" s="240">
        <f>+'ต.ค.-ธ.ค.'!D196+'ต.ค.-ธ.ค.'!E196+'ต.ค.-ธ.ค.'!F196+'ต.ค.-ธ.ค.'!H196+'ต.ค.-ธ.ค.'!I196+'ต.ค.-ธ.ค.'!M196+'ต.ค.-ธ.ค.'!S196</f>
        <v>0</v>
      </c>
      <c r="E195" s="240">
        <f>+'ม.ค.-มี.ค.'!E195+'ม.ค.-มี.ค.'!F195+'ม.ค.-มี.ค.'!H195+'ม.ค.-มี.ค.'!I195+'ม.ค.-มี.ค.'!K195+'ม.ค.-มี.ค.'!M195+'ม.ค.-มี.ค.'!N195+'ม.ค.-มี.ค.'!V195</f>
        <v>54614</v>
      </c>
      <c r="F195" s="177">
        <f>+'ต.ค.-มิ.ย. 61'!E195+'ต.ค.-มิ.ย. 61'!F195+'ต.ค.-มิ.ย. 61'!G195+'ต.ค.-มิ.ย. 61'!H195+'ต.ค.-มิ.ย. 61'!I195+'ต.ค.-มิ.ย. 61'!M195+'ต.ค.-มิ.ย. 61'!N195+'ต.ค.-มิ.ย. 61'!P195+'ต.ค.-มิ.ย. 61'!R195+'ต.ค.-มิ.ย. 61'!S195</f>
        <v>133034.44</v>
      </c>
      <c r="G195" s="177"/>
      <c r="H195" s="224">
        <f t="shared" si="15"/>
        <v>187648.44</v>
      </c>
      <c r="I195" s="205">
        <f t="shared" si="16"/>
        <v>166341.56</v>
      </c>
      <c r="J195" s="244"/>
    </row>
    <row r="196" spans="1:13" ht="21.75" customHeight="1">
      <c r="A196" s="9"/>
      <c r="B196" s="185" t="s">
        <v>320</v>
      </c>
      <c r="C196" s="216"/>
      <c r="D196" s="240">
        <f>+'ต.ค.-ธ.ค.'!D197+'ต.ค.-ธ.ค.'!E197+'ต.ค.-ธ.ค.'!F197+'ต.ค.-ธ.ค.'!H197+'ต.ค.-ธ.ค.'!I197+'ต.ค.-ธ.ค.'!M197+'ต.ค.-ธ.ค.'!S197</f>
        <v>0</v>
      </c>
      <c r="E196" s="240">
        <f>+'ม.ค.-มี.ค.'!E196+'ม.ค.-มี.ค.'!F196+'ม.ค.-มี.ค.'!H196+'ม.ค.-มี.ค.'!I196+'ม.ค.-มี.ค.'!K196+'ม.ค.-มี.ค.'!M196+'ม.ค.-มี.ค.'!N196+'ม.ค.-มี.ค.'!V196</f>
        <v>0</v>
      </c>
      <c r="F196" s="177">
        <f>+'ต.ค.-มิ.ย. 61'!E196+'ต.ค.-มิ.ย. 61'!F196+'ต.ค.-มิ.ย. 61'!G196+'ต.ค.-มิ.ย. 61'!H196+'ต.ค.-มิ.ย. 61'!I196+'ต.ค.-มิ.ย. 61'!M196+'ต.ค.-มิ.ย. 61'!N196+'ต.ค.-มิ.ย. 61'!P196+'ต.ค.-มิ.ย. 61'!R196+'ต.ค.-มิ.ย. 61'!S196</f>
        <v>0</v>
      </c>
      <c r="G196" s="177"/>
      <c r="H196" s="224">
        <f t="shared" si="15"/>
        <v>0</v>
      </c>
      <c r="I196" s="205">
        <f t="shared" si="16"/>
        <v>0</v>
      </c>
    </row>
    <row r="197" spans="1:13" ht="21.75" customHeight="1">
      <c r="A197" s="9"/>
      <c r="B197" s="185" t="s">
        <v>321</v>
      </c>
      <c r="C197" s="216"/>
      <c r="D197" s="240">
        <f>+'ต.ค.-ธ.ค.'!D198+'ต.ค.-ธ.ค.'!E198+'ต.ค.-ธ.ค.'!F198+'ต.ค.-ธ.ค.'!H198+'ต.ค.-ธ.ค.'!I198+'ต.ค.-ธ.ค.'!M198+'ต.ค.-ธ.ค.'!S198</f>
        <v>0</v>
      </c>
      <c r="E197" s="240">
        <f>+'ม.ค.-มี.ค.'!E197+'ม.ค.-มี.ค.'!F197+'ม.ค.-มี.ค.'!H197+'ม.ค.-มี.ค.'!I197+'ม.ค.-มี.ค.'!K197+'ม.ค.-มี.ค.'!M197+'ม.ค.-มี.ค.'!N197+'ม.ค.-มี.ค.'!V197</f>
        <v>0</v>
      </c>
      <c r="F197" s="177">
        <f>+'ต.ค.-มิ.ย. 61'!E197+'ต.ค.-มิ.ย. 61'!F197+'ต.ค.-มิ.ย. 61'!G197+'ต.ค.-มิ.ย. 61'!H197+'ต.ค.-มิ.ย. 61'!I197+'ต.ค.-มิ.ย. 61'!M197+'ต.ค.-มิ.ย. 61'!N197+'ต.ค.-มิ.ย. 61'!P197+'ต.ค.-มิ.ย. 61'!R197+'ต.ค.-มิ.ย. 61'!S197</f>
        <v>0</v>
      </c>
      <c r="G197" s="177"/>
      <c r="H197" s="224">
        <f t="shared" si="15"/>
        <v>0</v>
      </c>
      <c r="I197" s="205">
        <f t="shared" si="16"/>
        <v>0</v>
      </c>
    </row>
    <row r="198" spans="1:13" s="168" customFormat="1" ht="21.75" customHeight="1">
      <c r="A198" s="165"/>
      <c r="B198" s="185" t="s">
        <v>322</v>
      </c>
      <c r="C198" s="216"/>
      <c r="D198" s="240">
        <f>+'ต.ค.-ธ.ค.'!D199+'ต.ค.-ธ.ค.'!E199+'ต.ค.-ธ.ค.'!F199+'ต.ค.-ธ.ค.'!H199+'ต.ค.-ธ.ค.'!I199+'ต.ค.-ธ.ค.'!M199+'ต.ค.-ธ.ค.'!S199</f>
        <v>0</v>
      </c>
      <c r="E198" s="240">
        <f>+'ม.ค.-มี.ค.'!E198+'ม.ค.-มี.ค.'!F198+'ม.ค.-มี.ค.'!H198+'ม.ค.-มี.ค.'!I198+'ม.ค.-มี.ค.'!K198+'ม.ค.-มี.ค.'!M198+'ม.ค.-มี.ค.'!N198+'ม.ค.-มี.ค.'!V198</f>
        <v>0</v>
      </c>
      <c r="F198" s="177">
        <f>+'ต.ค.-มิ.ย. 61'!E198+'ต.ค.-มิ.ย. 61'!F198+'ต.ค.-มิ.ย. 61'!G198+'ต.ค.-มิ.ย. 61'!H198+'ต.ค.-มิ.ย. 61'!I198+'ต.ค.-มิ.ย. 61'!M198+'ต.ค.-มิ.ย. 61'!N198+'ต.ค.-มิ.ย. 61'!P198+'ต.ค.-มิ.ย. 61'!R198+'ต.ค.-มิ.ย. 61'!S198</f>
        <v>0</v>
      </c>
      <c r="G198" s="179"/>
      <c r="H198" s="224">
        <f t="shared" si="15"/>
        <v>0</v>
      </c>
      <c r="I198" s="205">
        <f t="shared" si="16"/>
        <v>0</v>
      </c>
      <c r="J198" s="233"/>
      <c r="K198" s="331"/>
      <c r="L198" s="247"/>
      <c r="M198" s="247"/>
    </row>
    <row r="199" spans="1:13" ht="21.75" customHeight="1">
      <c r="A199" s="9"/>
      <c r="B199" s="185"/>
      <c r="C199" s="216"/>
      <c r="D199" s="240"/>
      <c r="E199" s="224"/>
      <c r="F199" s="177"/>
      <c r="G199" s="177"/>
      <c r="H199" s="224">
        <f t="shared" si="15"/>
        <v>0</v>
      </c>
      <c r="I199" s="205">
        <f t="shared" si="16"/>
        <v>0</v>
      </c>
    </row>
    <row r="200" spans="1:13" s="183" customFormat="1" ht="20.25" customHeight="1">
      <c r="A200" s="9"/>
      <c r="B200" s="185"/>
      <c r="C200" s="216"/>
      <c r="D200" s="240"/>
      <c r="E200" s="224"/>
      <c r="F200" s="177"/>
      <c r="G200" s="177"/>
      <c r="H200" s="224">
        <f t="shared" si="15"/>
        <v>0</v>
      </c>
      <c r="I200" s="205">
        <f t="shared" si="16"/>
        <v>0</v>
      </c>
      <c r="J200" s="241"/>
      <c r="K200" s="339"/>
      <c r="L200" s="340"/>
      <c r="M200" s="340"/>
    </row>
    <row r="201" spans="1:13" ht="21.75" customHeight="1">
      <c r="A201" s="9"/>
      <c r="B201" s="185"/>
      <c r="C201" s="216"/>
      <c r="D201" s="240"/>
      <c r="E201" s="224"/>
      <c r="F201" s="177"/>
      <c r="G201" s="177"/>
      <c r="H201" s="224">
        <f t="shared" si="15"/>
        <v>0</v>
      </c>
      <c r="I201" s="205">
        <f t="shared" si="16"/>
        <v>0</v>
      </c>
    </row>
    <row r="202" spans="1:13" ht="21.75" customHeight="1">
      <c r="A202" s="9"/>
      <c r="B202" s="130"/>
      <c r="C202" s="216"/>
      <c r="D202" s="240"/>
      <c r="E202" s="224"/>
      <c r="F202" s="177"/>
      <c r="G202" s="177"/>
      <c r="H202" s="224">
        <f t="shared" si="15"/>
        <v>0</v>
      </c>
      <c r="I202" s="205">
        <f t="shared" si="16"/>
        <v>0</v>
      </c>
      <c r="J202" s="244"/>
    </row>
    <row r="203" spans="1:13" s="168" customFormat="1" ht="21.75" customHeight="1">
      <c r="A203" s="197"/>
      <c r="B203" s="198"/>
      <c r="C203" s="216"/>
      <c r="D203" s="240"/>
      <c r="E203" s="224"/>
      <c r="F203" s="177"/>
      <c r="G203" s="177"/>
      <c r="H203" s="224">
        <f t="shared" si="15"/>
        <v>0</v>
      </c>
      <c r="I203" s="205">
        <f t="shared" si="16"/>
        <v>0</v>
      </c>
      <c r="J203" s="244"/>
      <c r="K203" s="331"/>
      <c r="L203" s="247"/>
      <c r="M203" s="247"/>
    </row>
    <row r="204" spans="1:13" s="234" customFormat="1" ht="21.75" customHeight="1" thickBot="1">
      <c r="A204" s="46"/>
      <c r="B204" s="47" t="s">
        <v>5</v>
      </c>
      <c r="C204" s="170">
        <f>SUM(C178:C203)</f>
        <v>2575778</v>
      </c>
      <c r="D204" s="26">
        <f t="shared" ref="D204:I204" si="17">SUM(D178:D203)</f>
        <v>98661.5</v>
      </c>
      <c r="E204" s="26">
        <f t="shared" si="17"/>
        <v>459193.07999999996</v>
      </c>
      <c r="F204" s="26">
        <f t="shared" si="17"/>
        <v>1108767.43</v>
      </c>
      <c r="G204" s="26">
        <f t="shared" si="17"/>
        <v>0</v>
      </c>
      <c r="H204" s="26">
        <f t="shared" si="17"/>
        <v>1657622.01</v>
      </c>
      <c r="I204" s="139">
        <f t="shared" si="17"/>
        <v>908155.99</v>
      </c>
      <c r="J204" s="233"/>
      <c r="K204" s="331"/>
      <c r="L204" s="247"/>
      <c r="M204" s="247"/>
    </row>
    <row r="205" spans="1:13" s="168" customFormat="1" ht="21.75" customHeight="1" thickTop="1">
      <c r="A205" s="5" t="s">
        <v>114</v>
      </c>
      <c r="B205" s="6"/>
      <c r="C205" s="190"/>
      <c r="D205" s="203"/>
      <c r="E205" s="203"/>
      <c r="F205" s="203"/>
      <c r="G205" s="201"/>
      <c r="H205" s="201"/>
      <c r="I205" s="212"/>
      <c r="J205" s="233"/>
      <c r="K205" s="331"/>
      <c r="L205" s="247"/>
      <c r="M205" s="247"/>
    </row>
    <row r="206" spans="1:13" s="168" customFormat="1" ht="21.75" customHeight="1">
      <c r="A206" s="9"/>
      <c r="B206" s="130" t="s">
        <v>20</v>
      </c>
      <c r="C206" s="216">
        <f>240000+35000</f>
        <v>275000</v>
      </c>
      <c r="D206" s="225">
        <f>+'ต.ค.-ธ.ค.'!E207+'ต.ค.-ธ.ค.'!H207</f>
        <v>46787.21</v>
      </c>
      <c r="E206" s="225">
        <f>+'ม.ค.-มี.ค.'!E206+'ม.ค.-มี.ค.'!H206</f>
        <v>65192.31</v>
      </c>
      <c r="F206" s="225">
        <f>+'ต.ค.-มิ.ย. 61'!E206+'ต.ค.-มิ.ย. 61'!H206</f>
        <v>194293.53999999998</v>
      </c>
      <c r="G206" s="225"/>
      <c r="H206" s="225">
        <f>SUM(D206:G206)</f>
        <v>306273.05999999994</v>
      </c>
      <c r="I206" s="205">
        <f>+C206-H206</f>
        <v>-31273.059999999939</v>
      </c>
      <c r="J206" s="244"/>
      <c r="K206" s="331"/>
      <c r="L206" s="247"/>
      <c r="M206" s="247"/>
    </row>
    <row r="207" spans="1:13" s="172" customFormat="1" ht="21.75" customHeight="1">
      <c r="A207" s="9"/>
      <c r="B207" s="130" t="s">
        <v>283</v>
      </c>
      <c r="C207" s="216">
        <f>100000+12000</f>
        <v>112000</v>
      </c>
      <c r="D207" s="225">
        <f>+'ต.ค.-ธ.ค.'!E208+'ต.ค.-ธ.ค.'!H208</f>
        <v>15013.61</v>
      </c>
      <c r="E207" s="225">
        <f>+'ม.ค.-มี.ค.'!E207+'ม.ค.-มี.ค.'!H207</f>
        <v>24370.48</v>
      </c>
      <c r="F207" s="225">
        <f>+'ต.ค.-มิ.ย. 61'!E207+'ต.ค.-มิ.ย. 61'!H207</f>
        <v>61899.979999999996</v>
      </c>
      <c r="G207" s="225"/>
      <c r="H207" s="225">
        <f>SUM(D207:G207)</f>
        <v>101284.06999999999</v>
      </c>
      <c r="I207" s="205">
        <f>+C207-H207</f>
        <v>10715.930000000008</v>
      </c>
      <c r="J207" s="244"/>
      <c r="K207" s="329"/>
      <c r="L207" s="330"/>
      <c r="M207" s="330"/>
    </row>
    <row r="208" spans="1:13" ht="21.75" customHeight="1">
      <c r="A208" s="9"/>
      <c r="B208" s="130" t="s">
        <v>284</v>
      </c>
      <c r="C208" s="216">
        <f>15000+3000</f>
        <v>18000</v>
      </c>
      <c r="D208" s="225">
        <f>+'ต.ค.-ธ.ค.'!E209+'ต.ค.-ธ.ค.'!H209</f>
        <v>3685</v>
      </c>
      <c r="E208" s="225">
        <f>+'ม.ค.-มี.ค.'!E208+'ม.ค.-มี.ค.'!H208</f>
        <v>10790</v>
      </c>
      <c r="F208" s="225">
        <f>+'ต.ค.-มิ.ย. 61'!E208+'ต.ค.-มิ.ย. 61'!H208</f>
        <v>14962</v>
      </c>
      <c r="G208" s="225"/>
      <c r="H208" s="225">
        <f>SUM(D208:G208)</f>
        <v>29437</v>
      </c>
      <c r="I208" s="205">
        <f>+C208-H208</f>
        <v>-11437</v>
      </c>
      <c r="J208" s="244"/>
    </row>
    <row r="209" spans="1:13" ht="21.75" customHeight="1">
      <c r="A209" s="9"/>
      <c r="B209" s="130" t="s">
        <v>285</v>
      </c>
      <c r="C209" s="216">
        <f>72000+32000+16100</f>
        <v>120100</v>
      </c>
      <c r="D209" s="225">
        <f>+'ต.ค.-ธ.ค.'!E210+'ต.ค.-ธ.ค.'!H210</f>
        <v>41681.85</v>
      </c>
      <c r="E209" s="225">
        <f>+'ม.ค.-มี.ค.'!E209+'ม.ค.-มี.ค.'!H209</f>
        <v>18981.8</v>
      </c>
      <c r="F209" s="225">
        <f>+'ต.ค.-มิ.ย. 61'!E209+'ต.ค.-มิ.ย. 61'!H209</f>
        <v>92945.55</v>
      </c>
      <c r="G209" s="225"/>
      <c r="H209" s="225">
        <f>SUM(D209:G209)</f>
        <v>153609.20000000001</v>
      </c>
      <c r="I209" s="205">
        <f>+C209-H209</f>
        <v>-33509.200000000012</v>
      </c>
      <c r="J209" s="244"/>
    </row>
    <row r="210" spans="1:13" s="221" customFormat="1" ht="21.75" customHeight="1" thickBot="1">
      <c r="A210" s="15"/>
      <c r="B210" s="14" t="s">
        <v>5</v>
      </c>
      <c r="C210" s="170">
        <f>SUM(C206:C209)</f>
        <v>525100</v>
      </c>
      <c r="D210" s="26">
        <f t="shared" ref="D210:I210" si="18">SUM(D206:D209)</f>
        <v>107167.67</v>
      </c>
      <c r="E210" s="26">
        <f t="shared" si="18"/>
        <v>119334.59</v>
      </c>
      <c r="F210" s="26">
        <f t="shared" si="18"/>
        <v>364101.06999999995</v>
      </c>
      <c r="G210" s="26">
        <f t="shared" si="18"/>
        <v>0</v>
      </c>
      <c r="H210" s="26">
        <f t="shared" si="18"/>
        <v>590603.32999999996</v>
      </c>
      <c r="I210" s="139">
        <f t="shared" si="18"/>
        <v>-65503.329999999944</v>
      </c>
      <c r="J210" s="233"/>
      <c r="K210" s="329"/>
      <c r="L210" s="330"/>
      <c r="M210" s="330"/>
    </row>
    <row r="211" spans="1:13" ht="21.75" customHeight="1" thickTop="1">
      <c r="A211" s="3" t="s">
        <v>122</v>
      </c>
      <c r="B211" s="4"/>
      <c r="C211" s="287"/>
      <c r="D211" s="177"/>
      <c r="E211" s="177"/>
      <c r="F211" s="177"/>
      <c r="G211" s="177"/>
      <c r="H211" s="177"/>
      <c r="I211" s="208"/>
    </row>
    <row r="212" spans="1:13" ht="21.75" customHeight="1">
      <c r="A212" s="169"/>
      <c r="B212" s="185" t="s">
        <v>323</v>
      </c>
      <c r="C212" s="190">
        <v>864000</v>
      </c>
      <c r="D212" s="177">
        <f>+'ต.ค.-ธ.ค.'!E213+'ต.ค.-ธ.ค.'!F213+'ต.ค.-ธ.ค.'!H213+'ต.ค.-ธ.ค.'!I213</f>
        <v>216000</v>
      </c>
      <c r="E212" s="177">
        <f>+'ม.ค.-มี.ค.'!I212</f>
        <v>236000</v>
      </c>
      <c r="F212" s="177">
        <f>+'ต.ค.-มิ.ย. 61'!E212+'ต.ค.-มิ.ย. 61'!F212+'ต.ค.-มิ.ย. 61'!G212+'ต.ค.-มิ.ย. 61'!H212+'ต.ค.-มิ.ย. 61'!I212</f>
        <v>676000</v>
      </c>
      <c r="G212" s="177"/>
      <c r="H212" s="177">
        <f>SUM(D212:G212)</f>
        <v>1128000</v>
      </c>
      <c r="I212" s="208">
        <f>+C212-H212</f>
        <v>-264000</v>
      </c>
    </row>
    <row r="213" spans="1:13" ht="21.75" customHeight="1">
      <c r="A213" s="169"/>
      <c r="B213" s="185" t="s">
        <v>324</v>
      </c>
      <c r="C213" s="190">
        <v>1096000</v>
      </c>
      <c r="D213" s="177">
        <f>+'ต.ค.-ธ.ค.'!E214+'ต.ค.-ธ.ค.'!F214+'ต.ค.-ธ.ค.'!H214+'ต.ค.-ธ.ค.'!I214</f>
        <v>274000</v>
      </c>
      <c r="E213" s="177">
        <f>+'ม.ค.-มี.ค.'!I213</f>
        <v>282000</v>
      </c>
      <c r="F213" s="177">
        <f>+'ต.ค.-มิ.ย. 61'!E213+'ต.ค.-มิ.ย. 61'!F213+'ต.ค.-มิ.ย. 61'!G213+'ต.ค.-มิ.ย. 61'!H213+'ต.ค.-มิ.ย. 61'!I213</f>
        <v>832000</v>
      </c>
      <c r="G213" s="177"/>
      <c r="H213" s="177">
        <f t="shared" ref="H213:H220" si="19">SUM(D213:G213)</f>
        <v>1388000</v>
      </c>
      <c r="I213" s="208">
        <f t="shared" ref="I213:I220" si="20">+C213-H213</f>
        <v>-292000</v>
      </c>
    </row>
    <row r="214" spans="1:13" ht="21.75" customHeight="1">
      <c r="A214" s="169"/>
      <c r="B214" s="185" t="s">
        <v>325</v>
      </c>
      <c r="C214" s="190">
        <v>580000</v>
      </c>
      <c r="D214" s="177">
        <f>+'ต.ค.-ธ.ค.'!E215+'ต.ค.-ธ.ค.'!F215+'ต.ค.-ธ.ค.'!H215+'ต.ค.-ธ.ค.'!I215</f>
        <v>145000</v>
      </c>
      <c r="E214" s="177">
        <f>+'ม.ค.-มี.ค.'!I214</f>
        <v>140000</v>
      </c>
      <c r="F214" s="177">
        <f>+'ต.ค.-มิ.ย. 61'!E214+'ต.ค.-มิ.ย. 61'!F214+'ต.ค.-มิ.ย. 61'!G214+'ต.ค.-มิ.ย. 61'!H214+'ต.ค.-มิ.ย. 61'!I214</f>
        <v>425000</v>
      </c>
      <c r="G214" s="177"/>
      <c r="H214" s="177">
        <f t="shared" si="19"/>
        <v>710000</v>
      </c>
      <c r="I214" s="208">
        <f t="shared" si="20"/>
        <v>-130000</v>
      </c>
    </row>
    <row r="215" spans="1:13" ht="21.75" customHeight="1">
      <c r="A215" s="169"/>
      <c r="B215" s="185" t="s">
        <v>351</v>
      </c>
      <c r="C215" s="190">
        <v>223000</v>
      </c>
      <c r="D215" s="177">
        <f>+'ต.ค.-ธ.ค.'!E216+'ต.ค.-ธ.ค.'!F216+'ต.ค.-ธ.ค.'!H216+'ต.ค.-ธ.ค.'!I216</f>
        <v>0</v>
      </c>
      <c r="E215" s="177">
        <f>+'ม.ค.-มี.ค.'!I215</f>
        <v>0</v>
      </c>
      <c r="F215" s="177">
        <f>+'ต.ค.-มิ.ย. 61'!E215+'ต.ค.-มิ.ย. 61'!F215+'ต.ค.-มิ.ย. 61'!G215+'ต.ค.-มิ.ย. 61'!H215+'ต.ค.-มิ.ย. 61'!I215</f>
        <v>0</v>
      </c>
      <c r="G215" s="177"/>
      <c r="H215" s="177">
        <f t="shared" si="19"/>
        <v>0</v>
      </c>
      <c r="I215" s="208">
        <f t="shared" si="20"/>
        <v>223000</v>
      </c>
    </row>
    <row r="216" spans="1:13" ht="21.75" customHeight="1">
      <c r="A216" s="169"/>
      <c r="B216" s="185" t="s">
        <v>442</v>
      </c>
      <c r="C216" s="190">
        <v>100000</v>
      </c>
      <c r="D216" s="177"/>
      <c r="E216" s="177"/>
      <c r="F216" s="177"/>
      <c r="G216" s="177"/>
      <c r="H216" s="177">
        <f t="shared" si="19"/>
        <v>0</v>
      </c>
      <c r="I216" s="208">
        <f t="shared" si="20"/>
        <v>100000</v>
      </c>
    </row>
    <row r="217" spans="1:13" ht="21.75" customHeight="1">
      <c r="A217" s="169"/>
      <c r="B217" s="185"/>
      <c r="C217" s="190"/>
      <c r="D217" s="177"/>
      <c r="E217" s="177"/>
      <c r="F217" s="177"/>
      <c r="G217" s="177"/>
      <c r="H217" s="177">
        <f t="shared" si="19"/>
        <v>0</v>
      </c>
      <c r="I217" s="208">
        <f t="shared" si="20"/>
        <v>0</v>
      </c>
    </row>
    <row r="218" spans="1:13" ht="21.75" customHeight="1">
      <c r="A218" s="169"/>
      <c r="B218" s="185"/>
      <c r="C218" s="190"/>
      <c r="D218" s="177"/>
      <c r="E218" s="177"/>
      <c r="F218" s="177"/>
      <c r="G218" s="177"/>
      <c r="H218" s="177">
        <f t="shared" si="19"/>
        <v>0</v>
      </c>
      <c r="I218" s="208">
        <f t="shared" si="20"/>
        <v>0</v>
      </c>
    </row>
    <row r="219" spans="1:13" ht="21.75" customHeight="1">
      <c r="A219" s="5"/>
      <c r="B219" s="185"/>
      <c r="C219" s="216"/>
      <c r="D219" s="177"/>
      <c r="E219" s="177"/>
      <c r="F219" s="177"/>
      <c r="G219" s="177"/>
      <c r="H219" s="177">
        <f t="shared" si="19"/>
        <v>0</v>
      </c>
      <c r="I219" s="208">
        <f t="shared" si="20"/>
        <v>0</v>
      </c>
    </row>
    <row r="220" spans="1:13" ht="21.75" customHeight="1">
      <c r="A220" s="5"/>
      <c r="B220" s="130"/>
      <c r="C220" s="285"/>
      <c r="D220" s="177"/>
      <c r="E220" s="177"/>
      <c r="F220" s="177"/>
      <c r="G220" s="177"/>
      <c r="H220" s="177">
        <f t="shared" si="19"/>
        <v>0</v>
      </c>
      <c r="I220" s="208">
        <f t="shared" si="20"/>
        <v>0</v>
      </c>
    </row>
    <row r="221" spans="1:13" s="221" customFormat="1" ht="21.75" customHeight="1" thickBot="1">
      <c r="A221" s="15"/>
      <c r="B221" s="14" t="s">
        <v>5</v>
      </c>
      <c r="C221" s="170">
        <f>SUM(C212:C220)</f>
        <v>2863000</v>
      </c>
      <c r="D221" s="26">
        <f>SUM(D212:D220)</f>
        <v>635000</v>
      </c>
      <c r="E221" s="26">
        <f>SUM(E212:E220)</f>
        <v>658000</v>
      </c>
      <c r="F221" s="26">
        <f>SUM(F212:F220)</f>
        <v>1933000</v>
      </c>
      <c r="G221" s="26"/>
      <c r="H221" s="26">
        <f>SUM(H212:H220)</f>
        <v>3226000</v>
      </c>
      <c r="I221" s="139">
        <f>SUM(I212:I220)</f>
        <v>-363000</v>
      </c>
      <c r="J221" s="233"/>
      <c r="K221" s="329"/>
      <c r="L221" s="330"/>
      <c r="M221" s="330"/>
    </row>
    <row r="222" spans="1:13" ht="21.75" customHeight="1" thickTop="1">
      <c r="A222" s="20" t="s">
        <v>71</v>
      </c>
      <c r="B222" s="82"/>
      <c r="C222" s="291"/>
      <c r="D222" s="177"/>
      <c r="E222" s="177"/>
      <c r="F222" s="177"/>
      <c r="G222" s="177"/>
      <c r="H222" s="177"/>
      <c r="I222" s="208"/>
    </row>
    <row r="223" spans="1:13" ht="21.75" customHeight="1">
      <c r="A223" s="66"/>
      <c r="B223" s="96"/>
      <c r="C223" s="216"/>
      <c r="D223" s="177"/>
      <c r="E223" s="177"/>
      <c r="F223" s="177"/>
      <c r="G223" s="177"/>
      <c r="H223" s="177"/>
      <c r="I223" s="208"/>
    </row>
    <row r="224" spans="1:13" s="168" customFormat="1" ht="21.75" customHeight="1" thickBot="1">
      <c r="A224" s="167"/>
      <c r="B224" s="95" t="s">
        <v>5</v>
      </c>
      <c r="C224" s="292">
        <f>SUM(C222:C223)</f>
        <v>0</v>
      </c>
      <c r="D224" s="191">
        <f t="shared" ref="D224:I224" si="21">SUM(D223)</f>
        <v>0</v>
      </c>
      <c r="E224" s="191">
        <f t="shared" si="21"/>
        <v>0</v>
      </c>
      <c r="F224" s="191">
        <f t="shared" si="21"/>
        <v>0</v>
      </c>
      <c r="G224" s="191">
        <f t="shared" si="21"/>
        <v>0</v>
      </c>
      <c r="H224" s="191">
        <f t="shared" si="21"/>
        <v>0</v>
      </c>
      <c r="I224" s="214">
        <f t="shared" si="21"/>
        <v>0</v>
      </c>
      <c r="J224" s="233"/>
      <c r="K224" s="331"/>
      <c r="L224" s="247"/>
      <c r="M224" s="247"/>
    </row>
    <row r="225" spans="1:13" s="172" customFormat="1" ht="21.75" customHeight="1" thickTop="1">
      <c r="A225" s="20" t="s">
        <v>115</v>
      </c>
      <c r="B225" s="284"/>
      <c r="C225" s="293"/>
      <c r="D225" s="204"/>
      <c r="E225" s="204"/>
      <c r="F225" s="204"/>
      <c r="G225" s="204"/>
      <c r="H225" s="204"/>
      <c r="I225" s="211"/>
      <c r="J225" s="233"/>
      <c r="K225" s="329"/>
      <c r="L225" s="330"/>
      <c r="M225" s="330"/>
    </row>
    <row r="226" spans="1:13" s="172" customFormat="1" ht="21.75" customHeight="1">
      <c r="A226" s="20"/>
      <c r="B226" s="252" t="s">
        <v>291</v>
      </c>
      <c r="C226" s="293"/>
      <c r="D226" s="250"/>
      <c r="E226" s="250"/>
      <c r="F226" s="250"/>
      <c r="G226" s="250"/>
      <c r="H226" s="250"/>
      <c r="I226" s="251"/>
      <c r="J226" s="233"/>
      <c r="K226" s="329"/>
      <c r="L226" s="330"/>
      <c r="M226" s="330"/>
    </row>
    <row r="227" spans="1:13" ht="21.75" customHeight="1">
      <c r="A227" s="20"/>
      <c r="B227" s="186" t="s">
        <v>286</v>
      </c>
      <c r="C227" s="294">
        <v>10000</v>
      </c>
      <c r="D227" s="177"/>
      <c r="E227" s="177">
        <f>+'ม.ค.-มี.ค.'!E227+'ม.ค.-มี.ค.'!F227+'ม.ค.-มี.ค.'!H227+'ม.ค.-มี.ค.'!I227+'ม.ค.-มี.ค.'!K227+'ม.ค.-มี.ค.'!M227+'ม.ค.-มี.ค.'!N227+'ม.ค.-มี.ค.'!V227</f>
        <v>0</v>
      </c>
      <c r="F227" s="177">
        <f>+'ต.ค.-มิ.ย. 61'!E227+'ต.ค.-มิ.ย. 61'!F227+'ต.ค.-มิ.ย. 61'!G227+'ต.ค.-มิ.ย. 61'!H227+'ต.ค.-มิ.ย. 61'!I227+'ต.ค.-มิ.ย. 61'!M227+'ต.ค.-มิ.ย. 61'!N227+'ต.ค.-มิ.ย. 61'!P227+'ต.ค.-มิ.ย. 61'!R227+'ต.ค.-มิ.ย. 61'!S227</f>
        <v>0</v>
      </c>
      <c r="G227" s="177"/>
      <c r="H227" s="177">
        <f>SUM(D227:G227)</f>
        <v>0</v>
      </c>
      <c r="I227" s="208">
        <f>+C227-H227</f>
        <v>10000</v>
      </c>
    </row>
    <row r="228" spans="1:13" ht="21.75" customHeight="1">
      <c r="A228" s="20"/>
      <c r="B228" s="186" t="s">
        <v>287</v>
      </c>
      <c r="C228" s="294">
        <v>4500</v>
      </c>
      <c r="D228" s="177"/>
      <c r="E228" s="177">
        <f>+'ม.ค.-มี.ค.'!E228+'ม.ค.-มี.ค.'!F228+'ม.ค.-มี.ค.'!H228+'ม.ค.-มี.ค.'!I228+'ม.ค.-มี.ค.'!K228+'ม.ค.-มี.ค.'!M228+'ม.ค.-มี.ค.'!N228+'ม.ค.-มี.ค.'!V228</f>
        <v>0</v>
      </c>
      <c r="F228" s="177">
        <f>+'ต.ค.-มิ.ย. 61'!E228+'ต.ค.-มิ.ย. 61'!F228+'ต.ค.-มิ.ย. 61'!G228+'ต.ค.-มิ.ย. 61'!H228+'ต.ค.-มิ.ย. 61'!I228+'ต.ค.-มิ.ย. 61'!M228+'ต.ค.-มิ.ย. 61'!N228+'ต.ค.-มิ.ย. 61'!P228+'ต.ค.-มิ.ย. 61'!R228+'ต.ค.-มิ.ย. 61'!S228</f>
        <v>0</v>
      </c>
      <c r="G228" s="177"/>
      <c r="H228" s="177">
        <f t="shared" ref="H228:H234" si="22">SUM(D228:G228)</f>
        <v>0</v>
      </c>
      <c r="I228" s="208">
        <f t="shared" ref="I228:I234" si="23">+C228-H228</f>
        <v>4500</v>
      </c>
    </row>
    <row r="229" spans="1:13" ht="21.75" customHeight="1">
      <c r="A229" s="20"/>
      <c r="B229" s="186" t="s">
        <v>288</v>
      </c>
      <c r="C229" s="294">
        <v>3000</v>
      </c>
      <c r="D229" s="177"/>
      <c r="E229" s="177">
        <f>+'ม.ค.-มี.ค.'!E229+'ม.ค.-มี.ค.'!F229+'ม.ค.-มี.ค.'!H229+'ม.ค.-มี.ค.'!I229+'ม.ค.-มี.ค.'!K229+'ม.ค.-มี.ค.'!M229+'ม.ค.-มี.ค.'!N229+'ม.ค.-มี.ค.'!V229</f>
        <v>1600</v>
      </c>
      <c r="F229" s="177">
        <f>+'ต.ค.-มิ.ย. 61'!E229+'ต.ค.-มิ.ย. 61'!F229+'ต.ค.-มิ.ย. 61'!G229+'ต.ค.-มิ.ย. 61'!H229+'ต.ค.-มิ.ย. 61'!I229+'ต.ค.-มิ.ย. 61'!M229+'ต.ค.-มิ.ย. 61'!N229+'ต.ค.-มิ.ย. 61'!P229+'ต.ค.-มิ.ย. 61'!R229+'ต.ค.-มิ.ย. 61'!S229</f>
        <v>1600</v>
      </c>
      <c r="G229" s="177"/>
      <c r="H229" s="177">
        <f t="shared" si="22"/>
        <v>3200</v>
      </c>
      <c r="I229" s="208">
        <f t="shared" si="23"/>
        <v>-200</v>
      </c>
    </row>
    <row r="230" spans="1:13" ht="21.75" customHeight="1">
      <c r="A230" s="20"/>
      <c r="B230" s="186" t="s">
        <v>289</v>
      </c>
      <c r="C230" s="294">
        <v>20000</v>
      </c>
      <c r="D230" s="177"/>
      <c r="E230" s="177">
        <f>+'ม.ค.-มี.ค.'!E230+'ม.ค.-มี.ค.'!F230+'ม.ค.-มี.ค.'!H230+'ม.ค.-มี.ค.'!I230+'ม.ค.-มี.ค.'!K230+'ม.ค.-มี.ค.'!M230+'ม.ค.-มี.ค.'!N230+'ม.ค.-มี.ค.'!V230</f>
        <v>0</v>
      </c>
      <c r="F230" s="177">
        <f>+'ต.ค.-มิ.ย. 61'!E230+'ต.ค.-มิ.ย. 61'!F230+'ต.ค.-มิ.ย. 61'!G230+'ต.ค.-มิ.ย. 61'!H230+'ต.ค.-มิ.ย. 61'!I230+'ต.ค.-มิ.ย. 61'!M230+'ต.ค.-มิ.ย. 61'!N230+'ต.ค.-มิ.ย. 61'!P230+'ต.ค.-มิ.ย. 61'!R230+'ต.ค.-มิ.ย. 61'!S230</f>
        <v>0</v>
      </c>
      <c r="G230" s="177"/>
      <c r="H230" s="177">
        <f t="shared" si="22"/>
        <v>0</v>
      </c>
      <c r="I230" s="208">
        <f t="shared" si="23"/>
        <v>20000</v>
      </c>
    </row>
    <row r="231" spans="1:13" ht="21.75" customHeight="1">
      <c r="A231" s="20"/>
      <c r="B231" s="186" t="s">
        <v>290</v>
      </c>
      <c r="C231" s="295">
        <f>5500+5500</f>
        <v>11000</v>
      </c>
      <c r="D231" s="177"/>
      <c r="E231" s="177">
        <f>+'ม.ค.-มี.ค.'!E231+'ม.ค.-มี.ค.'!F231+'ม.ค.-มี.ค.'!H231+'ม.ค.-มี.ค.'!I231+'ม.ค.-มี.ค.'!K231+'ม.ค.-มี.ค.'!M231+'ม.ค.-มี.ค.'!N231+'ม.ค.-มี.ค.'!V231</f>
        <v>0</v>
      </c>
      <c r="F231" s="177">
        <f>+'ต.ค.-มิ.ย. 61'!E231+'ต.ค.-มิ.ย. 61'!F231+'ต.ค.-มิ.ย. 61'!G231+'ต.ค.-มิ.ย. 61'!H231+'ต.ค.-มิ.ย. 61'!I231+'ต.ค.-มิ.ย. 61'!M231+'ต.ค.-มิ.ย. 61'!N231+'ต.ค.-มิ.ย. 61'!P231+'ต.ค.-มิ.ย. 61'!R231+'ต.ค.-มิ.ย. 61'!S231</f>
        <v>0</v>
      </c>
      <c r="G231" s="177"/>
      <c r="H231" s="177">
        <f t="shared" si="22"/>
        <v>0</v>
      </c>
      <c r="I231" s="208">
        <f t="shared" si="23"/>
        <v>11000</v>
      </c>
    </row>
    <row r="232" spans="1:13" ht="21.75" customHeight="1">
      <c r="A232" s="20"/>
      <c r="B232" s="186" t="s">
        <v>305</v>
      </c>
      <c r="C232" s="295">
        <v>16000</v>
      </c>
      <c r="D232" s="177"/>
      <c r="E232" s="177">
        <f>+'ม.ค.-มี.ค.'!E232+'ม.ค.-มี.ค.'!F232+'ม.ค.-มี.ค.'!H232+'ม.ค.-มี.ค.'!I232+'ม.ค.-มี.ค.'!K232+'ม.ค.-มี.ค.'!M232+'ม.ค.-มี.ค.'!N232+'ม.ค.-มี.ค.'!V232</f>
        <v>0</v>
      </c>
      <c r="F232" s="177">
        <f>+'ต.ค.-มิ.ย. 61'!E232+'ต.ค.-มิ.ย. 61'!F232+'ต.ค.-มิ.ย. 61'!G232+'ต.ค.-มิ.ย. 61'!H232+'ต.ค.-มิ.ย. 61'!I232+'ต.ค.-มิ.ย. 61'!M232+'ต.ค.-มิ.ย. 61'!N232+'ต.ค.-มิ.ย. 61'!P232+'ต.ค.-มิ.ย. 61'!R232+'ต.ค.-มิ.ย. 61'!S232</f>
        <v>0</v>
      </c>
      <c r="G232" s="177"/>
      <c r="H232" s="177">
        <f t="shared" si="22"/>
        <v>0</v>
      </c>
      <c r="I232" s="208">
        <f t="shared" si="23"/>
        <v>16000</v>
      </c>
    </row>
    <row r="233" spans="1:13" ht="21.75" customHeight="1">
      <c r="A233" s="20"/>
      <c r="B233" s="186" t="s">
        <v>334</v>
      </c>
      <c r="C233" s="295">
        <v>4500</v>
      </c>
      <c r="D233" s="177"/>
      <c r="E233" s="177">
        <f>+'ม.ค.-มี.ค.'!E233+'ม.ค.-มี.ค.'!F233+'ม.ค.-มี.ค.'!H233+'ม.ค.-มี.ค.'!I233+'ม.ค.-มี.ค.'!K233+'ม.ค.-มี.ค.'!M233+'ม.ค.-มี.ค.'!N233+'ม.ค.-มี.ค.'!V233</f>
        <v>0</v>
      </c>
      <c r="F233" s="177">
        <f>+'ต.ค.-มิ.ย. 61'!E233+'ต.ค.-มิ.ย. 61'!F233+'ต.ค.-มิ.ย. 61'!G233+'ต.ค.-มิ.ย. 61'!H233+'ต.ค.-มิ.ย. 61'!I233+'ต.ค.-มิ.ย. 61'!M233+'ต.ค.-มิ.ย. 61'!N233+'ต.ค.-มิ.ย. 61'!P233+'ต.ค.-มิ.ย. 61'!R233+'ต.ค.-มิ.ย. 61'!S233</f>
        <v>0</v>
      </c>
      <c r="G233" s="177"/>
      <c r="H233" s="177">
        <f t="shared" si="22"/>
        <v>0</v>
      </c>
      <c r="I233" s="208">
        <f t="shared" si="23"/>
        <v>4500</v>
      </c>
    </row>
    <row r="234" spans="1:13" ht="21.75" customHeight="1">
      <c r="A234" s="20"/>
      <c r="B234" s="186" t="s">
        <v>335</v>
      </c>
      <c r="C234" s="295">
        <v>4500</v>
      </c>
      <c r="D234" s="177"/>
      <c r="E234" s="177">
        <f>+'ม.ค.-มี.ค.'!E234+'ม.ค.-มี.ค.'!F234+'ม.ค.-มี.ค.'!H234+'ม.ค.-มี.ค.'!I234+'ม.ค.-มี.ค.'!K234+'ม.ค.-มี.ค.'!M234+'ม.ค.-มี.ค.'!N234+'ม.ค.-มี.ค.'!V234</f>
        <v>0</v>
      </c>
      <c r="F234" s="177">
        <f>+'ต.ค.-มิ.ย. 61'!E234+'ต.ค.-มิ.ย. 61'!F234+'ต.ค.-มิ.ย. 61'!G234+'ต.ค.-มิ.ย. 61'!H234+'ต.ค.-มิ.ย. 61'!I234+'ต.ค.-มิ.ย. 61'!M234+'ต.ค.-มิ.ย. 61'!N234+'ต.ค.-มิ.ย. 61'!P234+'ต.ค.-มิ.ย. 61'!R234+'ต.ค.-มิ.ย. 61'!S234</f>
        <v>0</v>
      </c>
      <c r="G234" s="177"/>
      <c r="H234" s="177">
        <f t="shared" si="22"/>
        <v>0</v>
      </c>
      <c r="I234" s="208">
        <f t="shared" si="23"/>
        <v>4500</v>
      </c>
    </row>
    <row r="235" spans="1:13" s="364" customFormat="1" ht="21.75" customHeight="1" thickBot="1">
      <c r="A235" s="46"/>
      <c r="B235" s="492"/>
      <c r="C235" s="493"/>
      <c r="D235" s="365">
        <f t="shared" ref="D235:I235" si="24">SUM(D227:D234)</f>
        <v>0</v>
      </c>
      <c r="E235" s="365">
        <f t="shared" si="24"/>
        <v>1600</v>
      </c>
      <c r="F235" s="365">
        <f t="shared" si="24"/>
        <v>1600</v>
      </c>
      <c r="G235" s="365">
        <f t="shared" si="24"/>
        <v>0</v>
      </c>
      <c r="H235" s="365">
        <f t="shared" si="24"/>
        <v>3200</v>
      </c>
      <c r="I235" s="366">
        <f t="shared" si="24"/>
        <v>70300</v>
      </c>
      <c r="J235" s="233"/>
      <c r="K235" s="329"/>
      <c r="L235" s="330"/>
      <c r="M235" s="330"/>
    </row>
    <row r="236" spans="1:13" ht="21.75" customHeight="1" thickTop="1">
      <c r="A236" s="20"/>
      <c r="B236" s="360" t="s">
        <v>292</v>
      </c>
      <c r="C236" s="361"/>
      <c r="D236" s="231"/>
      <c r="E236" s="231"/>
      <c r="F236" s="231">
        <f>+'ต.ค.-มิ.ย. 61'!E236+'ต.ค.-มิ.ย. 61'!F236+'ต.ค.-มิ.ย. 61'!G236+'ต.ค.-มิ.ย. 61'!H236+'ต.ค.-มิ.ย. 61'!I236+'ต.ค.-มิ.ย. 61'!M236+'ต.ค.-มิ.ย. 61'!N236+'ต.ค.-มิ.ย. 61'!P236+'ต.ค.-มิ.ย. 61'!R236+'ต.ค.-มิ.ย. 61'!S236</f>
        <v>0</v>
      </c>
      <c r="G236" s="231"/>
      <c r="H236" s="231"/>
      <c r="I236" s="362"/>
    </row>
    <row r="237" spans="1:13" ht="21.75" customHeight="1">
      <c r="A237" s="20"/>
      <c r="B237" s="186" t="s">
        <v>293</v>
      </c>
      <c r="C237" s="295">
        <v>32000</v>
      </c>
      <c r="D237" s="177"/>
      <c r="E237" s="177">
        <f>+'ม.ค.-มี.ค.'!F237</f>
        <v>0</v>
      </c>
      <c r="F237" s="177">
        <f>+'ต.ค.-มิ.ย. 61'!E237+'ต.ค.-มิ.ย. 61'!F237+'ต.ค.-มิ.ย. 61'!G237+'ต.ค.-มิ.ย. 61'!H237+'ต.ค.-มิ.ย. 61'!I237+'ต.ค.-มิ.ย. 61'!M237+'ต.ค.-มิ.ย. 61'!N237+'ต.ค.-มิ.ย. 61'!P237+'ต.ค.-มิ.ย. 61'!R237+'ต.ค.-มิ.ย. 61'!S237</f>
        <v>0</v>
      </c>
      <c r="G237" s="177"/>
      <c r="H237" s="177">
        <f>SUM(D237:G237)</f>
        <v>0</v>
      </c>
      <c r="I237" s="208">
        <f>+C237-H237</f>
        <v>32000</v>
      </c>
    </row>
    <row r="238" spans="1:13" ht="21.75" customHeight="1">
      <c r="A238" s="20"/>
      <c r="B238" s="186" t="s">
        <v>125</v>
      </c>
      <c r="C238" s="295">
        <f>2800+2800+2300</f>
        <v>7900</v>
      </c>
      <c r="D238" s="177"/>
      <c r="E238" s="177">
        <f>+'ม.ค.-มี.ค.'!F238</f>
        <v>2800</v>
      </c>
      <c r="F238" s="177">
        <f>+'ต.ค.-มิ.ย. 61'!E238+'ต.ค.-มิ.ย. 61'!F238+'ต.ค.-มิ.ย. 61'!G238+'ต.ค.-มิ.ย. 61'!H238+'ต.ค.-มิ.ย. 61'!I238+'ต.ค.-มิ.ย. 61'!M238+'ต.ค.-มิ.ย. 61'!N238+'ต.ค.-มิ.ย. 61'!P238+'ต.ค.-มิ.ย. 61'!R238+'ต.ค.-มิ.ย. 61'!S238</f>
        <v>5100</v>
      </c>
      <c r="G238" s="177"/>
      <c r="H238" s="177">
        <f>SUM(D238:G238)</f>
        <v>7900</v>
      </c>
      <c r="I238" s="208">
        <f>+C238-H238</f>
        <v>0</v>
      </c>
    </row>
    <row r="239" spans="1:13" ht="21.75" customHeight="1">
      <c r="A239" s="20"/>
      <c r="B239" s="186" t="s">
        <v>294</v>
      </c>
      <c r="C239" s="295">
        <v>21000</v>
      </c>
      <c r="D239" s="177"/>
      <c r="E239" s="177">
        <f>+'ม.ค.-มี.ค.'!F239</f>
        <v>21000</v>
      </c>
      <c r="F239" s="177">
        <f>+'ต.ค.-มิ.ย. 61'!E239+'ต.ค.-มิ.ย. 61'!F239+'ต.ค.-มิ.ย. 61'!G239+'ต.ค.-มิ.ย. 61'!H239+'ต.ค.-มิ.ย. 61'!I239+'ต.ค.-มิ.ย. 61'!M239+'ต.ค.-มิ.ย. 61'!N239+'ต.ค.-มิ.ย. 61'!P239+'ต.ค.-มิ.ย. 61'!R239+'ต.ค.-มิ.ย. 61'!S239</f>
        <v>21000</v>
      </c>
      <c r="G239" s="177"/>
      <c r="H239" s="177">
        <f>SUM(D239:G239)</f>
        <v>42000</v>
      </c>
      <c r="I239" s="208">
        <f>+C239-H239</f>
        <v>-21000</v>
      </c>
    </row>
    <row r="240" spans="1:13" ht="21.75" customHeight="1">
      <c r="A240" s="20"/>
      <c r="B240" s="186" t="s">
        <v>293</v>
      </c>
      <c r="C240" s="295">
        <v>16000</v>
      </c>
      <c r="D240" s="177"/>
      <c r="E240" s="177">
        <f>+'ม.ค.-มี.ค.'!F240</f>
        <v>0</v>
      </c>
      <c r="F240" s="177">
        <f>+'ต.ค.-มิ.ย. 61'!E240+'ต.ค.-มิ.ย. 61'!F240+'ต.ค.-มิ.ย. 61'!G240+'ต.ค.-มิ.ย. 61'!H240+'ต.ค.-มิ.ย. 61'!I240+'ต.ค.-มิ.ย. 61'!M240+'ต.ค.-มิ.ย. 61'!N240+'ต.ค.-มิ.ย. 61'!P240+'ต.ค.-มิ.ย. 61'!R240+'ต.ค.-มิ.ย. 61'!S240</f>
        <v>16000</v>
      </c>
      <c r="G240" s="177"/>
      <c r="H240" s="177">
        <f>SUM(D240:G240)</f>
        <v>16000</v>
      </c>
      <c r="I240" s="208">
        <f>+C240-H240</f>
        <v>0</v>
      </c>
    </row>
    <row r="241" spans="1:13" ht="21.75" customHeight="1">
      <c r="A241" s="20"/>
      <c r="B241" s="186" t="s">
        <v>306</v>
      </c>
      <c r="C241" s="295">
        <v>7700</v>
      </c>
      <c r="D241" s="177"/>
      <c r="E241" s="177">
        <f>+'ม.ค.-มี.ค.'!F241</f>
        <v>0</v>
      </c>
      <c r="F241" s="177">
        <f>+'ต.ค.-มิ.ย. 61'!E241+'ต.ค.-มิ.ย. 61'!F241+'ต.ค.-มิ.ย. 61'!G241+'ต.ค.-มิ.ย. 61'!H241+'ต.ค.-มิ.ย. 61'!I241+'ต.ค.-มิ.ย. 61'!M241+'ต.ค.-มิ.ย. 61'!N241+'ต.ค.-มิ.ย. 61'!P241+'ต.ค.-มิ.ย. 61'!R241+'ต.ค.-มิ.ย. 61'!S241</f>
        <v>7700</v>
      </c>
      <c r="G241" s="177"/>
      <c r="H241" s="177">
        <f>SUM(D241:G241)</f>
        <v>7700</v>
      </c>
      <c r="I241" s="208">
        <f>+C241-H241</f>
        <v>0</v>
      </c>
    </row>
    <row r="242" spans="1:13" s="364" customFormat="1" ht="21.75" customHeight="1" thickBot="1">
      <c r="A242" s="46"/>
      <c r="B242" s="492"/>
      <c r="C242" s="493"/>
      <c r="D242" s="365">
        <f t="shared" ref="D242:I242" si="25">SUM(D237:D241)</f>
        <v>0</v>
      </c>
      <c r="E242" s="365">
        <f t="shared" si="25"/>
        <v>23800</v>
      </c>
      <c r="F242" s="365">
        <f t="shared" si="25"/>
        <v>49800</v>
      </c>
      <c r="G242" s="365">
        <f t="shared" si="25"/>
        <v>0</v>
      </c>
      <c r="H242" s="365">
        <f t="shared" si="25"/>
        <v>73600</v>
      </c>
      <c r="I242" s="366">
        <f t="shared" si="25"/>
        <v>11000</v>
      </c>
      <c r="J242" s="233"/>
      <c r="K242" s="329"/>
      <c r="L242" s="330"/>
      <c r="M242" s="330"/>
    </row>
    <row r="243" spans="1:13" ht="21.75" customHeight="1" thickTop="1">
      <c r="A243" s="20"/>
      <c r="B243" s="360" t="s">
        <v>336</v>
      </c>
      <c r="C243" s="361"/>
      <c r="D243" s="177"/>
      <c r="E243" s="177"/>
      <c r="F243" s="177">
        <f>+'ต.ค.-มิ.ย. 61'!E243+'ต.ค.-มิ.ย. 61'!F243+'ต.ค.-มิ.ย. 61'!G243+'ต.ค.-มิ.ย. 61'!H243+'ต.ค.-มิ.ย. 61'!I243+'ต.ค.-มิ.ย. 61'!M243+'ต.ค.-มิ.ย. 61'!N243+'ต.ค.-มิ.ย. 61'!P243+'ต.ค.-มิ.ย. 61'!R243+'ต.ค.-มิ.ย. 61'!S243</f>
        <v>0</v>
      </c>
      <c r="G243" s="177"/>
      <c r="H243" s="177"/>
      <c r="I243" s="208"/>
    </row>
    <row r="244" spans="1:13" ht="21.75" customHeight="1">
      <c r="A244" s="20"/>
      <c r="B244" s="186" t="s">
        <v>337</v>
      </c>
      <c r="C244" s="295">
        <v>9000</v>
      </c>
      <c r="D244" s="177"/>
      <c r="E244" s="177">
        <f>+'ม.ค.-มี.ค.'!F244</f>
        <v>0</v>
      </c>
      <c r="F244" s="177">
        <f>+'ต.ค.-มิ.ย. 61'!E244+'ต.ค.-มิ.ย. 61'!F244+'ต.ค.-มิ.ย. 61'!G244+'ต.ค.-มิ.ย. 61'!H244+'ต.ค.-มิ.ย. 61'!I244+'ต.ค.-มิ.ย. 61'!M244+'ต.ค.-มิ.ย. 61'!N244+'ต.ค.-มิ.ย. 61'!P244+'ต.ค.-มิ.ย. 61'!R244+'ต.ค.-มิ.ย. 61'!S244</f>
        <v>0</v>
      </c>
      <c r="G244" s="177"/>
      <c r="H244" s="177">
        <f>SUM(D244:G244)</f>
        <v>0</v>
      </c>
      <c r="I244" s="208">
        <f>+C244-H244</f>
        <v>9000</v>
      </c>
    </row>
    <row r="245" spans="1:13" ht="21.75" customHeight="1" thickBot="1">
      <c r="A245" s="46"/>
      <c r="B245" s="492"/>
      <c r="C245" s="493"/>
      <c r="D245" s="365">
        <f t="shared" ref="D245:I245" si="26">SUM(D244)</f>
        <v>0</v>
      </c>
      <c r="E245" s="365">
        <f t="shared" si="26"/>
        <v>0</v>
      </c>
      <c r="F245" s="365">
        <f t="shared" si="26"/>
        <v>0</v>
      </c>
      <c r="G245" s="365">
        <f t="shared" si="26"/>
        <v>0</v>
      </c>
      <c r="H245" s="365">
        <f t="shared" si="26"/>
        <v>0</v>
      </c>
      <c r="I245" s="366">
        <f t="shared" si="26"/>
        <v>9000</v>
      </c>
    </row>
    <row r="246" spans="1:13" ht="21.75" customHeight="1" thickTop="1">
      <c r="A246" s="20"/>
      <c r="B246" s="360" t="s">
        <v>338</v>
      </c>
      <c r="C246" s="361"/>
      <c r="D246" s="177"/>
      <c r="E246" s="177"/>
      <c r="F246" s="177">
        <f>+'ต.ค.-มิ.ย. 61'!E246+'ต.ค.-มิ.ย. 61'!F246+'ต.ค.-มิ.ย. 61'!G246+'ต.ค.-มิ.ย. 61'!H246+'ต.ค.-มิ.ย. 61'!I246+'ต.ค.-มิ.ย. 61'!M246+'ต.ค.-มิ.ย. 61'!N246+'ต.ค.-มิ.ย. 61'!P246+'ต.ค.-มิ.ย. 61'!R246+'ต.ค.-มิ.ย. 61'!S246</f>
        <v>0</v>
      </c>
      <c r="G246" s="177"/>
      <c r="H246" s="177"/>
      <c r="I246" s="208"/>
    </row>
    <row r="247" spans="1:13" ht="21.75" customHeight="1">
      <c r="A247" s="20"/>
      <c r="B247" s="186" t="s">
        <v>339</v>
      </c>
      <c r="C247" s="295">
        <v>8000</v>
      </c>
      <c r="D247" s="177"/>
      <c r="E247" s="177">
        <f>+'ม.ค.-มี.ค.'!F247</f>
        <v>0</v>
      </c>
      <c r="F247" s="177">
        <f>+'ต.ค.-มิ.ย. 61'!E247+'ต.ค.-มิ.ย. 61'!F247+'ต.ค.-มิ.ย. 61'!G247+'ต.ค.-มิ.ย. 61'!H247+'ต.ค.-มิ.ย. 61'!I247+'ต.ค.-มิ.ย. 61'!M247+'ต.ค.-มิ.ย. 61'!N247+'ต.ค.-มิ.ย. 61'!P247+'ต.ค.-มิ.ย. 61'!R247+'ต.ค.-มิ.ย. 61'!S247</f>
        <v>0</v>
      </c>
      <c r="G247" s="177"/>
      <c r="H247" s="177">
        <f>SUM(D247:G247)</f>
        <v>0</v>
      </c>
      <c r="I247" s="208">
        <f>+C247-H247</f>
        <v>8000</v>
      </c>
    </row>
    <row r="248" spans="1:13" ht="21.75" customHeight="1">
      <c r="A248" s="20"/>
      <c r="B248" s="186" t="s">
        <v>340</v>
      </c>
      <c r="C248" s="295">
        <v>6000</v>
      </c>
      <c r="D248" s="177"/>
      <c r="E248" s="177">
        <f>+'ม.ค.-มี.ค.'!F248</f>
        <v>0</v>
      </c>
      <c r="F248" s="177">
        <f>+'ต.ค.-มิ.ย. 61'!E248+'ต.ค.-มิ.ย. 61'!F248+'ต.ค.-มิ.ย. 61'!G248+'ต.ค.-มิ.ย. 61'!H248+'ต.ค.-มิ.ย. 61'!I248+'ต.ค.-มิ.ย. 61'!M248+'ต.ค.-มิ.ย. 61'!N248+'ต.ค.-มิ.ย. 61'!P248+'ต.ค.-มิ.ย. 61'!R248+'ต.ค.-มิ.ย. 61'!S248</f>
        <v>0</v>
      </c>
      <c r="G248" s="177"/>
      <c r="H248" s="177">
        <f>SUM(D248:G248)</f>
        <v>0</v>
      </c>
      <c r="I248" s="208">
        <f>+C248-H248</f>
        <v>6000</v>
      </c>
    </row>
    <row r="249" spans="1:13" ht="21.75" customHeight="1" thickBot="1">
      <c r="A249" s="46"/>
      <c r="B249" s="492"/>
      <c r="C249" s="493"/>
      <c r="D249" s="365">
        <f t="shared" ref="D249:I249" si="27">SUM(D247:D248)</f>
        <v>0</v>
      </c>
      <c r="E249" s="365">
        <f t="shared" si="27"/>
        <v>0</v>
      </c>
      <c r="F249" s="365">
        <f t="shared" si="27"/>
        <v>0</v>
      </c>
      <c r="G249" s="365">
        <f t="shared" si="27"/>
        <v>0</v>
      </c>
      <c r="H249" s="365">
        <f t="shared" si="27"/>
        <v>0</v>
      </c>
      <c r="I249" s="366">
        <f t="shared" si="27"/>
        <v>14000</v>
      </c>
    </row>
    <row r="250" spans="1:13" ht="21.75" customHeight="1" thickTop="1">
      <c r="A250" s="20"/>
      <c r="B250" s="360" t="s">
        <v>341</v>
      </c>
      <c r="C250" s="361"/>
      <c r="D250" s="177"/>
      <c r="E250" s="177"/>
      <c r="F250" s="177">
        <f>+'ต.ค.-มิ.ย. 61'!E250+'ต.ค.-มิ.ย. 61'!F250+'ต.ค.-มิ.ย. 61'!G250+'ต.ค.-มิ.ย. 61'!H250+'ต.ค.-มิ.ย. 61'!I250+'ต.ค.-มิ.ย. 61'!M250+'ต.ค.-มิ.ย. 61'!N250+'ต.ค.-มิ.ย. 61'!P250+'ต.ค.-มิ.ย. 61'!R250+'ต.ค.-มิ.ย. 61'!S250</f>
        <v>0</v>
      </c>
      <c r="G250" s="177"/>
      <c r="H250" s="177"/>
      <c r="I250" s="208"/>
    </row>
    <row r="251" spans="1:13" ht="21.75" customHeight="1">
      <c r="A251" s="20"/>
      <c r="B251" s="186" t="s">
        <v>342</v>
      </c>
      <c r="C251" s="295">
        <v>45300</v>
      </c>
      <c r="D251" s="177"/>
      <c r="E251" s="177">
        <f>+'ม.ค.-มี.ค.'!E251+'ม.ค.-มี.ค.'!F251+'ม.ค.-มี.ค.'!H251+'ม.ค.-มี.ค.'!I251+'ม.ค.-มี.ค.'!K251+'ม.ค.-มี.ค.'!M251+'ม.ค.-มี.ค.'!N251+'ม.ค.-มี.ค.'!V251</f>
        <v>0</v>
      </c>
      <c r="F251" s="177">
        <f>+'ต.ค.-มิ.ย. 61'!E251+'ต.ค.-มิ.ย. 61'!F251+'ต.ค.-มิ.ย. 61'!G251+'ต.ค.-มิ.ย. 61'!H251+'ต.ค.-มิ.ย. 61'!I251+'ต.ค.-มิ.ย. 61'!M251+'ต.ค.-มิ.ย. 61'!N251+'ต.ค.-มิ.ย. 61'!P251+'ต.ค.-มิ.ย. 61'!R251+'ต.ค.-มิ.ย. 61'!S251</f>
        <v>0</v>
      </c>
      <c r="G251" s="177"/>
      <c r="H251" s="177">
        <f>SUM(D251:G251)</f>
        <v>0</v>
      </c>
      <c r="I251" s="208">
        <f>+C251-H251</f>
        <v>45300</v>
      </c>
    </row>
    <row r="252" spans="1:13" ht="21.75" customHeight="1">
      <c r="A252" s="20"/>
      <c r="B252" s="186" t="s">
        <v>343</v>
      </c>
      <c r="C252" s="295">
        <v>128000</v>
      </c>
      <c r="D252" s="177"/>
      <c r="E252" s="177">
        <f>+'ม.ค.-มี.ค.'!E252+'ม.ค.-มี.ค.'!F252+'ม.ค.-มี.ค.'!H252+'ม.ค.-มี.ค.'!I252+'ม.ค.-มี.ค.'!K252+'ม.ค.-มี.ค.'!M252+'ม.ค.-มี.ค.'!N252+'ม.ค.-มี.ค.'!V252</f>
        <v>0</v>
      </c>
      <c r="F252" s="177">
        <f>+'ต.ค.-มิ.ย. 61'!E252+'ต.ค.-มิ.ย. 61'!F252+'ต.ค.-มิ.ย. 61'!G252+'ต.ค.-มิ.ย. 61'!H252+'ต.ค.-มิ.ย. 61'!I252+'ต.ค.-มิ.ย. 61'!M252+'ต.ค.-มิ.ย. 61'!N252+'ต.ค.-มิ.ย. 61'!P252+'ต.ค.-มิ.ย. 61'!R252+'ต.ค.-มิ.ย. 61'!S252</f>
        <v>0</v>
      </c>
      <c r="G252" s="177"/>
      <c r="H252" s="177"/>
      <c r="I252" s="208">
        <f t="shared" ref="I252:I261" si="28">+C252-H252</f>
        <v>128000</v>
      </c>
    </row>
    <row r="253" spans="1:13" ht="21.75" customHeight="1">
      <c r="A253" s="20"/>
      <c r="B253" s="186" t="s">
        <v>264</v>
      </c>
      <c r="C253" s="295">
        <v>204000</v>
      </c>
      <c r="D253" s="177"/>
      <c r="E253" s="177">
        <f>+'ม.ค.-มี.ค.'!E253+'ม.ค.-มี.ค.'!F253+'ม.ค.-มี.ค.'!H253+'ม.ค.-มี.ค.'!I253+'ม.ค.-มี.ค.'!K253+'ม.ค.-มี.ค.'!M253+'ม.ค.-มี.ค.'!N253+'ม.ค.-มี.ค.'!V253</f>
        <v>200000</v>
      </c>
      <c r="F253" s="177">
        <f>+'ต.ค.-มิ.ย. 61'!E253+'ต.ค.-มิ.ย. 61'!F253+'ต.ค.-มิ.ย. 61'!G253+'ต.ค.-มิ.ย. 61'!H253+'ต.ค.-มิ.ย. 61'!I253+'ต.ค.-มิ.ย. 61'!M253+'ต.ค.-มิ.ย. 61'!N253+'ต.ค.-มิ.ย. 61'!P253+'ต.ค.-มิ.ย. 61'!R253+'ต.ค.-มิ.ย. 61'!S253</f>
        <v>200000</v>
      </c>
      <c r="G253" s="177"/>
      <c r="H253" s="177"/>
      <c r="I253" s="208">
        <f t="shared" si="28"/>
        <v>204000</v>
      </c>
    </row>
    <row r="254" spans="1:13" ht="21.75" customHeight="1">
      <c r="A254" s="20"/>
      <c r="B254" s="186" t="s">
        <v>381</v>
      </c>
      <c r="C254" s="295">
        <v>204000</v>
      </c>
      <c r="D254" s="177"/>
      <c r="E254" s="177">
        <f>+'ม.ค.-มี.ค.'!E254+'ม.ค.-มี.ค.'!F254+'ม.ค.-มี.ค.'!H254+'ม.ค.-มี.ค.'!I254+'ม.ค.-มี.ค.'!K254+'ม.ค.-มี.ค.'!M254+'ม.ค.-มี.ค.'!N254+'ม.ค.-มี.ค.'!V254</f>
        <v>0</v>
      </c>
      <c r="F254" s="177">
        <f>+'ต.ค.-มิ.ย. 61'!E254+'ต.ค.-มิ.ย. 61'!F254+'ต.ค.-มิ.ย. 61'!G254+'ต.ค.-มิ.ย. 61'!H254+'ต.ค.-มิ.ย. 61'!I254+'ต.ค.-มิ.ย. 61'!M254+'ต.ค.-มิ.ย. 61'!N254+'ต.ค.-มิ.ย. 61'!P254+'ต.ค.-มิ.ย. 61'!R254+'ต.ค.-มิ.ย. 61'!S254</f>
        <v>204000</v>
      </c>
      <c r="G254" s="177"/>
      <c r="H254" s="177"/>
      <c r="I254" s="208">
        <f t="shared" si="28"/>
        <v>204000</v>
      </c>
    </row>
    <row r="255" spans="1:13" ht="21.75" customHeight="1">
      <c r="A255" s="20"/>
      <c r="B255" s="186" t="s">
        <v>344</v>
      </c>
      <c r="C255" s="295">
        <v>204000</v>
      </c>
      <c r="D255" s="177"/>
      <c r="E255" s="177">
        <f>+'ม.ค.-มี.ค.'!E255+'ม.ค.-มี.ค.'!F255+'ม.ค.-มี.ค.'!H255+'ม.ค.-มี.ค.'!I255+'ม.ค.-มี.ค.'!K255+'ม.ค.-มี.ค.'!M255+'ม.ค.-มี.ค.'!N255+'ม.ค.-มี.ค.'!V255</f>
        <v>0</v>
      </c>
      <c r="F255" s="177">
        <f>+'ต.ค.-มิ.ย. 61'!E255+'ต.ค.-มิ.ย. 61'!F255+'ต.ค.-มิ.ย. 61'!G255+'ต.ค.-มิ.ย. 61'!H255+'ต.ค.-มิ.ย. 61'!I255+'ต.ค.-มิ.ย. 61'!M255+'ต.ค.-มิ.ย. 61'!N255+'ต.ค.-มิ.ย. 61'!P255+'ต.ค.-มิ.ย. 61'!R255+'ต.ค.-มิ.ย. 61'!S255</f>
        <v>202000</v>
      </c>
      <c r="G255" s="177"/>
      <c r="H255" s="177"/>
      <c r="I255" s="208">
        <f t="shared" si="28"/>
        <v>204000</v>
      </c>
    </row>
    <row r="256" spans="1:13" ht="21.75" customHeight="1">
      <c r="A256" s="20"/>
      <c r="B256" s="186" t="s">
        <v>345</v>
      </c>
      <c r="C256" s="295">
        <v>217000</v>
      </c>
      <c r="D256" s="177"/>
      <c r="E256" s="177">
        <f>+'ม.ค.-มี.ค.'!E256+'ม.ค.-มี.ค.'!F256+'ม.ค.-มี.ค.'!H256+'ม.ค.-มี.ค.'!I256+'ม.ค.-มี.ค.'!K256+'ม.ค.-มี.ค.'!M256+'ม.ค.-มี.ค.'!N256+'ม.ค.-มี.ค.'!V256</f>
        <v>0</v>
      </c>
      <c r="F256" s="177">
        <f>+'ต.ค.-มิ.ย. 61'!E256+'ต.ค.-มิ.ย. 61'!F256+'ต.ค.-มิ.ย. 61'!G256+'ต.ค.-มิ.ย. 61'!H256+'ต.ค.-มิ.ย. 61'!I256+'ต.ค.-มิ.ย. 61'!M256+'ต.ค.-มิ.ย. 61'!N256+'ต.ค.-มิ.ย. 61'!P256+'ต.ค.-มิ.ย. 61'!R256+'ต.ค.-มิ.ย. 61'!S256</f>
        <v>216000</v>
      </c>
      <c r="G256" s="177"/>
      <c r="H256" s="177"/>
      <c r="I256" s="208">
        <f t="shared" si="28"/>
        <v>217000</v>
      </c>
    </row>
    <row r="257" spans="1:13" ht="21.75" customHeight="1">
      <c r="A257" s="20"/>
      <c r="B257" s="186" t="s">
        <v>346</v>
      </c>
      <c r="C257" s="295">
        <v>27000</v>
      </c>
      <c r="D257" s="177"/>
      <c r="E257" s="177">
        <f>+'ม.ค.-มี.ค.'!E257+'ม.ค.-มี.ค.'!F257+'ม.ค.-มี.ค.'!H257+'ม.ค.-มี.ค.'!I257+'ม.ค.-มี.ค.'!K257+'ม.ค.-มี.ค.'!M257+'ม.ค.-มี.ค.'!N257+'ม.ค.-มี.ค.'!V257</f>
        <v>0</v>
      </c>
      <c r="F257" s="177">
        <f>+'ต.ค.-มิ.ย. 61'!E257+'ต.ค.-มิ.ย. 61'!F257+'ต.ค.-มิ.ย. 61'!G257+'ต.ค.-มิ.ย. 61'!H257+'ต.ค.-มิ.ย. 61'!I257+'ต.ค.-มิ.ย. 61'!M257+'ต.ค.-มิ.ย. 61'!N257+'ต.ค.-มิ.ย. 61'!P257+'ต.ค.-มิ.ย. 61'!R257+'ต.ค.-มิ.ย. 61'!S257</f>
        <v>0</v>
      </c>
      <c r="G257" s="177"/>
      <c r="H257" s="177"/>
      <c r="I257" s="208">
        <f t="shared" si="28"/>
        <v>27000</v>
      </c>
    </row>
    <row r="258" spans="1:13" ht="21.75" customHeight="1">
      <c r="A258" s="20"/>
      <c r="B258" s="186" t="s">
        <v>347</v>
      </c>
      <c r="C258" s="295">
        <v>211000</v>
      </c>
      <c r="D258" s="177"/>
      <c r="E258" s="177">
        <f>+'ม.ค.-มี.ค.'!E258+'ม.ค.-มี.ค.'!F258+'ม.ค.-มี.ค.'!H258+'ม.ค.-มี.ค.'!I258+'ม.ค.-มี.ค.'!K258+'ม.ค.-มี.ค.'!M258+'ม.ค.-มี.ค.'!N258+'ม.ค.-มี.ค.'!V258</f>
        <v>0</v>
      </c>
      <c r="F258" s="177">
        <f>+'ต.ค.-มิ.ย. 61'!E258+'ต.ค.-มิ.ย. 61'!F258+'ต.ค.-มิ.ย. 61'!G258+'ต.ค.-มิ.ย. 61'!H258+'ต.ค.-มิ.ย. 61'!I258+'ต.ค.-มิ.ย. 61'!M258+'ต.ค.-มิ.ย. 61'!N258+'ต.ค.-มิ.ย. 61'!P258+'ต.ค.-มิ.ย. 61'!R258+'ต.ค.-มิ.ย. 61'!S258</f>
        <v>0</v>
      </c>
      <c r="G258" s="177"/>
      <c r="H258" s="177"/>
      <c r="I258" s="208">
        <f t="shared" si="28"/>
        <v>211000</v>
      </c>
    </row>
    <row r="259" spans="1:13" ht="21.75" customHeight="1">
      <c r="A259" s="20"/>
      <c r="B259" s="186" t="s">
        <v>348</v>
      </c>
      <c r="C259" s="295">
        <v>211000</v>
      </c>
      <c r="D259" s="177"/>
      <c r="E259" s="177">
        <f>+'ม.ค.-มี.ค.'!E259+'ม.ค.-มี.ค.'!F259+'ม.ค.-มี.ค.'!H259+'ม.ค.-มี.ค.'!I259+'ม.ค.-มี.ค.'!K259+'ม.ค.-มี.ค.'!M259+'ม.ค.-มี.ค.'!N259+'ม.ค.-มี.ค.'!V259</f>
        <v>210000</v>
      </c>
      <c r="F259" s="177">
        <f>+'ต.ค.-มิ.ย. 61'!E259+'ต.ค.-มิ.ย. 61'!F259+'ต.ค.-มิ.ย. 61'!G259+'ต.ค.-มิ.ย. 61'!H259+'ต.ค.-มิ.ย. 61'!I259+'ต.ค.-มิ.ย. 61'!M259+'ต.ค.-มิ.ย. 61'!N259+'ต.ค.-มิ.ย. 61'!P259+'ต.ค.-มิ.ย. 61'!R259+'ต.ค.-มิ.ย. 61'!S259</f>
        <v>210000</v>
      </c>
      <c r="G259" s="177"/>
      <c r="H259" s="177"/>
      <c r="I259" s="208">
        <f t="shared" si="28"/>
        <v>211000</v>
      </c>
    </row>
    <row r="260" spans="1:13" ht="21.75" customHeight="1">
      <c r="A260" s="20"/>
      <c r="B260" s="186" t="s">
        <v>349</v>
      </c>
      <c r="C260" s="296">
        <v>688700</v>
      </c>
      <c r="D260" s="177"/>
      <c r="E260" s="177">
        <f>+'ม.ค.-มี.ค.'!E260+'ม.ค.-มี.ค.'!F260+'ม.ค.-มี.ค.'!H260+'ม.ค.-มี.ค.'!I260+'ม.ค.-มี.ค.'!K260+'ม.ค.-มี.ค.'!M260+'ม.ค.-มี.ค.'!N260+'ม.ค.-มี.ค.'!V260</f>
        <v>0</v>
      </c>
      <c r="F260" s="177">
        <f>+'ต.ค.-มิ.ย. 61'!E260+'ต.ค.-มิ.ย. 61'!F260+'ต.ค.-มิ.ย. 61'!G260+'ต.ค.-มิ.ย. 61'!H260+'ต.ค.-มิ.ย. 61'!I260+'ต.ค.-มิ.ย. 61'!M260+'ต.ค.-มิ.ย. 61'!N260+'ต.ค.-มิ.ย. 61'!P260+'ต.ค.-มิ.ย. 61'!R260+'ต.ค.-มิ.ย. 61'!S260</f>
        <v>0</v>
      </c>
      <c r="G260" s="177"/>
      <c r="H260" s="177"/>
      <c r="I260" s="208">
        <f t="shared" si="28"/>
        <v>688700</v>
      </c>
    </row>
    <row r="261" spans="1:13" ht="21.75" customHeight="1">
      <c r="A261" s="20"/>
      <c r="B261" s="186" t="s">
        <v>350</v>
      </c>
      <c r="C261" s="297">
        <v>62000</v>
      </c>
      <c r="D261" s="222"/>
      <c r="E261" s="177">
        <f>+'ม.ค.-มี.ค.'!E261+'ม.ค.-มี.ค.'!F261+'ม.ค.-มี.ค.'!H261+'ม.ค.-มี.ค.'!I261+'ม.ค.-มี.ค.'!K261+'ม.ค.-มี.ค.'!M261+'ม.ค.-มี.ค.'!N261+'ม.ค.-มี.ค.'!V261</f>
        <v>0</v>
      </c>
      <c r="F261" s="177">
        <f>+'ต.ค.-มิ.ย. 61'!E261+'ต.ค.-มิ.ย. 61'!F261+'ต.ค.-มิ.ย. 61'!G261+'ต.ค.-มิ.ย. 61'!H261+'ต.ค.-มิ.ย. 61'!I261+'ต.ค.-มิ.ย. 61'!M261+'ต.ค.-มิ.ย. 61'!N261+'ต.ค.-มิ.ย. 61'!P261+'ต.ค.-มิ.ย. 61'!R261+'ต.ค.-มิ.ย. 61'!S261</f>
        <v>0</v>
      </c>
      <c r="G261" s="222"/>
      <c r="H261" s="177"/>
      <c r="I261" s="208">
        <f t="shared" si="28"/>
        <v>62000</v>
      </c>
    </row>
    <row r="262" spans="1:13" s="221" customFormat="1" ht="21.75" customHeight="1" thickBot="1">
      <c r="A262" s="24"/>
      <c r="B262" s="45" t="s">
        <v>5</v>
      </c>
      <c r="C262" s="170">
        <f>SUM(C227:C261)</f>
        <v>2383100</v>
      </c>
      <c r="D262" s="170">
        <f t="shared" ref="D262:I262" si="29">SUM(D251:D261)</f>
        <v>0</v>
      </c>
      <c r="E262" s="170">
        <f t="shared" si="29"/>
        <v>410000</v>
      </c>
      <c r="F262" s="170">
        <f t="shared" si="29"/>
        <v>1032000</v>
      </c>
      <c r="G262" s="170">
        <f t="shared" si="29"/>
        <v>0</v>
      </c>
      <c r="H262" s="170">
        <f t="shared" si="29"/>
        <v>0</v>
      </c>
      <c r="I262" s="367">
        <f t="shared" si="29"/>
        <v>2202000</v>
      </c>
      <c r="J262" s="233"/>
      <c r="K262" s="329"/>
      <c r="L262" s="330"/>
      <c r="M262" s="330"/>
    </row>
    <row r="263" spans="1:13" ht="21.75" customHeight="1" thickTop="1">
      <c r="A263" s="50" t="s">
        <v>149</v>
      </c>
      <c r="B263" s="4"/>
      <c r="C263" s="193"/>
      <c r="D263" s="369"/>
      <c r="E263" s="369"/>
      <c r="F263" s="231"/>
      <c r="G263" s="231"/>
      <c r="H263" s="231"/>
      <c r="I263" s="362"/>
    </row>
    <row r="264" spans="1:13" ht="21.75" customHeight="1">
      <c r="A264" s="9"/>
      <c r="B264" s="186"/>
      <c r="C264" s="296"/>
      <c r="D264" s="177"/>
      <c r="E264" s="177"/>
      <c r="F264" s="177"/>
      <c r="G264" s="177"/>
      <c r="H264" s="177"/>
      <c r="I264" s="208"/>
    </row>
    <row r="265" spans="1:13" ht="21.75" customHeight="1">
      <c r="A265" s="9"/>
      <c r="B265" s="186"/>
      <c r="C265" s="296"/>
      <c r="D265" s="177"/>
      <c r="E265" s="177"/>
      <c r="F265" s="177"/>
      <c r="G265" s="177"/>
      <c r="H265" s="177"/>
      <c r="I265" s="208"/>
    </row>
    <row r="266" spans="1:13" ht="21.75" customHeight="1">
      <c r="A266" s="9"/>
      <c r="B266" s="186"/>
      <c r="C266" s="296"/>
      <c r="D266" s="177"/>
      <c r="E266" s="177"/>
      <c r="F266" s="177"/>
      <c r="G266" s="177"/>
      <c r="H266" s="177"/>
      <c r="I266" s="208"/>
    </row>
    <row r="267" spans="1:13" ht="21.75" customHeight="1">
      <c r="A267" s="9"/>
      <c r="B267" s="186"/>
      <c r="C267" s="296"/>
      <c r="D267" s="177"/>
      <c r="E267" s="177"/>
      <c r="F267" s="177"/>
      <c r="G267" s="177"/>
      <c r="H267" s="177"/>
      <c r="I267" s="208"/>
    </row>
    <row r="268" spans="1:13" s="172" customFormat="1" ht="21.75" customHeight="1">
      <c r="A268" s="9"/>
      <c r="B268" s="186"/>
      <c r="C268" s="296"/>
      <c r="D268" s="177"/>
      <c r="E268" s="177"/>
      <c r="F268" s="177"/>
      <c r="G268" s="199"/>
      <c r="H268" s="177"/>
      <c r="I268" s="208"/>
      <c r="J268" s="233"/>
      <c r="K268" s="331"/>
      <c r="L268" s="330"/>
      <c r="M268" s="330"/>
    </row>
    <row r="269" spans="1:13" ht="21.75" customHeight="1">
      <c r="A269" s="9"/>
      <c r="B269" s="186"/>
      <c r="C269" s="296"/>
      <c r="D269" s="177"/>
      <c r="E269" s="177"/>
      <c r="F269" s="177"/>
      <c r="G269" s="180"/>
      <c r="H269" s="177"/>
      <c r="I269" s="208"/>
    </row>
    <row r="270" spans="1:13" ht="21.75" customHeight="1">
      <c r="A270" s="9"/>
      <c r="B270" s="186"/>
      <c r="C270" s="296"/>
      <c r="D270" s="177"/>
      <c r="E270" s="177"/>
      <c r="F270" s="177"/>
      <c r="G270" s="177"/>
      <c r="H270" s="177"/>
      <c r="I270" s="208"/>
      <c r="J270" s="242"/>
    </row>
    <row r="271" spans="1:13" ht="21.75" customHeight="1">
      <c r="A271" s="9"/>
      <c r="B271" s="186"/>
      <c r="C271" s="296"/>
      <c r="D271" s="177"/>
      <c r="E271" s="177"/>
      <c r="F271" s="177"/>
      <c r="G271" s="177"/>
      <c r="H271" s="177"/>
      <c r="I271" s="208"/>
    </row>
    <row r="272" spans="1:13" s="221" customFormat="1" ht="21.75" customHeight="1" thickBot="1">
      <c r="A272" s="15"/>
      <c r="B272" s="14" t="s">
        <v>5</v>
      </c>
      <c r="C272" s="170">
        <f>SUM(C264:C271)</f>
        <v>0</v>
      </c>
      <c r="D272" s="26">
        <f t="shared" ref="D272:I272" si="30">SUM(D264:D271)</f>
        <v>0</v>
      </c>
      <c r="E272" s="26">
        <f t="shared" si="30"/>
        <v>0</v>
      </c>
      <c r="F272" s="26">
        <f>SUM(F264:F271)</f>
        <v>0</v>
      </c>
      <c r="G272" s="26">
        <f t="shared" si="30"/>
        <v>0</v>
      </c>
      <c r="H272" s="26">
        <f>SUM(H264:H271)</f>
        <v>0</v>
      </c>
      <c r="I272" s="139">
        <f t="shared" si="30"/>
        <v>0</v>
      </c>
      <c r="J272" s="233"/>
      <c r="K272" s="329"/>
      <c r="L272" s="330"/>
      <c r="M272" s="330"/>
    </row>
    <row r="273" spans="1:13" ht="21.75" customHeight="1" thickTop="1">
      <c r="A273" s="20" t="s">
        <v>24</v>
      </c>
      <c r="B273" s="23"/>
      <c r="C273" s="190"/>
      <c r="D273" s="177"/>
      <c r="E273" s="177"/>
      <c r="F273" s="177"/>
      <c r="G273" s="177"/>
      <c r="H273" s="177"/>
      <c r="I273" s="208"/>
    </row>
    <row r="274" spans="1:13" ht="21.75" customHeight="1">
      <c r="A274" s="20"/>
      <c r="B274" s="130" t="s">
        <v>406</v>
      </c>
      <c r="C274" s="192">
        <v>121500</v>
      </c>
      <c r="D274" s="177"/>
      <c r="E274" s="177">
        <f>+'ม.ค.-มี.ค.'!D274</f>
        <v>121500</v>
      </c>
      <c r="F274" s="177"/>
      <c r="G274" s="177"/>
      <c r="H274" s="177">
        <f>SUM(D274:G274)</f>
        <v>121500</v>
      </c>
      <c r="I274" s="208">
        <f>+C274-H274</f>
        <v>0</v>
      </c>
    </row>
    <row r="275" spans="1:13" ht="21.75" customHeight="1">
      <c r="A275" s="20"/>
      <c r="B275" s="130" t="s">
        <v>405</v>
      </c>
      <c r="C275" s="192">
        <v>105000</v>
      </c>
      <c r="D275" s="177"/>
      <c r="E275" s="177">
        <f>+'ม.ค.-มี.ค.'!D275</f>
        <v>105000</v>
      </c>
      <c r="F275" s="177"/>
      <c r="G275" s="177"/>
      <c r="H275" s="177">
        <f>SUM(D275:G275)</f>
        <v>105000</v>
      </c>
      <c r="I275" s="208">
        <f>+C275-H275</f>
        <v>0</v>
      </c>
    </row>
    <row r="276" spans="1:13" ht="21.75" customHeight="1" thickBot="1">
      <c r="A276" s="15"/>
      <c r="B276" s="14" t="s">
        <v>5</v>
      </c>
      <c r="C276" s="298">
        <f>SUM(C274:C275)</f>
        <v>226500</v>
      </c>
      <c r="D276" s="189">
        <f>SUM(D274:D275)</f>
        <v>0</v>
      </c>
      <c r="E276" s="189">
        <f>SUM(E274:E275)</f>
        <v>226500</v>
      </c>
      <c r="F276" s="189">
        <f>SUM(F274:F274)</f>
        <v>0</v>
      </c>
      <c r="G276" s="189">
        <f>SUM(G274:G274)</f>
        <v>0</v>
      </c>
      <c r="H276" s="189">
        <f>SUM(H274:H275)</f>
        <v>226500</v>
      </c>
      <c r="I276" s="200">
        <f>SUM(I274:I275)</f>
        <v>0</v>
      </c>
    </row>
    <row r="277" spans="1:13" s="172" customFormat="1" ht="21" customHeight="1" thickTop="1">
      <c r="A277" s="20" t="s">
        <v>44</v>
      </c>
      <c r="B277" s="23"/>
      <c r="C277" s="193"/>
      <c r="D277" s="204"/>
      <c r="E277" s="204"/>
      <c r="F277" s="204"/>
      <c r="G277" s="204"/>
      <c r="H277" s="204"/>
      <c r="I277" s="211"/>
      <c r="J277" s="233"/>
      <c r="K277" s="329"/>
      <c r="L277" s="330"/>
      <c r="M277" s="330"/>
    </row>
    <row r="278" spans="1:13" ht="24" customHeight="1">
      <c r="A278" s="20"/>
      <c r="B278" s="185" t="s">
        <v>420</v>
      </c>
      <c r="C278" s="192">
        <v>20000</v>
      </c>
      <c r="D278" s="180"/>
      <c r="E278" s="180"/>
      <c r="F278" s="177"/>
      <c r="G278" s="180"/>
      <c r="H278" s="180"/>
      <c r="I278" s="215"/>
    </row>
    <row r="279" spans="1:13" ht="24" customHeight="1">
      <c r="A279" s="20"/>
      <c r="B279" s="185" t="s">
        <v>435</v>
      </c>
      <c r="C279" s="190">
        <v>10000</v>
      </c>
      <c r="D279" s="180"/>
      <c r="E279" s="180"/>
      <c r="F279" s="177"/>
      <c r="G279" s="180"/>
      <c r="H279" s="180"/>
      <c r="I279" s="215"/>
    </row>
    <row r="280" spans="1:13" ht="24" customHeight="1">
      <c r="A280" s="20"/>
      <c r="B280" s="602" t="s">
        <v>443</v>
      </c>
      <c r="C280" s="190">
        <v>40400</v>
      </c>
      <c r="D280" s="180"/>
      <c r="E280" s="180"/>
      <c r="F280" s="177"/>
      <c r="G280" s="180"/>
      <c r="H280" s="180"/>
      <c r="I280" s="215"/>
    </row>
    <row r="281" spans="1:13" ht="24" customHeight="1">
      <c r="A281" s="20"/>
      <c r="B281" s="185" t="s">
        <v>444</v>
      </c>
      <c r="C281" s="216">
        <v>10000</v>
      </c>
      <c r="D281" s="180"/>
      <c r="E281" s="180"/>
      <c r="F281" s="177"/>
      <c r="G281" s="180"/>
      <c r="H281" s="180"/>
      <c r="I281" s="215"/>
    </row>
    <row r="282" spans="1:13" ht="24" customHeight="1">
      <c r="A282" s="20"/>
      <c r="B282" s="185"/>
      <c r="C282" s="216"/>
      <c r="D282" s="180"/>
      <c r="E282" s="180"/>
      <c r="F282" s="177"/>
      <c r="G282" s="180"/>
      <c r="H282" s="180"/>
      <c r="I282" s="215"/>
    </row>
    <row r="283" spans="1:13" ht="24" customHeight="1">
      <c r="A283" s="20"/>
      <c r="B283" s="185" t="s">
        <v>445</v>
      </c>
      <c r="C283" s="216">
        <v>10000</v>
      </c>
      <c r="D283" s="180"/>
      <c r="E283" s="180"/>
      <c r="F283" s="177"/>
      <c r="G283" s="180"/>
      <c r="H283" s="180"/>
      <c r="I283" s="215"/>
    </row>
    <row r="284" spans="1:13" ht="24" customHeight="1">
      <c r="A284" s="20"/>
      <c r="B284" s="23" t="s">
        <v>446</v>
      </c>
      <c r="C284" s="290">
        <v>40000</v>
      </c>
      <c r="D284" s="177"/>
      <c r="E284" s="177"/>
      <c r="F284" s="177"/>
      <c r="G284" s="177"/>
      <c r="H284" s="177"/>
      <c r="I284" s="208"/>
    </row>
    <row r="285" spans="1:13" s="221" customFormat="1" ht="24" customHeight="1" thickBot="1">
      <c r="A285" s="15"/>
      <c r="B285" s="53" t="s">
        <v>5</v>
      </c>
      <c r="C285" s="105">
        <f>SUM(C278:C284)</f>
        <v>130400</v>
      </c>
      <c r="D285" s="105">
        <f t="shared" ref="D285:I285" si="31">SUM(D278:D284)</f>
        <v>0</v>
      </c>
      <c r="E285" s="105">
        <f t="shared" si="31"/>
        <v>0</v>
      </c>
      <c r="F285" s="105">
        <f t="shared" si="31"/>
        <v>0</v>
      </c>
      <c r="G285" s="105">
        <f t="shared" si="31"/>
        <v>0</v>
      </c>
      <c r="H285" s="105">
        <f t="shared" si="31"/>
        <v>0</v>
      </c>
      <c r="I285" s="39">
        <f t="shared" si="31"/>
        <v>0</v>
      </c>
      <c r="J285" s="233"/>
      <c r="K285" s="329"/>
      <c r="L285" s="330"/>
      <c r="M285" s="330"/>
    </row>
    <row r="286" spans="1:13" ht="24" customHeight="1" thickTop="1">
      <c r="A286" s="20" t="s">
        <v>276</v>
      </c>
      <c r="B286" s="23"/>
      <c r="C286" s="193"/>
      <c r="D286" s="177"/>
      <c r="E286" s="177"/>
      <c r="F286" s="177"/>
      <c r="G286" s="177"/>
      <c r="H286" s="177"/>
      <c r="I286" s="208"/>
    </row>
    <row r="287" spans="1:13" ht="24" customHeight="1">
      <c r="A287" s="20"/>
      <c r="B287" s="185" t="s">
        <v>226</v>
      </c>
      <c r="C287" s="192">
        <f>+'ต.ค. '!E284+'ต.ค. '!F284+'ต.ค. '!H284+'ต.ค. '!M284</f>
        <v>37500</v>
      </c>
      <c r="D287" s="177">
        <f>+'ต.ค.-ธ.ค.'!E283+'ต.ค.-ธ.ค.'!F283+'ต.ค.-ธ.ค.'!H283+'ต.ค.-ธ.ค.'!I283+'ต.ค.-ธ.ค.'!M283+'ต.ค.-ธ.ค.'!Q283</f>
        <v>236250</v>
      </c>
      <c r="E287" s="177">
        <f>+'ม.ค.-มี.ค.'!E282+'ม.ค.-มี.ค.'!F282+'ม.ค.-มี.ค.'!H282+'ม.ค.-มี.ค.'!I282+'ม.ค.-มี.ค.'!K282+'ม.ค.-มี.ค.'!M282+'ม.ค.-มี.ค.'!N282+'ม.ค.-มี.ค.'!V282</f>
        <v>0</v>
      </c>
      <c r="F287" s="177"/>
      <c r="G287" s="177"/>
      <c r="H287" s="177"/>
      <c r="I287" s="208"/>
    </row>
    <row r="288" spans="1:13" ht="24" customHeight="1">
      <c r="A288" s="20"/>
      <c r="B288" s="185" t="s">
        <v>233</v>
      </c>
      <c r="C288" s="299">
        <v>7500</v>
      </c>
      <c r="D288" s="177">
        <f>+'ต.ค.-ธ.ค.'!E284+'ต.ค.-ธ.ค.'!F284+'ต.ค.-ธ.ค.'!H284+'ต.ค.-ธ.ค.'!I284+'ต.ค.-ธ.ค.'!M284+'ต.ค.-ธ.ค.'!Q284</f>
        <v>7500</v>
      </c>
      <c r="E288" s="177">
        <f>+'ม.ค.-มี.ค.'!E283+'ม.ค.-มี.ค.'!F283+'ม.ค.-มี.ค.'!H283+'ม.ค.-มี.ค.'!I283+'ม.ค.-มี.ค.'!K283+'ม.ค.-มี.ค.'!M283+'ม.ค.-มี.ค.'!N283+'ม.ค.-มี.ค.'!V283</f>
        <v>0</v>
      </c>
      <c r="F288" s="177"/>
      <c r="G288" s="177"/>
      <c r="H288" s="177"/>
      <c r="I288" s="208"/>
    </row>
    <row r="289" spans="1:13" ht="24" customHeight="1">
      <c r="A289" s="20"/>
      <c r="B289" s="274" t="s">
        <v>378</v>
      </c>
      <c r="C289" s="299">
        <v>37500</v>
      </c>
      <c r="D289" s="177">
        <f>+'ต.ค.-ธ.ค.'!E285+'ต.ค.-ธ.ค.'!F285+'ต.ค.-ธ.ค.'!H285+'ต.ค.-ธ.ค.'!I285+'ต.ค.-ธ.ค.'!M285+'ต.ค.-ธ.ค.'!Q285</f>
        <v>37500</v>
      </c>
      <c r="E289" s="177">
        <f>+'ม.ค.-มี.ค.'!E284+'ม.ค.-มี.ค.'!F284+'ม.ค.-มี.ค.'!H284+'ม.ค.-มี.ค.'!I284+'ม.ค.-มี.ค.'!K284+'ม.ค.-มี.ค.'!M284+'ม.ค.-มี.ค.'!N284+'ม.ค.-มี.ค.'!V284</f>
        <v>0</v>
      </c>
      <c r="F289" s="177"/>
      <c r="G289" s="177"/>
      <c r="H289" s="177"/>
      <c r="I289" s="208"/>
    </row>
    <row r="290" spans="1:13" ht="24" customHeight="1">
      <c r="A290" s="20"/>
      <c r="B290" s="185" t="s">
        <v>379</v>
      </c>
      <c r="C290" s="299">
        <v>10000</v>
      </c>
      <c r="D290" s="177">
        <f>+'ต.ค.-ธ.ค.'!E286+'ต.ค.-ธ.ค.'!F286+'ต.ค.-ธ.ค.'!H286+'ต.ค.-ธ.ค.'!I286+'ต.ค.-ธ.ค.'!M286+'ต.ค.-ธ.ค.'!Q286</f>
        <v>10000</v>
      </c>
      <c r="E290" s="177">
        <f>+'ม.ค.-มี.ค.'!E285+'ม.ค.-มี.ค.'!F285+'ม.ค.-มี.ค.'!H285+'ม.ค.-มี.ค.'!I285+'ม.ค.-มี.ค.'!K285+'ม.ค.-มี.ค.'!M285+'ม.ค.-มี.ค.'!N285+'ม.ค.-มี.ค.'!V285</f>
        <v>0</v>
      </c>
      <c r="F290" s="177"/>
      <c r="G290" s="177"/>
      <c r="H290" s="177"/>
      <c r="I290" s="208"/>
    </row>
    <row r="291" spans="1:13" ht="24" customHeight="1">
      <c r="A291" s="20"/>
      <c r="B291" s="185" t="s">
        <v>382</v>
      </c>
      <c r="C291" s="299">
        <v>1950</v>
      </c>
      <c r="D291" s="177">
        <f>+'ต.ค.-ธ.ค.'!E287+'ต.ค.-ธ.ค.'!F287+'ต.ค.-ธ.ค.'!H287+'ต.ค.-ธ.ค.'!I287+'ต.ค.-ธ.ค.'!M287+'ต.ค.-ธ.ค.'!Q287</f>
        <v>1950</v>
      </c>
      <c r="E291" s="177">
        <f>+'ม.ค.-มี.ค.'!E286+'ม.ค.-มี.ค.'!F286+'ม.ค.-มี.ค.'!H286+'ม.ค.-มี.ค.'!I286+'ม.ค.-มี.ค.'!K286+'ม.ค.-มี.ค.'!M286+'ม.ค.-มี.ค.'!N286+'ม.ค.-มี.ค.'!V286</f>
        <v>0</v>
      </c>
      <c r="F291" s="177"/>
      <c r="G291" s="177"/>
      <c r="H291" s="177"/>
      <c r="I291" s="208"/>
      <c r="J291" s="243"/>
    </row>
    <row r="292" spans="1:13" ht="24" customHeight="1">
      <c r="A292" s="20"/>
      <c r="B292" s="185" t="s">
        <v>380</v>
      </c>
      <c r="C292" s="299">
        <v>4550</v>
      </c>
      <c r="D292" s="177">
        <f>+'ต.ค.-ธ.ค.'!E288+'ต.ค.-ธ.ค.'!F288+'ต.ค.-ธ.ค.'!H288+'ต.ค.-ธ.ค.'!I288+'ต.ค.-ธ.ค.'!M288+'ต.ค.-ธ.ค.'!Q288</f>
        <v>13125</v>
      </c>
      <c r="E292" s="177">
        <f>+'ม.ค.-มี.ค.'!E287+'ม.ค.-มี.ค.'!F287+'ม.ค.-มี.ค.'!H287+'ม.ค.-มี.ค.'!I287+'ม.ค.-มี.ค.'!K287+'ม.ค.-มี.ค.'!M287+'ม.ค.-มี.ค.'!N287+'ม.ค.-มี.ค.'!V287</f>
        <v>0</v>
      </c>
      <c r="F292" s="177"/>
      <c r="G292" s="177"/>
      <c r="H292" s="177"/>
      <c r="I292" s="208"/>
      <c r="J292" s="243"/>
    </row>
    <row r="293" spans="1:13" ht="24" customHeight="1">
      <c r="A293" s="20"/>
      <c r="B293" s="185" t="s">
        <v>386</v>
      </c>
      <c r="C293" s="192">
        <v>409940.96</v>
      </c>
      <c r="D293" s="177">
        <f>+'ต.ค.-ธ.ค.'!E289+'ต.ค.-ธ.ค.'!F289+'ต.ค.-ธ.ค.'!H289+'ต.ค.-ธ.ค.'!I289+'ต.ค.-ธ.ค.'!M289+'ต.ค.-ธ.ค.'!Q289</f>
        <v>409940.96</v>
      </c>
      <c r="E293" s="177">
        <f>+'ม.ค.-มี.ค.'!E288+'ม.ค.-มี.ค.'!F288+'ม.ค.-มี.ค.'!H288+'ม.ค.-มี.ค.'!I288+'ม.ค.-มี.ค.'!K288+'ม.ค.-มี.ค.'!M288+'ม.ค.-มี.ค.'!N288+'ม.ค.-มี.ค.'!V288</f>
        <v>0</v>
      </c>
      <c r="F293" s="177"/>
      <c r="G293" s="177"/>
      <c r="H293" s="177"/>
      <c r="I293" s="208"/>
      <c r="J293" s="243"/>
    </row>
    <row r="294" spans="1:13" ht="24" customHeight="1">
      <c r="A294" s="20"/>
      <c r="B294" s="185" t="s">
        <v>387</v>
      </c>
      <c r="C294" s="192">
        <v>40000</v>
      </c>
      <c r="D294" s="177">
        <f>+'ต.ค.-ธ.ค.'!E290+'ต.ค.-ธ.ค.'!F290+'ต.ค.-ธ.ค.'!H290+'ต.ค.-ธ.ค.'!I290+'ต.ค.-ธ.ค.'!M290+'ต.ค.-ธ.ค.'!Q290</f>
        <v>40000</v>
      </c>
      <c r="E294" s="177">
        <f>+'ม.ค.-มี.ค.'!E289+'ม.ค.-มี.ค.'!F289+'ม.ค.-มี.ค.'!H289+'ม.ค.-มี.ค.'!I289+'ม.ค.-มี.ค.'!K289+'ม.ค.-มี.ค.'!M289+'ม.ค.-มี.ค.'!N289+'ม.ค.-มี.ค.'!V289</f>
        <v>0</v>
      </c>
      <c r="F294" s="177"/>
      <c r="G294" s="177"/>
      <c r="H294" s="177"/>
      <c r="I294" s="208"/>
      <c r="J294" s="243"/>
    </row>
    <row r="295" spans="1:13" ht="24" customHeight="1">
      <c r="A295" s="20"/>
      <c r="B295" s="347" t="s">
        <v>409</v>
      </c>
      <c r="C295" s="192">
        <v>175000</v>
      </c>
      <c r="D295" s="349"/>
      <c r="E295" s="177">
        <f>+'ม.ค.-มี.ค.'!E290+'ม.ค.-มี.ค.'!F290+'ม.ค.-มี.ค.'!H290+'ม.ค.-มี.ค.'!I290+'ม.ค.-มี.ค.'!K290+'ม.ค.-มี.ค.'!M290+'ม.ค.-มี.ค.'!N290+'ม.ค.-มี.ค.'!V290</f>
        <v>174000</v>
      </c>
      <c r="F295" s="349"/>
      <c r="G295" s="349"/>
      <c r="H295" s="349"/>
      <c r="I295" s="208"/>
      <c r="J295" s="243"/>
    </row>
    <row r="296" spans="1:13" ht="24" customHeight="1">
      <c r="A296" s="20"/>
      <c r="B296" s="348"/>
      <c r="C296" s="350"/>
      <c r="D296" s="351"/>
      <c r="E296" s="351"/>
      <c r="F296" s="351"/>
      <c r="G296" s="351"/>
      <c r="H296" s="351"/>
      <c r="I296" s="209"/>
      <c r="J296" s="243"/>
    </row>
    <row r="297" spans="1:13" ht="25.5" customHeight="1" thickBot="1">
      <c r="A297" s="15"/>
      <c r="B297" s="53" t="s">
        <v>5</v>
      </c>
      <c r="C297" s="105">
        <f>SUM(C287:C296)</f>
        <v>723940.96</v>
      </c>
      <c r="D297" s="105">
        <f t="shared" ref="D297:I297" si="32">SUM(D287:D296)</f>
        <v>756265.96</v>
      </c>
      <c r="E297" s="105">
        <f t="shared" si="32"/>
        <v>174000</v>
      </c>
      <c r="F297" s="105">
        <f t="shared" si="32"/>
        <v>0</v>
      </c>
      <c r="G297" s="105">
        <f t="shared" si="32"/>
        <v>0</v>
      </c>
      <c r="H297" s="105">
        <f>SUM(H287:H296)</f>
        <v>0</v>
      </c>
      <c r="I297" s="39">
        <f t="shared" si="32"/>
        <v>0</v>
      </c>
      <c r="J297" s="370"/>
      <c r="K297" s="331"/>
      <c r="L297" s="247"/>
      <c r="M297" s="247"/>
    </row>
    <row r="298" spans="1:13" ht="25.5" customHeight="1" thickTop="1" thickBot="1">
      <c r="A298" s="16"/>
      <c r="B298" s="52" t="s">
        <v>49</v>
      </c>
      <c r="C298" s="229">
        <f>+C272+C262+C221+C210+C204++C49+C39+C21+C176+C28+C224</f>
        <v>39148280</v>
      </c>
      <c r="D298" s="229">
        <f>+D272+D262+D221+D210+D204++D49+D39+D21+D176+D28+D224+D249+D245+D242+D235</f>
        <v>8114439.4499999993</v>
      </c>
      <c r="E298" s="229">
        <f>+E272+E262+E221+E210+E204++E49+E39+E21+E176+E28+E224+E249+E245+E242+E235</f>
        <v>9074602.6699999999</v>
      </c>
      <c r="F298" s="229">
        <f>+F272+F262+F221+F210+F204++F49+F39+F21+F176+F28+F224+F249+F245+F242+F235</f>
        <v>26688618.82</v>
      </c>
      <c r="G298" s="229">
        <f>+G272+G262+G221+G210+G204++G49+G39+G21+G176+G28+G224+G249+G245+G242+G235</f>
        <v>0</v>
      </c>
      <c r="H298" s="229">
        <f>+D298+E298+F298+G298</f>
        <v>43877660.939999998</v>
      </c>
      <c r="I298" s="51">
        <f>+C298-H298</f>
        <v>-4729380.9399999976</v>
      </c>
      <c r="J298" s="243"/>
      <c r="K298" s="331"/>
      <c r="L298" s="247"/>
      <c r="M298" s="247"/>
    </row>
    <row r="299" spans="1:13" ht="25.5" customHeight="1" thickTop="1" thickBot="1">
      <c r="A299" s="16"/>
      <c r="B299" s="41" t="s">
        <v>25</v>
      </c>
      <c r="C299" s="260">
        <f>+C297+C285+C276+C272+C262+C224+C221+C210+C176+C49+C28+C21+C39++C204</f>
        <v>40229120.960000001</v>
      </c>
      <c r="D299" s="260">
        <f>+D297+D285+D276+D272+D262+D224+D221+D210+D176+D49+D28+D21+D39++D204+D249+D245+D242+D235</f>
        <v>8870705.4100000001</v>
      </c>
      <c r="E299" s="260">
        <f>+E297+E285+E276+E272+E262+E224+E221+E210+E176+E49+E28+E21+E39++E204+E249+E245+E242+E235</f>
        <v>9475102.6699999999</v>
      </c>
      <c r="F299" s="260">
        <f>+F297+F285+F276+F272+F262+F224+F221+F210+F176+F49+F28+F21+F39++F204+F249+F245+F242+F235</f>
        <v>26688618.82</v>
      </c>
      <c r="G299" s="260">
        <f>+G297+G285+G276+G272+G262+G224+G221+G210+G176+G49+G28+G21+G39++G204+G249+G245+G242+G235</f>
        <v>0</v>
      </c>
      <c r="H299" s="260">
        <f>SUM(D299:G299)</f>
        <v>45034426.899999999</v>
      </c>
      <c r="I299" s="309">
        <f>+C299-H299</f>
        <v>-4805305.9399999976</v>
      </c>
      <c r="J299" s="374"/>
      <c r="K299" s="331"/>
      <c r="L299" s="338"/>
      <c r="M299" s="247"/>
    </row>
    <row r="300" spans="1:13" ht="30" customHeight="1" thickTop="1">
      <c r="B300" s="246" t="s">
        <v>273</v>
      </c>
      <c r="D300" s="60"/>
      <c r="E300" s="60"/>
      <c r="F300" s="60"/>
      <c r="G300" s="60"/>
      <c r="H300" s="60"/>
      <c r="I300" s="213"/>
      <c r="J300" s="243"/>
      <c r="K300" s="331"/>
      <c r="L300" s="247"/>
      <c r="M300" s="247"/>
    </row>
    <row r="301" spans="1:13" ht="15" customHeight="1">
      <c r="D301" s="60"/>
      <c r="E301" s="60"/>
      <c r="F301" s="60"/>
      <c r="G301" s="60"/>
      <c r="H301" s="60"/>
      <c r="I301" s="213"/>
      <c r="J301" s="243"/>
      <c r="K301" s="331"/>
      <c r="L301" s="247"/>
      <c r="M301" s="247"/>
    </row>
    <row r="302" spans="1:13" ht="15" customHeight="1">
      <c r="D302" s="60"/>
      <c r="E302" s="60"/>
      <c r="F302" s="60"/>
      <c r="G302" s="60"/>
      <c r="H302" s="60"/>
      <c r="I302" s="213"/>
      <c r="J302" s="243"/>
    </row>
    <row r="303" spans="1:13" ht="22.5" customHeight="1">
      <c r="B303" s="253">
        <f>39148280-C298</f>
        <v>0</v>
      </c>
      <c r="D303" s="60"/>
      <c r="E303" s="60"/>
      <c r="F303" s="60"/>
      <c r="G303" s="60"/>
      <c r="H303" s="60"/>
      <c r="I303" s="213"/>
    </row>
    <row r="304" spans="1:13" ht="15" customHeight="1">
      <c r="D304" s="60"/>
      <c r="E304" s="60"/>
      <c r="F304" s="60"/>
      <c r="G304" s="60"/>
      <c r="H304" s="60"/>
      <c r="I304" s="213"/>
    </row>
    <row r="305" spans="4:9" ht="15" customHeight="1">
      <c r="D305" s="60"/>
      <c r="E305" s="60"/>
      <c r="F305" s="60"/>
      <c r="G305" s="60"/>
      <c r="H305" s="60"/>
      <c r="I305" s="213"/>
    </row>
    <row r="306" spans="4:9" ht="15" customHeight="1">
      <c r="D306" s="60"/>
      <c r="E306" s="60"/>
      <c r="F306" s="60"/>
      <c r="G306" s="60"/>
      <c r="H306" s="60"/>
      <c r="I306" s="213"/>
    </row>
    <row r="307" spans="4:9" ht="27.75" customHeight="1">
      <c r="D307" s="60"/>
      <c r="E307" s="60"/>
      <c r="F307" s="60"/>
      <c r="G307" s="60"/>
      <c r="H307" s="60"/>
      <c r="I307" s="213"/>
    </row>
    <row r="308" spans="4:9" ht="15" customHeight="1">
      <c r="D308" s="60"/>
      <c r="E308" s="60"/>
      <c r="F308" s="60"/>
      <c r="G308" s="60"/>
      <c r="H308" s="60"/>
      <c r="I308" s="213"/>
    </row>
    <row r="309" spans="4:9" ht="15" customHeight="1">
      <c r="D309" s="60"/>
      <c r="E309" s="60"/>
      <c r="F309" s="60"/>
      <c r="G309" s="60"/>
      <c r="H309" s="60"/>
      <c r="I309" s="213"/>
    </row>
    <row r="310" spans="4:9" ht="15" customHeight="1">
      <c r="D310" s="60"/>
      <c r="E310" s="60"/>
      <c r="F310" s="60"/>
      <c r="G310" s="60"/>
      <c r="H310" s="60"/>
      <c r="I310" s="213"/>
    </row>
    <row r="311" spans="4:9" ht="15" customHeight="1">
      <c r="D311" s="60"/>
      <c r="E311" s="60"/>
      <c r="F311" s="60"/>
      <c r="G311" s="60"/>
      <c r="H311" s="60"/>
      <c r="I311" s="213"/>
    </row>
    <row r="312" spans="4:9" ht="15" customHeight="1">
      <c r="D312" s="60"/>
      <c r="E312" s="60"/>
      <c r="F312" s="60"/>
      <c r="G312" s="60"/>
      <c r="H312" s="60"/>
      <c r="I312" s="213"/>
    </row>
    <row r="313" spans="4:9" ht="15" customHeight="1">
      <c r="D313" s="60"/>
      <c r="E313" s="60"/>
      <c r="F313" s="60"/>
      <c r="G313" s="60"/>
      <c r="H313" s="60"/>
      <c r="I313" s="213"/>
    </row>
    <row r="314" spans="4:9" ht="15" customHeight="1">
      <c r="D314" s="60"/>
      <c r="E314" s="60"/>
      <c r="F314" s="60"/>
      <c r="G314" s="60"/>
      <c r="H314" s="60"/>
      <c r="I314" s="213"/>
    </row>
    <row r="315" spans="4:9" ht="15" customHeight="1">
      <c r="D315" s="60"/>
      <c r="E315" s="60"/>
      <c r="F315" s="60"/>
      <c r="G315" s="60"/>
      <c r="H315" s="60"/>
      <c r="I315" s="213"/>
    </row>
    <row r="316" spans="4:9" ht="15" customHeight="1">
      <c r="D316" s="60"/>
      <c r="E316" s="60"/>
      <c r="F316" s="60"/>
      <c r="G316" s="60"/>
      <c r="H316" s="60"/>
      <c r="I316" s="213"/>
    </row>
    <row r="317" spans="4:9" ht="15" customHeight="1">
      <c r="D317" s="60"/>
      <c r="E317" s="60"/>
      <c r="F317" s="60"/>
      <c r="G317" s="60"/>
      <c r="H317" s="60"/>
      <c r="I317" s="213"/>
    </row>
    <row r="318" spans="4:9" ht="15" customHeight="1">
      <c r="D318" s="60"/>
      <c r="E318" s="60"/>
      <c r="F318" s="60"/>
      <c r="G318" s="60"/>
      <c r="H318" s="60"/>
      <c r="I318" s="213"/>
    </row>
    <row r="319" spans="4:9" ht="15" customHeight="1">
      <c r="D319" s="60"/>
      <c r="E319" s="60"/>
      <c r="F319" s="60"/>
      <c r="G319" s="60"/>
      <c r="H319" s="60"/>
      <c r="I319" s="213"/>
    </row>
    <row r="320" spans="4:9" ht="15" customHeight="1">
      <c r="D320" s="60"/>
      <c r="E320" s="60"/>
      <c r="F320" s="60"/>
      <c r="G320" s="60"/>
      <c r="H320" s="60"/>
      <c r="I320" s="213"/>
    </row>
    <row r="321" spans="4:9" ht="15" customHeight="1">
      <c r="D321" s="60"/>
      <c r="E321" s="60"/>
      <c r="F321" s="60"/>
      <c r="G321" s="60"/>
      <c r="H321" s="60"/>
      <c r="I321" s="213"/>
    </row>
    <row r="322" spans="4:9" ht="15" customHeight="1">
      <c r="D322" s="60"/>
      <c r="E322" s="60"/>
      <c r="F322" s="60"/>
      <c r="G322" s="60"/>
      <c r="H322" s="60"/>
      <c r="I322" s="213"/>
    </row>
    <row r="323" spans="4:9" ht="15" customHeight="1">
      <c r="D323" s="60"/>
      <c r="E323" s="60"/>
      <c r="F323" s="60"/>
      <c r="G323" s="60"/>
      <c r="H323" s="60"/>
      <c r="I323" s="213"/>
    </row>
    <row r="324" spans="4:9" ht="15" customHeight="1">
      <c r="D324" s="60"/>
      <c r="E324" s="60"/>
      <c r="F324" s="60"/>
      <c r="G324" s="60"/>
      <c r="H324" s="60"/>
      <c r="I324" s="213"/>
    </row>
    <row r="325" spans="4:9" ht="15" customHeight="1">
      <c r="D325" s="60"/>
      <c r="E325" s="60"/>
      <c r="F325" s="60"/>
      <c r="G325" s="60"/>
      <c r="H325" s="60"/>
      <c r="I325" s="213"/>
    </row>
    <row r="326" spans="4:9" ht="15" customHeight="1">
      <c r="D326" s="60"/>
      <c r="E326" s="60"/>
      <c r="F326" s="60"/>
      <c r="G326" s="60"/>
      <c r="H326" s="60"/>
      <c r="I326" s="213"/>
    </row>
    <row r="327" spans="4:9" ht="15" customHeight="1">
      <c r="D327" s="60"/>
      <c r="E327" s="60"/>
      <c r="F327" s="60"/>
      <c r="G327" s="60"/>
      <c r="H327" s="60"/>
      <c r="I327" s="213"/>
    </row>
    <row r="328" spans="4:9" ht="15" customHeight="1">
      <c r="D328" s="60"/>
      <c r="E328" s="60"/>
      <c r="F328" s="60"/>
      <c r="G328" s="60"/>
      <c r="H328" s="60"/>
      <c r="I328" s="213"/>
    </row>
    <row r="329" spans="4:9" ht="15" customHeight="1">
      <c r="D329" s="60"/>
      <c r="E329" s="60"/>
      <c r="F329" s="60"/>
      <c r="G329" s="60"/>
      <c r="H329" s="60"/>
      <c r="I329" s="213"/>
    </row>
    <row r="330" spans="4:9" ht="15" customHeight="1">
      <c r="D330" s="60"/>
      <c r="E330" s="60"/>
      <c r="F330" s="60"/>
      <c r="G330" s="60"/>
      <c r="H330" s="60"/>
      <c r="I330" s="213"/>
    </row>
    <row r="331" spans="4:9" ht="15" customHeight="1">
      <c r="D331" s="60"/>
      <c r="E331" s="60"/>
      <c r="F331" s="60"/>
      <c r="G331" s="60"/>
      <c r="H331" s="60"/>
      <c r="I331" s="213"/>
    </row>
    <row r="332" spans="4:9" ht="15" customHeight="1">
      <c r="D332" s="60"/>
      <c r="E332" s="60"/>
      <c r="F332" s="60"/>
      <c r="G332" s="60"/>
      <c r="H332" s="60"/>
      <c r="I332" s="213"/>
    </row>
    <row r="333" spans="4:9" ht="15" customHeight="1">
      <c r="D333" s="60"/>
      <c r="E333" s="60"/>
      <c r="F333" s="60"/>
      <c r="G333" s="60"/>
      <c r="H333" s="60"/>
      <c r="I333" s="213"/>
    </row>
    <row r="334" spans="4:9" ht="15" customHeight="1">
      <c r="D334" s="60"/>
      <c r="E334" s="60"/>
      <c r="F334" s="60"/>
      <c r="G334" s="60"/>
      <c r="H334" s="60"/>
      <c r="I334" s="213"/>
    </row>
    <row r="335" spans="4:9" ht="15" customHeight="1">
      <c r="D335" s="60"/>
      <c r="E335" s="60"/>
      <c r="F335" s="60"/>
      <c r="G335" s="60"/>
      <c r="H335" s="60"/>
      <c r="I335" s="213"/>
    </row>
    <row r="336" spans="4:9" ht="15" customHeight="1">
      <c r="D336" s="60"/>
      <c r="E336" s="60"/>
      <c r="F336" s="60"/>
      <c r="G336" s="60"/>
      <c r="H336" s="60"/>
      <c r="I336" s="213"/>
    </row>
    <row r="337" spans="4:9" ht="15" customHeight="1">
      <c r="D337" s="60"/>
      <c r="E337" s="60"/>
      <c r="F337" s="60"/>
      <c r="G337" s="60"/>
      <c r="H337" s="60"/>
      <c r="I337" s="213"/>
    </row>
    <row r="338" spans="4:9" ht="15" customHeight="1">
      <c r="D338" s="60"/>
      <c r="E338" s="60"/>
      <c r="F338" s="60"/>
      <c r="G338" s="60"/>
      <c r="H338" s="60"/>
      <c r="I338" s="213"/>
    </row>
    <row r="339" spans="4:9" ht="15" customHeight="1">
      <c r="D339" s="60"/>
      <c r="E339" s="60"/>
      <c r="F339" s="60"/>
      <c r="G339" s="60"/>
      <c r="H339" s="60"/>
      <c r="I339" s="213"/>
    </row>
    <row r="340" spans="4:9" ht="15" customHeight="1">
      <c r="D340" s="60"/>
      <c r="E340" s="60"/>
      <c r="F340" s="60"/>
      <c r="G340" s="60"/>
      <c r="H340" s="60"/>
      <c r="I340" s="213"/>
    </row>
    <row r="341" spans="4:9" ht="15" customHeight="1">
      <c r="D341" s="60"/>
      <c r="E341" s="60"/>
      <c r="F341" s="60"/>
      <c r="G341" s="60"/>
      <c r="H341" s="60"/>
      <c r="I341" s="213"/>
    </row>
    <row r="342" spans="4:9" ht="15" customHeight="1">
      <c r="D342" s="60"/>
      <c r="E342" s="60"/>
      <c r="F342" s="60"/>
      <c r="G342" s="60"/>
      <c r="H342" s="60"/>
      <c r="I342" s="213"/>
    </row>
    <row r="343" spans="4:9" ht="15" customHeight="1">
      <c r="D343" s="60"/>
      <c r="E343" s="60"/>
      <c r="F343" s="60"/>
      <c r="G343" s="60"/>
      <c r="H343" s="60"/>
      <c r="I343" s="213"/>
    </row>
    <row r="344" spans="4:9" ht="15" customHeight="1">
      <c r="D344" s="60"/>
      <c r="E344" s="60"/>
      <c r="F344" s="60"/>
      <c r="G344" s="60"/>
      <c r="H344" s="60"/>
      <c r="I344" s="213"/>
    </row>
    <row r="345" spans="4:9" ht="15" customHeight="1">
      <c r="D345" s="60"/>
      <c r="E345" s="60"/>
      <c r="F345" s="60"/>
      <c r="G345" s="60"/>
      <c r="H345" s="60"/>
      <c r="I345" s="213"/>
    </row>
    <row r="346" spans="4:9" ht="15" customHeight="1">
      <c r="D346" s="60"/>
      <c r="E346" s="60"/>
      <c r="F346" s="60"/>
      <c r="G346" s="60"/>
      <c r="H346" s="60"/>
      <c r="I346" s="213"/>
    </row>
    <row r="347" spans="4:9" ht="15" customHeight="1">
      <c r="D347" s="60"/>
      <c r="E347" s="60"/>
      <c r="F347" s="60"/>
      <c r="G347" s="60"/>
      <c r="H347" s="60"/>
      <c r="I347" s="213"/>
    </row>
    <row r="348" spans="4:9" ht="15" customHeight="1">
      <c r="D348" s="60"/>
      <c r="E348" s="60"/>
      <c r="F348" s="60"/>
      <c r="G348" s="60"/>
      <c r="H348" s="60"/>
      <c r="I348" s="213"/>
    </row>
    <row r="349" spans="4:9" ht="15" customHeight="1">
      <c r="D349" s="60"/>
      <c r="E349" s="60"/>
      <c r="F349" s="60"/>
      <c r="G349" s="60"/>
      <c r="H349" s="60"/>
      <c r="I349" s="213"/>
    </row>
    <row r="350" spans="4:9" ht="15" customHeight="1">
      <c r="D350" s="60"/>
      <c r="E350" s="60"/>
      <c r="F350" s="60"/>
      <c r="G350" s="60"/>
      <c r="H350" s="60"/>
      <c r="I350" s="213"/>
    </row>
    <row r="351" spans="4:9" ht="15" customHeight="1">
      <c r="D351" s="60"/>
      <c r="E351" s="60"/>
      <c r="F351" s="60"/>
      <c r="G351" s="60"/>
      <c r="H351" s="60"/>
      <c r="I351" s="213"/>
    </row>
    <row r="352" spans="4:9" ht="15" customHeight="1">
      <c r="D352" s="60"/>
      <c r="E352" s="60"/>
      <c r="F352" s="60"/>
      <c r="G352" s="60"/>
      <c r="H352" s="60"/>
      <c r="I352" s="213"/>
    </row>
    <row r="353" spans="4:9" ht="15" customHeight="1">
      <c r="D353" s="60"/>
      <c r="E353" s="60"/>
      <c r="F353" s="60"/>
      <c r="G353" s="60"/>
      <c r="H353" s="60"/>
      <c r="I353" s="213"/>
    </row>
    <row r="354" spans="4:9" ht="15" customHeight="1">
      <c r="D354" s="60"/>
      <c r="E354" s="60"/>
      <c r="F354" s="60"/>
      <c r="G354" s="60"/>
      <c r="H354" s="60"/>
      <c r="I354" s="213"/>
    </row>
    <row r="355" spans="4:9" ht="15" customHeight="1">
      <c r="D355" s="60"/>
      <c r="E355" s="60"/>
      <c r="F355" s="60"/>
      <c r="G355" s="60"/>
      <c r="H355" s="60"/>
      <c r="I355" s="213"/>
    </row>
    <row r="356" spans="4:9" ht="15" customHeight="1">
      <c r="D356" s="60"/>
      <c r="E356" s="60"/>
      <c r="F356" s="60"/>
      <c r="G356" s="60"/>
      <c r="H356" s="60"/>
      <c r="I356" s="213"/>
    </row>
    <row r="357" spans="4:9" ht="15" customHeight="1">
      <c r="D357" s="60"/>
      <c r="E357" s="60"/>
      <c r="F357" s="60"/>
      <c r="G357" s="60"/>
      <c r="H357" s="60"/>
      <c r="I357" s="213"/>
    </row>
    <row r="358" spans="4:9" ht="15" customHeight="1">
      <c r="D358" s="60"/>
      <c r="E358" s="60"/>
      <c r="F358" s="60"/>
      <c r="G358" s="60"/>
      <c r="H358" s="60"/>
      <c r="I358" s="213"/>
    </row>
    <row r="359" spans="4:9" ht="15" customHeight="1">
      <c r="D359" s="60"/>
      <c r="E359" s="60"/>
      <c r="F359" s="60"/>
      <c r="G359" s="60"/>
      <c r="H359" s="60"/>
      <c r="I359" s="213"/>
    </row>
    <row r="360" spans="4:9" ht="15" customHeight="1">
      <c r="D360" s="60"/>
      <c r="E360" s="60"/>
      <c r="F360" s="60"/>
      <c r="G360" s="60"/>
      <c r="H360" s="60"/>
      <c r="I360" s="213"/>
    </row>
    <row r="361" spans="4:9" ht="15" customHeight="1">
      <c r="D361" s="60"/>
      <c r="E361" s="60"/>
      <c r="F361" s="60"/>
      <c r="G361" s="60"/>
      <c r="H361" s="60"/>
      <c r="I361" s="213"/>
    </row>
    <row r="362" spans="4:9" ht="15" customHeight="1">
      <c r="D362" s="60"/>
      <c r="E362" s="60"/>
      <c r="F362" s="60"/>
      <c r="G362" s="60"/>
      <c r="H362" s="60"/>
      <c r="I362" s="213"/>
    </row>
    <row r="363" spans="4:9" ht="15" customHeight="1">
      <c r="D363" s="60"/>
      <c r="E363" s="60"/>
      <c r="F363" s="60"/>
      <c r="G363" s="60"/>
      <c r="H363" s="60"/>
      <c r="I363" s="213"/>
    </row>
    <row r="364" spans="4:9" ht="15" customHeight="1">
      <c r="D364" s="60"/>
      <c r="E364" s="60"/>
      <c r="F364" s="60"/>
      <c r="G364" s="60"/>
      <c r="H364" s="60"/>
      <c r="I364" s="213"/>
    </row>
    <row r="365" spans="4:9" ht="15" customHeight="1">
      <c r="D365" s="60"/>
      <c r="E365" s="60"/>
      <c r="F365" s="60"/>
      <c r="G365" s="60"/>
      <c r="H365" s="60"/>
      <c r="I365" s="213"/>
    </row>
    <row r="366" spans="4:9" ht="15" customHeight="1">
      <c r="D366" s="60"/>
      <c r="E366" s="60"/>
      <c r="F366" s="60"/>
      <c r="G366" s="60"/>
      <c r="H366" s="60"/>
      <c r="I366" s="213"/>
    </row>
    <row r="367" spans="4:9" ht="15" customHeight="1">
      <c r="D367" s="60"/>
      <c r="E367" s="60"/>
      <c r="F367" s="60"/>
      <c r="G367" s="60"/>
      <c r="H367" s="60"/>
      <c r="I367" s="213"/>
    </row>
    <row r="368" spans="4:9" ht="15" customHeight="1">
      <c r="D368" s="60"/>
      <c r="E368" s="60"/>
      <c r="F368" s="60"/>
      <c r="G368" s="60"/>
      <c r="H368" s="60"/>
      <c r="I368" s="213"/>
    </row>
    <row r="369" spans="4:9" ht="15" customHeight="1">
      <c r="D369" s="60"/>
      <c r="E369" s="60"/>
      <c r="F369" s="60"/>
      <c r="G369" s="60"/>
      <c r="H369" s="60"/>
      <c r="I369" s="213"/>
    </row>
    <row r="370" spans="4:9" ht="15" customHeight="1">
      <c r="D370" s="60"/>
      <c r="E370" s="60"/>
      <c r="F370" s="60"/>
      <c r="G370" s="60"/>
      <c r="H370" s="60"/>
      <c r="I370" s="213"/>
    </row>
    <row r="371" spans="4:9" ht="15" customHeight="1">
      <c r="D371" s="60"/>
      <c r="E371" s="60"/>
      <c r="F371" s="60"/>
      <c r="G371" s="60"/>
      <c r="H371" s="60"/>
      <c r="I371" s="213"/>
    </row>
    <row r="372" spans="4:9" ht="15" customHeight="1"/>
    <row r="373" spans="4:9" ht="15" customHeight="1"/>
    <row r="374" spans="4:9" ht="15" customHeight="1"/>
    <row r="375" spans="4:9" ht="15" customHeight="1"/>
    <row r="376" spans="4:9" ht="15" customHeight="1"/>
    <row r="377" spans="4:9" ht="15" customHeight="1"/>
    <row r="378" spans="4:9" ht="15" customHeight="1"/>
    <row r="379" spans="4:9" ht="15" customHeight="1"/>
    <row r="380" spans="4:9" ht="15" customHeight="1"/>
    <row r="381" spans="4:9" ht="15" customHeight="1"/>
    <row r="382" spans="4:9" ht="15" customHeight="1"/>
    <row r="383" spans="4:9" ht="15" customHeight="1"/>
    <row r="384" spans="4:9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</sheetData>
  <mergeCells count="15">
    <mergeCell ref="I5:I8"/>
    <mergeCell ref="D7:D8"/>
    <mergeCell ref="E7:E8"/>
    <mergeCell ref="F7:F8"/>
    <mergeCell ref="G7:G8"/>
    <mergeCell ref="A1:I1"/>
    <mergeCell ref="A2:I2"/>
    <mergeCell ref="A3:I3"/>
    <mergeCell ref="A5:B8"/>
    <mergeCell ref="C5:C8"/>
    <mergeCell ref="D5:D6"/>
    <mergeCell ref="E5:E6"/>
    <mergeCell ref="F5:F6"/>
    <mergeCell ref="G5:G6"/>
    <mergeCell ref="H5:H8"/>
  </mergeCells>
  <pageMargins left="0.17" right="0.12" top="0.19685039370078741" bottom="0.23622047244094491" header="0.19685039370078741" footer="0.15748031496062992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A1:N435"/>
  <sheetViews>
    <sheetView workbookViewId="0">
      <pane ySplit="8" topLeftCell="A9" activePane="bottomLeft" state="frozen"/>
      <selection activeCell="C78" sqref="C78"/>
      <selection pane="bottomLeft" activeCell="K22" sqref="K22"/>
    </sheetView>
  </sheetViews>
  <sheetFormatPr defaultRowHeight="26.25"/>
  <cols>
    <col min="1" max="1" width="1.5703125" customWidth="1"/>
    <col min="2" max="2" width="28.28515625" customWidth="1"/>
    <col min="3" max="3" width="11" style="182" customWidth="1"/>
    <col min="4" max="6" width="10.42578125" style="63" customWidth="1"/>
    <col min="7" max="7" width="8.42578125" style="63" customWidth="1"/>
    <col min="8" max="8" width="10.42578125" style="63" customWidth="1"/>
    <col min="9" max="9" width="10.85546875" style="194" customWidth="1"/>
    <col min="10" max="10" width="23.140625" style="233" customWidth="1"/>
    <col min="11" max="11" width="13.5703125" style="329" customWidth="1"/>
    <col min="12" max="12" width="18.28515625" style="330" customWidth="1"/>
    <col min="13" max="13" width="12.85546875" style="330" bestFit="1" customWidth="1"/>
  </cols>
  <sheetData>
    <row r="1" spans="1:13" s="1" customFormat="1" ht="21.75" customHeight="1">
      <c r="A1" s="652" t="s">
        <v>274</v>
      </c>
      <c r="B1" s="652"/>
      <c r="C1" s="652"/>
      <c r="D1" s="652"/>
      <c r="E1" s="652"/>
      <c r="F1" s="652"/>
      <c r="G1" s="652"/>
      <c r="H1" s="652"/>
      <c r="I1" s="652"/>
      <c r="J1" s="245"/>
      <c r="K1" s="329"/>
      <c r="L1" s="330"/>
      <c r="M1" s="247"/>
    </row>
    <row r="2" spans="1:13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245"/>
      <c r="K2" s="341" t="s">
        <v>272</v>
      </c>
      <c r="L2" s="342" t="s">
        <v>271</v>
      </c>
      <c r="M2" s="247"/>
    </row>
    <row r="3" spans="1:13" s="1" customFormat="1" ht="21.75" customHeight="1">
      <c r="A3" s="653" t="s">
        <v>421</v>
      </c>
      <c r="B3" s="653"/>
      <c r="C3" s="653"/>
      <c r="D3" s="653"/>
      <c r="E3" s="653"/>
      <c r="F3" s="653"/>
      <c r="G3" s="653"/>
      <c r="H3" s="653"/>
      <c r="I3" s="653"/>
      <c r="J3" s="245"/>
      <c r="K3" s="331"/>
      <c r="L3" s="332"/>
      <c r="M3" s="247"/>
    </row>
    <row r="4" spans="1:13" s="34" customFormat="1" ht="5.25" customHeight="1">
      <c r="C4" s="249"/>
      <c r="D4" s="175"/>
      <c r="E4" s="175"/>
      <c r="F4" s="175"/>
      <c r="G4" s="175"/>
      <c r="H4" s="175"/>
      <c r="I4" s="188"/>
      <c r="J4" s="243"/>
      <c r="K4" s="333"/>
      <c r="L4" s="334"/>
      <c r="M4" s="334"/>
    </row>
    <row r="5" spans="1:13" s="2" customFormat="1" ht="21.75" customHeight="1">
      <c r="A5" s="683" t="s">
        <v>1</v>
      </c>
      <c r="B5" s="684"/>
      <c r="C5" s="689" t="s">
        <v>2</v>
      </c>
      <c r="D5" s="722" t="s">
        <v>54</v>
      </c>
      <c r="E5" s="722" t="s">
        <v>55</v>
      </c>
      <c r="F5" s="722" t="s">
        <v>56</v>
      </c>
      <c r="G5" s="722" t="s">
        <v>57</v>
      </c>
      <c r="H5" s="723" t="s">
        <v>58</v>
      </c>
      <c r="I5" s="707" t="s">
        <v>59</v>
      </c>
      <c r="J5" s="247"/>
      <c r="K5" s="329"/>
      <c r="L5" s="330"/>
      <c r="M5" s="330"/>
    </row>
    <row r="6" spans="1:13" s="2" customFormat="1" ht="21.75" customHeight="1">
      <c r="A6" s="685"/>
      <c r="B6" s="686"/>
      <c r="C6" s="690"/>
      <c r="D6" s="682"/>
      <c r="E6" s="682"/>
      <c r="F6" s="682"/>
      <c r="G6" s="682"/>
      <c r="H6" s="724"/>
      <c r="I6" s="719"/>
      <c r="J6" s="245"/>
      <c r="K6" s="329"/>
      <c r="L6" s="330"/>
      <c r="M6" s="330"/>
    </row>
    <row r="7" spans="1:13" s="2" customFormat="1" ht="21.75" customHeight="1">
      <c r="A7" s="685"/>
      <c r="B7" s="686"/>
      <c r="C7" s="690"/>
      <c r="D7" s="720" t="s">
        <v>275</v>
      </c>
      <c r="E7" s="720" t="s">
        <v>418</v>
      </c>
      <c r="F7" s="726" t="s">
        <v>422</v>
      </c>
      <c r="G7" s="720"/>
      <c r="H7" s="724"/>
      <c r="I7" s="719"/>
      <c r="J7" s="245"/>
      <c r="K7" s="329"/>
      <c r="L7" s="330"/>
      <c r="M7" s="330"/>
    </row>
    <row r="8" spans="1:13" s="2" customFormat="1" ht="12" customHeight="1">
      <c r="A8" s="687"/>
      <c r="B8" s="688"/>
      <c r="C8" s="691"/>
      <c r="D8" s="721"/>
      <c r="E8" s="721"/>
      <c r="F8" s="721"/>
      <c r="G8" s="721"/>
      <c r="H8" s="725"/>
      <c r="I8" s="708"/>
      <c r="J8" s="245"/>
      <c r="K8" s="331"/>
      <c r="L8" s="247"/>
      <c r="M8" s="330"/>
    </row>
    <row r="9" spans="1:13" ht="21.75" customHeight="1">
      <c r="A9" s="3" t="s">
        <v>3</v>
      </c>
      <c r="B9" s="4"/>
      <c r="C9" s="287"/>
      <c r="D9" s="176"/>
      <c r="E9" s="176"/>
      <c r="F9" s="176"/>
      <c r="G9" s="176"/>
      <c r="H9" s="176"/>
      <c r="I9" s="206"/>
      <c r="K9" s="331"/>
      <c r="L9" s="247"/>
    </row>
    <row r="10" spans="1:13" ht="21.75" customHeight="1">
      <c r="A10" s="5"/>
      <c r="B10" s="130" t="s">
        <v>4</v>
      </c>
      <c r="C10" s="216">
        <v>130062</v>
      </c>
      <c r="D10" s="177">
        <f>+'ต.ค.-ธ.ค.'!D10</f>
        <v>18508</v>
      </c>
      <c r="E10" s="177">
        <f>+'ม.ค.-มี.ค.'!D10</f>
        <v>34990</v>
      </c>
      <c r="F10" s="177">
        <f>+เม.ย.!D10</f>
        <v>12914</v>
      </c>
      <c r="G10" s="177"/>
      <c r="H10" s="177">
        <f>SUM(D10:G10)</f>
        <v>66412</v>
      </c>
      <c r="I10" s="207">
        <f t="shared" ref="I10:I19" si="0">+C10-H10</f>
        <v>63650</v>
      </c>
      <c r="K10" s="335" t="s">
        <v>392</v>
      </c>
      <c r="L10" s="336" t="s">
        <v>393</v>
      </c>
      <c r="M10" s="336" t="s">
        <v>395</v>
      </c>
    </row>
    <row r="11" spans="1:13" ht="21.75" customHeight="1">
      <c r="A11" s="5"/>
      <c r="B11" s="130" t="s">
        <v>221</v>
      </c>
      <c r="C11" s="216">
        <v>13680</v>
      </c>
      <c r="D11" s="177">
        <f>+'ต.ค.-ธ.ค.'!D11</f>
        <v>2280</v>
      </c>
      <c r="E11" s="177">
        <f>+'ม.ค.-มี.ค.'!D11</f>
        <v>3420</v>
      </c>
      <c r="F11" s="177">
        <f>+เม.ย.!D11</f>
        <v>1140</v>
      </c>
      <c r="G11" s="177"/>
      <c r="H11" s="177">
        <f t="shared" ref="H11:H19" si="1">SUM(D11:G11)</f>
        <v>6840</v>
      </c>
      <c r="I11" s="208">
        <f t="shared" si="0"/>
        <v>6840</v>
      </c>
      <c r="K11" s="343">
        <v>1</v>
      </c>
      <c r="L11" s="330" t="s">
        <v>397</v>
      </c>
      <c r="M11" s="330" t="s">
        <v>398</v>
      </c>
    </row>
    <row r="12" spans="1:13" s="221" customFormat="1" ht="21.75" customHeight="1">
      <c r="A12" s="20"/>
      <c r="B12" s="130" t="s">
        <v>45</v>
      </c>
      <c r="C12" s="31">
        <v>6548400</v>
      </c>
      <c r="D12" s="177">
        <f>+'ต.ค.-ธ.ค.'!D12</f>
        <v>1601200</v>
      </c>
      <c r="E12" s="177">
        <f>+'ม.ค.-มี.ค.'!D12</f>
        <v>1591700</v>
      </c>
      <c r="F12" s="177">
        <f>+เม.ย.!D12</f>
        <v>529500</v>
      </c>
      <c r="G12" s="230"/>
      <c r="H12" s="230">
        <f>SUM(D12:G12)</f>
        <v>3722400</v>
      </c>
      <c r="I12" s="230">
        <f t="shared" si="0"/>
        <v>2826000</v>
      </c>
      <c r="J12" s="233"/>
      <c r="K12" s="343">
        <v>2</v>
      </c>
      <c r="L12" s="330" t="s">
        <v>399</v>
      </c>
      <c r="M12" s="330" t="s">
        <v>400</v>
      </c>
    </row>
    <row r="13" spans="1:13" ht="21.75" customHeight="1">
      <c r="A13" s="8"/>
      <c r="B13" s="130" t="s">
        <v>75</v>
      </c>
      <c r="C13" s="216">
        <v>18000</v>
      </c>
      <c r="D13" s="177">
        <f>+'ต.ค.-ธ.ค.'!D13</f>
        <v>4500</v>
      </c>
      <c r="E13" s="177">
        <f>+'ม.ค.-มี.ค.'!D13</f>
        <v>4500</v>
      </c>
      <c r="F13" s="177">
        <f>+เม.ย.!D13</f>
        <v>1500</v>
      </c>
      <c r="G13" s="177"/>
      <c r="H13" s="177">
        <f t="shared" si="1"/>
        <v>10500</v>
      </c>
      <c r="I13" s="208">
        <f t="shared" si="0"/>
        <v>7500</v>
      </c>
      <c r="K13" s="343">
        <v>3</v>
      </c>
      <c r="L13" s="330" t="s">
        <v>401</v>
      </c>
      <c r="M13" s="330" t="s">
        <v>402</v>
      </c>
    </row>
    <row r="14" spans="1:13" ht="21.75" customHeight="1">
      <c r="A14" s="8"/>
      <c r="B14" s="130" t="s">
        <v>222</v>
      </c>
      <c r="C14" s="216">
        <v>2620800</v>
      </c>
      <c r="D14" s="177">
        <f>+'ต.ค.-ธ.ค.'!D14</f>
        <v>590400</v>
      </c>
      <c r="E14" s="177">
        <f>+'ม.ค.-มี.ค.'!D14</f>
        <v>595200</v>
      </c>
      <c r="F14" s="177">
        <f>+เม.ย.!D14</f>
        <v>199200</v>
      </c>
      <c r="G14" s="177"/>
      <c r="H14" s="177">
        <f t="shared" si="1"/>
        <v>1384800</v>
      </c>
      <c r="I14" s="208">
        <f t="shared" si="0"/>
        <v>1236000</v>
      </c>
      <c r="K14" s="343">
        <v>4</v>
      </c>
      <c r="L14" s="330" t="s">
        <v>394</v>
      </c>
      <c r="M14" s="330" t="s">
        <v>398</v>
      </c>
    </row>
    <row r="15" spans="1:13" ht="21.75" customHeight="1">
      <c r="A15" s="9"/>
      <c r="B15" s="130" t="s">
        <v>209</v>
      </c>
      <c r="C15" s="216">
        <v>151291</v>
      </c>
      <c r="D15" s="177">
        <f>+'ต.ค.-ธ.ค.'!D15</f>
        <v>0</v>
      </c>
      <c r="E15" s="177">
        <f>+'ม.ค.-มี.ค.'!D15</f>
        <v>150410</v>
      </c>
      <c r="F15" s="177">
        <f>+เม.ย.!D15</f>
        <v>0</v>
      </c>
      <c r="G15" s="177"/>
      <c r="H15" s="177">
        <f t="shared" si="1"/>
        <v>150410</v>
      </c>
      <c r="I15" s="208">
        <f t="shared" si="0"/>
        <v>881</v>
      </c>
      <c r="K15" s="343">
        <v>5</v>
      </c>
      <c r="L15" s="330" t="s">
        <v>394</v>
      </c>
      <c r="M15" s="330" t="s">
        <v>396</v>
      </c>
    </row>
    <row r="16" spans="1:13" s="172" customFormat="1" ht="21.75" customHeight="1">
      <c r="A16" s="9"/>
      <c r="B16" s="130" t="s">
        <v>77</v>
      </c>
      <c r="C16" s="216">
        <v>29000</v>
      </c>
      <c r="D16" s="177">
        <f>+'ต.ค.-ธ.ค.'!D16</f>
        <v>28939.279999999999</v>
      </c>
      <c r="E16" s="177">
        <f>+'ม.ค.-มี.ค.'!D16</f>
        <v>0</v>
      </c>
      <c r="F16" s="177">
        <f>+เม.ย.!D16</f>
        <v>0</v>
      </c>
      <c r="G16" s="199"/>
      <c r="H16" s="177">
        <f t="shared" si="1"/>
        <v>28939.279999999999</v>
      </c>
      <c r="I16" s="208">
        <f t="shared" si="0"/>
        <v>60.720000000001164</v>
      </c>
      <c r="J16" s="233"/>
      <c r="K16" s="343">
        <v>6</v>
      </c>
      <c r="L16" s="330" t="s">
        <v>403</v>
      </c>
      <c r="M16" s="330" t="s">
        <v>400</v>
      </c>
    </row>
    <row r="17" spans="1:13" ht="21.75" customHeight="1">
      <c r="A17" s="9"/>
      <c r="B17" s="130" t="s">
        <v>78</v>
      </c>
      <c r="C17" s="216">
        <v>216399</v>
      </c>
      <c r="D17" s="177">
        <f>+'ต.ค.-ธ.ค.'!D17</f>
        <v>0</v>
      </c>
      <c r="E17" s="177">
        <f>+'ม.ค.-มี.ค.'!D17</f>
        <v>0</v>
      </c>
      <c r="F17" s="177">
        <f>+เม.ย.!D17</f>
        <v>216399</v>
      </c>
      <c r="G17" s="180"/>
      <c r="H17" s="177">
        <f t="shared" si="1"/>
        <v>216399</v>
      </c>
      <c r="I17" s="208">
        <f t="shared" si="0"/>
        <v>0</v>
      </c>
    </row>
    <row r="18" spans="1:13" ht="21.75" customHeight="1">
      <c r="A18" s="9"/>
      <c r="B18" s="6" t="s">
        <v>220</v>
      </c>
      <c r="C18" s="285">
        <v>15000</v>
      </c>
      <c r="D18" s="177">
        <f>+'ต.ค.-ธ.ค.'!D18</f>
        <v>15000</v>
      </c>
      <c r="E18" s="177">
        <f>+'ม.ค.-มี.ค.'!D18</f>
        <v>0</v>
      </c>
      <c r="F18" s="177">
        <f>+เม.ย.!D18</f>
        <v>0</v>
      </c>
      <c r="G18" s="180"/>
      <c r="H18" s="177">
        <f>SUM(D18:G18)</f>
        <v>15000</v>
      </c>
      <c r="I18" s="208">
        <f t="shared" si="0"/>
        <v>0</v>
      </c>
    </row>
    <row r="19" spans="1:13" ht="21.75" customHeight="1">
      <c r="A19" s="9"/>
      <c r="B19" s="12" t="s">
        <v>81</v>
      </c>
      <c r="C19" s="285">
        <v>344150</v>
      </c>
      <c r="D19" s="177">
        <f>+'ต.ค.-ธ.ค.'!D19</f>
        <v>323840</v>
      </c>
      <c r="E19" s="177">
        <f>+'ม.ค.-มี.ค.'!D19</f>
        <v>0</v>
      </c>
      <c r="F19" s="177">
        <f>+เม.ย.!D19</f>
        <v>0</v>
      </c>
      <c r="G19" s="177"/>
      <c r="H19" s="177">
        <f t="shared" si="1"/>
        <v>323840</v>
      </c>
      <c r="I19" s="208">
        <f t="shared" si="0"/>
        <v>20310</v>
      </c>
    </row>
    <row r="20" spans="1:13" s="221" customFormat="1" ht="21.75" customHeight="1" thickBot="1">
      <c r="A20" s="13"/>
      <c r="B20" s="14" t="s">
        <v>5</v>
      </c>
      <c r="C20" s="170">
        <f t="shared" ref="C20:I20" si="2">SUM(C10:C19)</f>
        <v>10086782</v>
      </c>
      <c r="D20" s="26">
        <f t="shared" si="2"/>
        <v>2584667.2799999998</v>
      </c>
      <c r="E20" s="26">
        <f>SUM(E10:E19)</f>
        <v>2380220</v>
      </c>
      <c r="F20" s="26">
        <f>SUM(F10:F19)</f>
        <v>960653</v>
      </c>
      <c r="G20" s="26">
        <f t="shared" si="2"/>
        <v>0</v>
      </c>
      <c r="H20" s="26">
        <f t="shared" si="2"/>
        <v>5925540.2800000003</v>
      </c>
      <c r="I20" s="139">
        <f t="shared" si="2"/>
        <v>4161241.72</v>
      </c>
      <c r="J20" s="233"/>
      <c r="K20" s="329"/>
      <c r="L20" s="330"/>
      <c r="M20" s="330"/>
    </row>
    <row r="21" spans="1:13" ht="21.75" customHeight="1" thickTop="1">
      <c r="A21" s="5" t="s">
        <v>82</v>
      </c>
      <c r="B21" s="6"/>
      <c r="C21" s="190"/>
      <c r="D21" s="177"/>
      <c r="E21" s="177"/>
      <c r="F21" s="177"/>
      <c r="G21" s="177"/>
      <c r="H21" s="177"/>
      <c r="I21" s="208">
        <f t="shared" ref="I21:I26" si="3">+C21-H21</f>
        <v>0</v>
      </c>
    </row>
    <row r="22" spans="1:13" ht="21.75" customHeight="1">
      <c r="A22" s="9"/>
      <c r="B22" s="130" t="s">
        <v>6</v>
      </c>
      <c r="C22" s="216">
        <v>695520</v>
      </c>
      <c r="D22" s="177">
        <f>+'ต.ค.-ธ.ค.'!E23</f>
        <v>173880</v>
      </c>
      <c r="E22" s="177">
        <f>+'ม.ค.-มี.ค.'!E23</f>
        <v>173880</v>
      </c>
      <c r="F22" s="177">
        <f>+เม.ย.!E23</f>
        <v>57960</v>
      </c>
      <c r="G22" s="177"/>
      <c r="H22" s="177">
        <f>SUM(D22:G22)</f>
        <v>405720</v>
      </c>
      <c r="I22" s="208">
        <f t="shared" si="3"/>
        <v>289800</v>
      </c>
    </row>
    <row r="23" spans="1:13" ht="21.75" customHeight="1">
      <c r="A23" s="9"/>
      <c r="B23" s="130" t="s">
        <v>83</v>
      </c>
      <c r="C23" s="216">
        <v>120000</v>
      </c>
      <c r="D23" s="177">
        <f>+'ต.ค.-ธ.ค.'!E24</f>
        <v>30000</v>
      </c>
      <c r="E23" s="177">
        <f>+'ม.ค.-มี.ค.'!E24</f>
        <v>30000</v>
      </c>
      <c r="F23" s="177">
        <f>+เม.ย.!E24</f>
        <v>10000</v>
      </c>
      <c r="G23" s="177"/>
      <c r="H23" s="177">
        <f>SUM(D23:G23)</f>
        <v>70000</v>
      </c>
      <c r="I23" s="208">
        <f t="shared" si="3"/>
        <v>50000</v>
      </c>
    </row>
    <row r="24" spans="1:13" s="172" customFormat="1" ht="21.75" customHeight="1">
      <c r="A24" s="9"/>
      <c r="B24" s="130" t="s">
        <v>84</v>
      </c>
      <c r="C24" s="216">
        <v>120000</v>
      </c>
      <c r="D24" s="177">
        <f>+'ต.ค.-ธ.ค.'!E25</f>
        <v>30000</v>
      </c>
      <c r="E24" s="177">
        <f>+'ม.ค.-มี.ค.'!E25</f>
        <v>30000</v>
      </c>
      <c r="F24" s="177">
        <f>+เม.ย.!E25</f>
        <v>10000</v>
      </c>
      <c r="G24" s="199"/>
      <c r="H24" s="177">
        <f>SUM(D24:G24)</f>
        <v>70000</v>
      </c>
      <c r="I24" s="208">
        <f t="shared" si="3"/>
        <v>50000</v>
      </c>
      <c r="J24" s="233"/>
      <c r="K24" s="329"/>
      <c r="L24" s="330"/>
      <c r="M24" s="330"/>
    </row>
    <row r="25" spans="1:13" ht="21.75" customHeight="1">
      <c r="A25" s="9"/>
      <c r="B25" s="130" t="s">
        <v>85</v>
      </c>
      <c r="C25" s="216">
        <v>198720</v>
      </c>
      <c r="D25" s="177">
        <f>+'ต.ค.-ธ.ค.'!E26</f>
        <v>49680</v>
      </c>
      <c r="E25" s="177">
        <f>+'ม.ค.-มี.ค.'!E26</f>
        <v>49680</v>
      </c>
      <c r="F25" s="177">
        <f>+เม.ย.!E26</f>
        <v>16560</v>
      </c>
      <c r="G25" s="180"/>
      <c r="H25" s="177">
        <f>SUM(D25:G25)</f>
        <v>115920</v>
      </c>
      <c r="I25" s="208">
        <f t="shared" si="3"/>
        <v>82800</v>
      </c>
    </row>
    <row r="26" spans="1:13" ht="21.75" customHeight="1">
      <c r="A26" s="9"/>
      <c r="B26" s="6" t="s">
        <v>270</v>
      </c>
      <c r="C26" s="216">
        <f>1283280-10000-14000</f>
        <v>1259280</v>
      </c>
      <c r="D26" s="177">
        <f>+'ต.ค.-ธ.ค.'!E27</f>
        <v>314640</v>
      </c>
      <c r="E26" s="177">
        <f>+'ม.ค.-มี.ค.'!E27</f>
        <v>314640</v>
      </c>
      <c r="F26" s="177">
        <f>+เม.ย.!E27</f>
        <v>98762</v>
      </c>
      <c r="G26" s="177"/>
      <c r="H26" s="177">
        <f>SUM(D26:G26)</f>
        <v>728042</v>
      </c>
      <c r="I26" s="208">
        <f t="shared" si="3"/>
        <v>531238</v>
      </c>
    </row>
    <row r="27" spans="1:13" s="221" customFormat="1" ht="21.75" customHeight="1" thickBot="1">
      <c r="A27" s="15"/>
      <c r="B27" s="14" t="s">
        <v>5</v>
      </c>
      <c r="C27" s="170">
        <f t="shared" ref="C27:I27" si="4">SUM(C22:C26)</f>
        <v>2393520</v>
      </c>
      <c r="D27" s="26">
        <f t="shared" si="4"/>
        <v>598200</v>
      </c>
      <c r="E27" s="26">
        <f>SUM(E22:E26)</f>
        <v>598200</v>
      </c>
      <c r="F27" s="26">
        <f>SUM(F22:F26)</f>
        <v>193282</v>
      </c>
      <c r="G27" s="26">
        <f t="shared" si="4"/>
        <v>0</v>
      </c>
      <c r="H27" s="26">
        <f t="shared" si="4"/>
        <v>1389682</v>
      </c>
      <c r="I27" s="139">
        <f t="shared" si="4"/>
        <v>1003838</v>
      </c>
      <c r="J27" s="233"/>
      <c r="K27" s="329"/>
      <c r="L27" s="330"/>
      <c r="M27" s="330"/>
    </row>
    <row r="28" spans="1:13" ht="21.75" customHeight="1" thickTop="1">
      <c r="A28" s="5" t="s">
        <v>87</v>
      </c>
      <c r="B28" s="6"/>
      <c r="C28" s="190"/>
      <c r="D28" s="177"/>
      <c r="E28" s="177"/>
      <c r="F28" s="177"/>
      <c r="G28" s="177"/>
      <c r="H28" s="177"/>
      <c r="I28" s="208">
        <f t="shared" ref="I28:I36" si="5">+C28-H28</f>
        <v>0</v>
      </c>
    </row>
    <row r="29" spans="1:13" s="221" customFormat="1" ht="21.75" customHeight="1">
      <c r="A29" s="20"/>
      <c r="B29" s="130" t="s">
        <v>7</v>
      </c>
      <c r="C29" s="32">
        <f>3188820+1300000+884640+1648500-100000-22000-19000-60000-184500-25100-50000-100000-20000</f>
        <v>6441360</v>
      </c>
      <c r="D29" s="230">
        <f>+'ต.ค.-ธ.ค.'!E30+'ต.ค.-ธ.ค.'!F30+'ต.ค.-ธ.ค.'!H30+'ต.ค.-ธ.ค.'!M30</f>
        <v>1455873</v>
      </c>
      <c r="E29" s="230">
        <f>+'ม.ค.-มี.ค.'!E30+'ม.ค.-มี.ค.'!F30+'ม.ค.-มี.ค.'!H30+'ม.ค.-มี.ค.'!M30</f>
        <v>1405189</v>
      </c>
      <c r="F29" s="230">
        <f>+เม.ย.!E30+เม.ย.!F30+เม.ย.!H30+เม.ย.!M30</f>
        <v>470450</v>
      </c>
      <c r="G29" s="230"/>
      <c r="H29" s="230">
        <f>SUM(D29:G29)</f>
        <v>3331512</v>
      </c>
      <c r="I29" s="230">
        <f t="shared" si="5"/>
        <v>3109848</v>
      </c>
      <c r="J29" s="233"/>
      <c r="K29" s="329"/>
      <c r="L29" s="330"/>
      <c r="M29" s="330"/>
    </row>
    <row r="30" spans="1:13" s="221" customFormat="1" ht="21.75" customHeight="1">
      <c r="A30" s="20"/>
      <c r="B30" s="130" t="s">
        <v>239</v>
      </c>
      <c r="C30" s="32">
        <v>1899600</v>
      </c>
      <c r="D30" s="230">
        <f>+'ต.ค.-ธ.ค.'!E31+'ต.ค.-ธ.ค.'!F31+'ต.ค.-ธ.ค.'!H31+'ต.ค.-ธ.ค.'!M31</f>
        <v>462780</v>
      </c>
      <c r="E30" s="230">
        <f>+'ม.ค.-มี.ค.'!E31+'ม.ค.-มี.ค.'!F31+'ม.ค.-มี.ค.'!H31+'ม.ค.-มี.ค.'!M31</f>
        <v>462780</v>
      </c>
      <c r="F30" s="230">
        <f>+เม.ย.!E31+เม.ย.!F31+เม.ย.!H31+เม.ย.!M31</f>
        <v>154260</v>
      </c>
      <c r="G30" s="230"/>
      <c r="H30" s="230">
        <f t="shared" ref="H30:H36" si="6">SUM(D30:G30)</f>
        <v>1079820</v>
      </c>
      <c r="I30" s="230">
        <f t="shared" si="5"/>
        <v>819780</v>
      </c>
      <c r="J30" s="233"/>
      <c r="K30" s="329"/>
      <c r="L30" s="330"/>
      <c r="M30" s="330"/>
    </row>
    <row r="31" spans="1:13" s="221" customFormat="1" ht="21.75" customHeight="1">
      <c r="A31" s="20"/>
      <c r="B31" s="130" t="s">
        <v>47</v>
      </c>
      <c r="C31" s="32">
        <v>10580</v>
      </c>
      <c r="D31" s="230">
        <f>+'ต.ค.-ธ.ค.'!E32+'ต.ค.-ธ.ค.'!F32+'ต.ค.-ธ.ค.'!H32+'ต.ค.-ธ.ค.'!M32</f>
        <v>1320</v>
      </c>
      <c r="E31" s="230">
        <f>+'ม.ค.-มี.ค.'!E32+'ม.ค.-มี.ค.'!F32+'ม.ค.-มี.ค.'!H32+'ม.ค.-มี.ค.'!M32</f>
        <v>1320</v>
      </c>
      <c r="F31" s="230">
        <f>+เม.ย.!E32+เม.ย.!F32+เม.ย.!H32+เม.ย.!M32</f>
        <v>440</v>
      </c>
      <c r="G31" s="238"/>
      <c r="H31" s="230">
        <f t="shared" si="6"/>
        <v>3080</v>
      </c>
      <c r="I31" s="230">
        <f t="shared" si="5"/>
        <v>7500</v>
      </c>
      <c r="J31" s="233"/>
      <c r="K31" s="331"/>
      <c r="L31" s="330"/>
      <c r="M31" s="330"/>
    </row>
    <row r="32" spans="1:13" s="221" customFormat="1" ht="21.75" customHeight="1">
      <c r="A32" s="20"/>
      <c r="B32" s="130" t="s">
        <v>8</v>
      </c>
      <c r="C32" s="32">
        <f>132000+42000+42000+42000-3000-1000-10000</f>
        <v>244000</v>
      </c>
      <c r="D32" s="230">
        <f>+'ต.ค.-ธ.ค.'!E33+'ต.ค.-ธ.ค.'!F33+'ต.ค.-ธ.ค.'!H33+'ต.ค.-ธ.ค.'!M33</f>
        <v>57500</v>
      </c>
      <c r="E32" s="230">
        <f>+'ม.ค.-มี.ค.'!E33+'ม.ค.-มี.ค.'!F33+'ม.ค.-มี.ค.'!H33+'ม.ค.-มี.ค.'!M33</f>
        <v>54000</v>
      </c>
      <c r="F32" s="230">
        <f>+เม.ย.!E33+เม.ย.!F33+เม.ย.!H33+เม.ย.!M33</f>
        <v>18000</v>
      </c>
      <c r="G32" s="239"/>
      <c r="H32" s="230">
        <f t="shared" si="6"/>
        <v>129500</v>
      </c>
      <c r="I32" s="230">
        <f t="shared" si="5"/>
        <v>114500</v>
      </c>
      <c r="J32" s="233"/>
      <c r="K32" s="329"/>
      <c r="L32" s="330"/>
      <c r="M32" s="330"/>
    </row>
    <row r="33" spans="1:13" s="221" customFormat="1" ht="21.75" customHeight="1">
      <c r="A33" s="9"/>
      <c r="B33" s="130" t="s">
        <v>186</v>
      </c>
      <c r="C33" s="31">
        <f>787000+589000+559480+350880+100000+184500+153000</f>
        <v>2723860</v>
      </c>
      <c r="D33" s="230">
        <f>+'ต.ค.-ธ.ค.'!E34+'ต.ค.-ธ.ค.'!F34+'ต.ค.-ธ.ค.'!H34+'ต.ค.-ธ.ค.'!M34</f>
        <v>524330</v>
      </c>
      <c r="E33" s="230">
        <f>+'ม.ค.-มี.ค.'!E34+'ม.ค.-มี.ค.'!F34+'ม.ค.-มี.ค.'!H34+'ม.ค.-มี.ค.'!M34</f>
        <v>676008</v>
      </c>
      <c r="F33" s="230">
        <f>+เม.ย.!E34+เม.ย.!F34+เม.ย.!H34+เม.ย.!M34</f>
        <v>237610</v>
      </c>
      <c r="G33" s="230"/>
      <c r="H33" s="230">
        <f>SUM(D33:G33)</f>
        <v>1437948</v>
      </c>
      <c r="I33" s="230">
        <f t="shared" si="5"/>
        <v>1285912</v>
      </c>
      <c r="J33" s="233"/>
      <c r="K33" s="329"/>
      <c r="L33" s="330"/>
      <c r="M33" s="330"/>
    </row>
    <row r="34" spans="1:13" s="221" customFormat="1" ht="21.75" customHeight="1">
      <c r="A34" s="9"/>
      <c r="B34" s="130" t="s">
        <v>269</v>
      </c>
      <c r="C34" s="288">
        <v>225600</v>
      </c>
      <c r="D34" s="230">
        <f>+'ต.ค.-ธ.ค.'!E35+'ต.ค.-ธ.ค.'!F35+'ต.ค.-ธ.ค.'!H35+'ต.ค.-ธ.ค.'!M35</f>
        <v>62910</v>
      </c>
      <c r="E34" s="230">
        <f>+'ม.ค.-มี.ค.'!E35+'ม.ค.-มี.ค.'!F35+'ม.ค.-มี.ค.'!H35+'ม.ค.-มี.ค.'!M35</f>
        <v>62910</v>
      </c>
      <c r="F34" s="230">
        <f>+เม.ย.!E35+เม.ย.!F35+เม.ย.!H35+เม.ย.!M35</f>
        <v>20970</v>
      </c>
      <c r="G34" s="230"/>
      <c r="H34" s="230">
        <f t="shared" si="6"/>
        <v>146790</v>
      </c>
      <c r="I34" s="230">
        <f t="shared" si="5"/>
        <v>78810</v>
      </c>
      <c r="J34" s="233"/>
      <c r="K34" s="329"/>
      <c r="L34" s="330"/>
      <c r="M34" s="330"/>
    </row>
    <row r="35" spans="1:13" s="221" customFormat="1" ht="21.75" customHeight="1">
      <c r="A35" s="9"/>
      <c r="B35" s="130" t="s">
        <v>91</v>
      </c>
      <c r="C35" s="288">
        <f>76000+72000+84000+22000+25100+11000</f>
        <v>290100</v>
      </c>
      <c r="D35" s="230">
        <f>+'ต.ค.-ธ.ค.'!E36+'ต.ค.-ธ.ค.'!F36+'ต.ค.-ธ.ค.'!H36+'ต.ค.-ธ.ค.'!M36</f>
        <v>47550</v>
      </c>
      <c r="E35" s="230">
        <f>+'ม.ค.-มี.ค.'!E36+'ม.ค.-มี.ค.'!F36+'ม.ค.-มี.ค.'!H36+'ม.ค.-มี.ค.'!M36</f>
        <v>100375</v>
      </c>
      <c r="F35" s="230">
        <f>+เม.ย.!E36+เม.ย.!F36+เม.ย.!H36+เม.ย.!M36</f>
        <v>24015</v>
      </c>
      <c r="G35" s="230"/>
      <c r="H35" s="230">
        <f t="shared" si="6"/>
        <v>171940</v>
      </c>
      <c r="I35" s="230">
        <f t="shared" si="5"/>
        <v>118160</v>
      </c>
      <c r="J35" s="233"/>
      <c r="K35" s="329"/>
      <c r="L35" s="330"/>
      <c r="M35" s="330"/>
    </row>
    <row r="36" spans="1:13" s="221" customFormat="1" ht="21.75" customHeight="1">
      <c r="A36" s="227"/>
      <c r="B36" s="228" t="s">
        <v>240</v>
      </c>
      <c r="C36" s="288">
        <v>48000</v>
      </c>
      <c r="D36" s="230">
        <f>+'ต.ค.-ธ.ค.'!E37+'ต.ค.-ธ.ค.'!F37+'ต.ค.-ธ.ค.'!H37+'ต.ค.-ธ.ค.'!M37</f>
        <v>5490</v>
      </c>
      <c r="E36" s="230">
        <f>+'ม.ค.-มี.ค.'!E37+'ม.ค.-มี.ค.'!F37+'ม.ค.-มี.ค.'!H37+'ม.ค.-มี.ค.'!M37</f>
        <v>5490</v>
      </c>
      <c r="F36" s="230">
        <f>+เม.ย.!E37+เม.ย.!F37+เม.ย.!H37+เม.ย.!M37</f>
        <v>1830</v>
      </c>
      <c r="G36" s="230"/>
      <c r="H36" s="230">
        <f t="shared" si="6"/>
        <v>12810</v>
      </c>
      <c r="I36" s="230">
        <f t="shared" si="5"/>
        <v>35190</v>
      </c>
      <c r="J36" s="233"/>
      <c r="K36" s="329"/>
      <c r="L36" s="330"/>
      <c r="M36" s="330"/>
    </row>
    <row r="37" spans="1:13" s="221" customFormat="1" ht="21.75" customHeight="1" thickBot="1">
      <c r="A37" s="46"/>
      <c r="B37" s="47" t="s">
        <v>5</v>
      </c>
      <c r="C37" s="289">
        <f t="shared" ref="C37:I37" si="7">SUM(C29:C36)</f>
        <v>11883100</v>
      </c>
      <c r="D37" s="236">
        <f t="shared" si="7"/>
        <v>2617753</v>
      </c>
      <c r="E37" s="236">
        <f>SUM(E29:E36)</f>
        <v>2768072</v>
      </c>
      <c r="F37" s="236">
        <f>SUM(F29:F36)</f>
        <v>927575</v>
      </c>
      <c r="G37" s="236">
        <f t="shared" si="7"/>
        <v>0</v>
      </c>
      <c r="H37" s="236">
        <f t="shared" si="7"/>
        <v>6313400</v>
      </c>
      <c r="I37" s="237">
        <f t="shared" si="7"/>
        <v>5569700</v>
      </c>
      <c r="J37" s="233"/>
      <c r="K37" s="329"/>
      <c r="L37" s="330"/>
      <c r="M37" s="330"/>
    </row>
    <row r="38" spans="1:13" ht="21.75" customHeight="1" thickTop="1">
      <c r="A38" s="5" t="s">
        <v>98</v>
      </c>
      <c r="B38" s="6"/>
      <c r="C38" s="190"/>
      <c r="D38" s="201"/>
      <c r="E38" s="201"/>
      <c r="F38" s="201"/>
      <c r="G38" s="201"/>
      <c r="H38" s="201"/>
      <c r="I38" s="210"/>
    </row>
    <row r="39" spans="1:13" ht="21.75" customHeight="1">
      <c r="A39" s="9"/>
      <c r="B39" s="130" t="s">
        <v>93</v>
      </c>
      <c r="C39" s="216">
        <v>5000</v>
      </c>
      <c r="D39" s="177">
        <f>+'ต.ค.-ธ.ค.'!E41+'ต.ค.-ธ.ค.'!F41+'ต.ค.-ธ.ค.'!H41+'ต.ค.-ธ.ค.'!I41+'ต.ค.-ธ.ค.'!M41+'ต.ค.-ธ.ค.'!Q41+'ต.ค.-ธ.ค.'!S41</f>
        <v>0</v>
      </c>
      <c r="E39" s="177">
        <f>+'ม.ค.-มี.ค.'!E41+'ม.ค.-มี.ค.'!F41+'ม.ค.-มี.ค.'!H41+'ม.ค.-มี.ค.'!I41+'ม.ค.-มี.ค.'!K41+'ม.ค.-มี.ค.'!M41+'ม.ค.-มี.ค.'!N41</f>
        <v>0</v>
      </c>
      <c r="F39" s="177">
        <f>+เม.ย.!E40+เม.ย.!F40+เม.ย.!H40+เม.ย.!I40+เม.ย.!M40+เม.ย.!N40+เม.ย.!P40+เม.ย.!R40</f>
        <v>0</v>
      </c>
      <c r="G39" s="177"/>
      <c r="H39" s="177">
        <f>SUM(D39:G39)</f>
        <v>0</v>
      </c>
      <c r="I39" s="208">
        <f t="shared" ref="I39:I46" si="8">+C39-H39</f>
        <v>5000</v>
      </c>
    </row>
    <row r="40" spans="1:13" s="172" customFormat="1" ht="21.75" customHeight="1">
      <c r="A40" s="9"/>
      <c r="B40" s="130" t="s">
        <v>205</v>
      </c>
      <c r="C40" s="285">
        <v>10000</v>
      </c>
      <c r="D40" s="177">
        <f>+'ต.ค.-ธ.ค.'!E42+'ต.ค.-ธ.ค.'!F42+'ต.ค.-ธ.ค.'!H42+'ต.ค.-ธ.ค.'!I42+'ต.ค.-ธ.ค.'!M42+'ต.ค.-ธ.ค.'!Q42+'ต.ค.-ธ.ค.'!S42</f>
        <v>0</v>
      </c>
      <c r="E40" s="177">
        <f>+'ม.ค.-มี.ค.'!E42+'ม.ค.-มี.ค.'!F42+'ม.ค.-มี.ค.'!H42+'ม.ค.-มี.ค.'!I42+'ม.ค.-มี.ค.'!K42+'ม.ค.-มี.ค.'!M42+'ม.ค.-มี.ค.'!N42</f>
        <v>0</v>
      </c>
      <c r="F40" s="177">
        <f>+เม.ย.!E41+เม.ย.!F41+เม.ย.!H41+เม.ย.!I41+เม.ย.!M41+เม.ย.!N41+เม.ย.!P41+เม.ย.!R41</f>
        <v>0</v>
      </c>
      <c r="G40" s="199"/>
      <c r="H40" s="177">
        <f t="shared" ref="H40:H46" si="9">SUM(D40:G40)</f>
        <v>0</v>
      </c>
      <c r="I40" s="208">
        <f t="shared" si="8"/>
        <v>10000</v>
      </c>
      <c r="J40" s="233"/>
      <c r="K40" s="329"/>
      <c r="L40" s="330"/>
      <c r="M40" s="330"/>
    </row>
    <row r="41" spans="1:13" ht="21.75" customHeight="1">
      <c r="A41" s="9"/>
      <c r="B41" s="130" t="s">
        <v>94</v>
      </c>
      <c r="C41" s="285">
        <v>10000</v>
      </c>
      <c r="D41" s="177">
        <f>+'ต.ค.-ธ.ค.'!E43+'ต.ค.-ธ.ค.'!F43+'ต.ค.-ธ.ค.'!H43+'ต.ค.-ธ.ค.'!I43+'ต.ค.-ธ.ค.'!M43+'ต.ค.-ธ.ค.'!Q43+'ต.ค.-ธ.ค.'!S43</f>
        <v>0</v>
      </c>
      <c r="E41" s="177">
        <f>+'ม.ค.-มี.ค.'!E43+'ม.ค.-มี.ค.'!F43+'ม.ค.-มี.ค.'!H43+'ม.ค.-มี.ค.'!I43+'ม.ค.-มี.ค.'!K43+'ม.ค.-มี.ค.'!M43+'ม.ค.-มี.ค.'!N43</f>
        <v>0</v>
      </c>
      <c r="F41" s="177">
        <f>+เม.ย.!E42+เม.ย.!F42+เม.ย.!H42+เม.ย.!I42+เม.ย.!M42+เม.ย.!N42+เม.ย.!P42+เม.ย.!R42</f>
        <v>0</v>
      </c>
      <c r="G41" s="180"/>
      <c r="H41" s="177">
        <f t="shared" si="9"/>
        <v>0</v>
      </c>
      <c r="I41" s="208">
        <f t="shared" si="8"/>
        <v>10000</v>
      </c>
      <c r="L41" s="337"/>
      <c r="M41" s="337"/>
    </row>
    <row r="42" spans="1:13" s="168" customFormat="1" ht="21" customHeight="1">
      <c r="A42" s="9"/>
      <c r="B42" s="130" t="s">
        <v>95</v>
      </c>
      <c r="C42" s="192">
        <v>5000</v>
      </c>
      <c r="D42" s="177">
        <f>+'ต.ค.-ธ.ค.'!E44+'ต.ค.-ธ.ค.'!F44+'ต.ค.-ธ.ค.'!H44+'ต.ค.-ธ.ค.'!I44+'ต.ค.-ธ.ค.'!M44+'ต.ค.-ธ.ค.'!Q44+'ต.ค.-ธ.ค.'!S44</f>
        <v>0</v>
      </c>
      <c r="E42" s="177">
        <f>+'ม.ค.-มี.ค.'!E44+'ม.ค.-มี.ค.'!F44+'ม.ค.-มี.ค.'!H44+'ม.ค.-มี.ค.'!I44+'ม.ค.-มี.ค.'!K44+'ม.ค.-มี.ค.'!M44+'ม.ค.-มี.ค.'!N44</f>
        <v>0</v>
      </c>
      <c r="F42" s="177">
        <f>+เม.ย.!E43+เม.ย.!F43+เม.ย.!H43+เม.ย.!I43+เม.ย.!M43+เม.ย.!N43+เม.ย.!P43+เม.ย.!R43</f>
        <v>0</v>
      </c>
      <c r="G42" s="179"/>
      <c r="H42" s="177">
        <f t="shared" si="9"/>
        <v>0</v>
      </c>
      <c r="I42" s="208">
        <f t="shared" si="8"/>
        <v>5000</v>
      </c>
      <c r="J42" s="233"/>
      <c r="K42" s="331"/>
      <c r="L42" s="338"/>
      <c r="M42" s="338"/>
    </row>
    <row r="43" spans="1:13" ht="21.75" customHeight="1">
      <c r="A43" s="9"/>
      <c r="B43" s="130" t="s">
        <v>96</v>
      </c>
      <c r="C43" s="192">
        <v>5000</v>
      </c>
      <c r="D43" s="177">
        <f>+'ต.ค.-ธ.ค.'!E45+'ต.ค.-ธ.ค.'!F45+'ต.ค.-ธ.ค.'!H45+'ต.ค.-ธ.ค.'!I45+'ต.ค.-ธ.ค.'!M45+'ต.ค.-ธ.ค.'!Q45+'ต.ค.-ธ.ค.'!S45</f>
        <v>0</v>
      </c>
      <c r="E43" s="177">
        <f>+'ม.ค.-มี.ค.'!E45+'ม.ค.-มี.ค.'!F45+'ม.ค.-มี.ค.'!H45+'ม.ค.-มี.ค.'!I45+'ม.ค.-มี.ค.'!K45+'ม.ค.-มี.ค.'!M45+'ม.ค.-มี.ค.'!N45</f>
        <v>0</v>
      </c>
      <c r="F43" s="177">
        <f>+เม.ย.!E44+เม.ย.!F44+เม.ย.!H44+เม.ย.!I44+เม.ย.!M44+เม.ย.!N44+เม.ย.!P44+เม.ย.!R44</f>
        <v>0</v>
      </c>
      <c r="G43" s="179"/>
      <c r="H43" s="177">
        <f t="shared" si="9"/>
        <v>0</v>
      </c>
      <c r="I43" s="208">
        <f t="shared" si="8"/>
        <v>5000</v>
      </c>
      <c r="L43" s="337"/>
      <c r="M43" s="337"/>
    </row>
    <row r="44" spans="1:13" ht="21.75" customHeight="1">
      <c r="A44" s="9"/>
      <c r="B44" s="130" t="s">
        <v>10</v>
      </c>
      <c r="C44" s="216">
        <f>144000+36000+78000+78000</f>
        <v>336000</v>
      </c>
      <c r="D44" s="177">
        <f>+'ต.ค.-ธ.ค.'!E46+'ต.ค.-ธ.ค.'!F46+'ต.ค.-ธ.ค.'!H46+'ต.ค.-ธ.ค.'!I46+'ต.ค.-ธ.ค.'!M46+'ต.ค.-ธ.ค.'!Q46+'ต.ค.-ธ.ค.'!S46</f>
        <v>77500</v>
      </c>
      <c r="E44" s="177">
        <f>+'ม.ค.-มี.ค.'!E46+'ม.ค.-มี.ค.'!F46+'ม.ค.-มี.ค.'!H46+'ม.ค.-มี.ค.'!I46+'ม.ค.-มี.ค.'!K46+'ม.ค.-มี.ค.'!M46+'ม.ค.-มี.ค.'!N46</f>
        <v>78000</v>
      </c>
      <c r="F44" s="177">
        <f>+เม.ย.!E45+เม.ย.!F45+เม.ย.!H45+เม.ย.!I45+เม.ย.!M45+เม.ย.!N45+เม.ย.!P45+เม.ย.!R45</f>
        <v>26000</v>
      </c>
      <c r="G44" s="179"/>
      <c r="H44" s="177">
        <f t="shared" si="9"/>
        <v>181500</v>
      </c>
      <c r="I44" s="208">
        <f t="shared" si="8"/>
        <v>154500</v>
      </c>
      <c r="M44" s="337"/>
    </row>
    <row r="45" spans="1:13" ht="21.75" customHeight="1">
      <c r="A45" s="9"/>
      <c r="B45" s="130" t="s">
        <v>9</v>
      </c>
      <c r="C45" s="216">
        <f>25000+10000+30000+20000</f>
        <v>85000</v>
      </c>
      <c r="D45" s="177">
        <f>+'ต.ค.-ธ.ค.'!E47+'ต.ค.-ธ.ค.'!F47+'ต.ค.-ธ.ค.'!H47+'ต.ค.-ธ.ค.'!I47+'ต.ค.-ธ.ค.'!M47+'ต.ค.-ธ.ค.'!Q47+'ต.ค.-ธ.ค.'!S47</f>
        <v>2800</v>
      </c>
      <c r="E45" s="177">
        <f>+'ม.ค.-มี.ค.'!E47+'ม.ค.-มี.ค.'!F47+'ม.ค.-มี.ค.'!H47+'ม.ค.-มี.ค.'!I47+'ม.ค.-มี.ค.'!K47+'ม.ค.-มี.ค.'!M47+'ม.ค.-มี.ค.'!N47</f>
        <v>36300</v>
      </c>
      <c r="F45" s="177">
        <f>+เม.ย.!E46+เม.ย.!F46+เม.ย.!H46+เม.ย.!I46+เม.ย.!M46+เม.ย.!N46+เม.ย.!P46+เม.ย.!R46</f>
        <v>4800</v>
      </c>
      <c r="G45" s="179"/>
      <c r="H45" s="177">
        <f t="shared" si="9"/>
        <v>43900</v>
      </c>
      <c r="I45" s="208">
        <f t="shared" si="8"/>
        <v>41100</v>
      </c>
      <c r="M45" s="337"/>
    </row>
    <row r="46" spans="1:13" ht="21.75" customHeight="1">
      <c r="A46" s="197"/>
      <c r="B46" s="198" t="s">
        <v>241</v>
      </c>
      <c r="C46" s="286">
        <v>44200</v>
      </c>
      <c r="D46" s="177">
        <f>+'ต.ค.-ธ.ค.'!E48+'ต.ค.-ธ.ค.'!F48+'ต.ค.-ธ.ค.'!H48+'ต.ค.-ธ.ค.'!I48+'ต.ค.-ธ.ค.'!M48+'ต.ค.-ธ.ค.'!Q48+'ต.ค.-ธ.ค.'!S48</f>
        <v>0</v>
      </c>
      <c r="E46" s="177">
        <f>+'ม.ค.-มี.ค.'!E48+'ม.ค.-มี.ค.'!F48+'ม.ค.-มี.ค.'!H48+'ม.ค.-มี.ค.'!I48+'ม.ค.-มี.ค.'!K48+'ม.ค.-มี.ค.'!M48+'ม.ค.-มี.ค.'!N48</f>
        <v>0</v>
      </c>
      <c r="F46" s="177">
        <f>+เม.ย.!E47+เม.ย.!F47+เม.ย.!H47+เม.ย.!I47+เม.ย.!M47+เม.ย.!N47+เม.ย.!P47+เม.ย.!R47</f>
        <v>0</v>
      </c>
      <c r="G46" s="184"/>
      <c r="H46" s="178">
        <f t="shared" si="9"/>
        <v>0</v>
      </c>
      <c r="I46" s="209">
        <f t="shared" si="8"/>
        <v>44200</v>
      </c>
    </row>
    <row r="47" spans="1:13" s="221" customFormat="1" ht="21.75" customHeight="1" thickBot="1">
      <c r="A47" s="46"/>
      <c r="B47" s="47" t="s">
        <v>5</v>
      </c>
      <c r="C47" s="289">
        <f t="shared" ref="C47:I47" si="10">SUM(C39:C46)</f>
        <v>500200</v>
      </c>
      <c r="D47" s="236">
        <f t="shared" si="10"/>
        <v>80300</v>
      </c>
      <c r="E47" s="236">
        <f>SUM(E39:E46)</f>
        <v>114300</v>
      </c>
      <c r="F47" s="236">
        <f>SUM(F39:F46)</f>
        <v>30800</v>
      </c>
      <c r="G47" s="236">
        <f t="shared" si="10"/>
        <v>0</v>
      </c>
      <c r="H47" s="236">
        <f t="shared" si="10"/>
        <v>225400</v>
      </c>
      <c r="I47" s="237">
        <f t="shared" si="10"/>
        <v>274800</v>
      </c>
      <c r="J47" s="233"/>
      <c r="K47" s="329"/>
      <c r="L47" s="330"/>
      <c r="M47" s="330"/>
    </row>
    <row r="48" spans="1:13" s="168" customFormat="1" ht="21.75" customHeight="1" thickTop="1">
      <c r="A48" s="5" t="s">
        <v>99</v>
      </c>
      <c r="B48" s="6"/>
      <c r="C48" s="190"/>
      <c r="D48" s="179"/>
      <c r="E48" s="179"/>
      <c r="F48" s="179"/>
      <c r="G48" s="179"/>
      <c r="H48" s="179"/>
      <c r="I48" s="207"/>
      <c r="J48" s="233"/>
      <c r="K48" s="331"/>
      <c r="L48" s="247"/>
      <c r="M48" s="247"/>
    </row>
    <row r="49" spans="1:13" ht="21.75" customHeight="1">
      <c r="A49" s="5"/>
      <c r="B49" s="130" t="s">
        <v>100</v>
      </c>
      <c r="C49" s="281">
        <f>15000+7000+20000+15000</f>
        <v>57000</v>
      </c>
      <c r="D49" s="177">
        <f>+'ต.ค.-ธ.ค.'!E52+'ต.ค.-ธ.ค.'!F52+'ต.ค.-ธ.ค.'!H52+'ต.ค.-ธ.ค.'!I52+'ต.ค.-ธ.ค.'!M52+'ต.ค.-ธ.ค.'!Q52+'ต.ค.-ธ.ค.'!S52</f>
        <v>0</v>
      </c>
      <c r="E49" s="177">
        <f>+'ม.ค.-มี.ค.'!D51+'ม.ค.-มี.ค.'!E51+'ม.ค.-มี.ค.'!F51+'ม.ค.-มี.ค.'!G51+'ม.ค.-มี.ค.'!H51+'ม.ค.-มี.ค.'!I51+'ม.ค.-มี.ค.'!J51+'ม.ค.-มี.ค.'!K51+'ม.ค.-มี.ค.'!L51+'ม.ค.-มี.ค.'!M51+'ม.ค.-มี.ค.'!N51+'ม.ค.-มี.ค.'!O51+'ม.ค.-มี.ค.'!P51+'ม.ค.-มี.ค.'!Q51+'ม.ค.-มี.ค.'!R51+'ม.ค.-มี.ค.'!S51+'ม.ค.-มี.ค.'!U51+'ม.ค.-มี.ค.'!V51</f>
        <v>7102</v>
      </c>
      <c r="F49" s="177">
        <f>+เม.ย.!D50+เม.ย.!E50+เม.ย.!F50+เม.ย.!H50+เม.ย.!I50+เม.ย.!M50+เม.ย.!N50+เม.ย.!P50+เม.ย.!R50</f>
        <v>22500</v>
      </c>
      <c r="G49" s="179"/>
      <c r="H49" s="179">
        <f>SUM(D49:G49)</f>
        <v>29602</v>
      </c>
      <c r="I49" s="208">
        <f t="shared" ref="I49:I112" si="11">+C49-H49</f>
        <v>27398</v>
      </c>
    </row>
    <row r="50" spans="1:13" ht="21.75" customHeight="1">
      <c r="A50" s="5"/>
      <c r="B50" s="130" t="s">
        <v>226</v>
      </c>
      <c r="C50" s="281">
        <f>1044000+124000+384000+296000-47000+10000+156000+65000</f>
        <v>2032000</v>
      </c>
      <c r="D50" s="177">
        <f>+'ต.ค.-ธ.ค.'!E53+'ต.ค.-ธ.ค.'!F53+'ต.ค.-ธ.ค.'!H53+'ต.ค.-ธ.ค.'!I53+'ต.ค.-ธ.ค.'!M53+'ต.ค.-ธ.ค.'!Q53+'ต.ค.-ธ.ค.'!S53</f>
        <v>462503</v>
      </c>
      <c r="E50" s="177">
        <f>+'ม.ค.-มี.ค.'!D52+'ม.ค.-มี.ค.'!E52+'ม.ค.-มี.ค.'!F52+'ม.ค.-มี.ค.'!G52+'ม.ค.-มี.ค.'!H52+'ม.ค.-มี.ค.'!I52+'ม.ค.-มี.ค.'!J52+'ม.ค.-มี.ค.'!K52+'ม.ค.-มี.ค.'!L52+'ม.ค.-มี.ค.'!M52+'ม.ค.-มี.ค.'!N52+'ม.ค.-มี.ค.'!O52+'ม.ค.-มี.ค.'!P52+'ม.ค.-มี.ค.'!Q52+'ม.ค.-มี.ค.'!R52+'ม.ค.-มี.ค.'!S52+'ม.ค.-มี.ค.'!U52+'ม.ค.-มี.ค.'!V52</f>
        <v>683071</v>
      </c>
      <c r="F50" s="177">
        <f>+เม.ย.!D51+เม.ย.!E51+เม.ย.!F51+เม.ย.!H51+เม.ย.!I51+เม.ย.!M51+เม.ย.!N51+เม.ย.!P51+เม.ย.!R51</f>
        <v>216338</v>
      </c>
      <c r="G50" s="179"/>
      <c r="H50" s="179">
        <f>SUM(D50:G50)</f>
        <v>1361912</v>
      </c>
      <c r="I50" s="208">
        <f t="shared" si="11"/>
        <v>670088</v>
      </c>
    </row>
    <row r="51" spans="1:13" ht="21.75" customHeight="1">
      <c r="A51" s="5"/>
      <c r="B51" s="130" t="s">
        <v>223</v>
      </c>
      <c r="C51" s="281">
        <v>200000</v>
      </c>
      <c r="D51" s="177">
        <f>+'ต.ค.-ธ.ค.'!E54+'ต.ค.-ธ.ค.'!F54+'ต.ค.-ธ.ค.'!H54+'ต.ค.-ธ.ค.'!I54+'ต.ค.-ธ.ค.'!M54+'ต.ค.-ธ.ค.'!Q54+'ต.ค.-ธ.ค.'!S54</f>
        <v>0</v>
      </c>
      <c r="E51" s="177">
        <f>+'ม.ค.-มี.ค.'!D53+'ม.ค.-มี.ค.'!E53+'ม.ค.-มี.ค.'!F53+'ม.ค.-มี.ค.'!G53+'ม.ค.-มี.ค.'!H53+'ม.ค.-มี.ค.'!I53+'ม.ค.-มี.ค.'!J53+'ม.ค.-มี.ค.'!K53+'ม.ค.-มี.ค.'!L53+'ม.ค.-มี.ค.'!M53+'ม.ค.-มี.ค.'!N53+'ม.ค.-มี.ค.'!O53+'ม.ค.-มี.ค.'!P53+'ม.ค.-มี.ค.'!Q53+'ม.ค.-มี.ค.'!R53+'ม.ค.-มี.ค.'!S53+'ม.ค.-มี.ค.'!U53+'ม.ค.-มี.ค.'!V53</f>
        <v>50000</v>
      </c>
      <c r="F51" s="177">
        <f>+เม.ย.!D52+เม.ย.!E52+เม.ย.!F52+เม.ย.!H52+เม.ย.!I52+เม.ย.!M52+เม.ย.!N52+เม.ย.!P52+เม.ย.!R52</f>
        <v>50000</v>
      </c>
      <c r="G51" s="179"/>
      <c r="H51" s="179">
        <f t="shared" ref="H51:H114" si="12">SUM(D51:G51)</f>
        <v>100000</v>
      </c>
      <c r="I51" s="208">
        <f t="shared" si="11"/>
        <v>100000</v>
      </c>
    </row>
    <row r="52" spans="1:13" ht="21.75" customHeight="1">
      <c r="A52" s="5"/>
      <c r="B52" s="130" t="s">
        <v>224</v>
      </c>
      <c r="C52" s="281">
        <v>20000</v>
      </c>
      <c r="D52" s="177">
        <f>+'ต.ค.-ธ.ค.'!E55+'ต.ค.-ธ.ค.'!F55+'ต.ค.-ธ.ค.'!H55+'ต.ค.-ธ.ค.'!I55+'ต.ค.-ธ.ค.'!M55+'ต.ค.-ธ.ค.'!Q55+'ต.ค.-ธ.ค.'!S55</f>
        <v>0</v>
      </c>
      <c r="E52" s="177">
        <f>+'ม.ค.-มี.ค.'!D54+'ม.ค.-มี.ค.'!E54+'ม.ค.-มี.ค.'!F54+'ม.ค.-มี.ค.'!G54+'ม.ค.-มี.ค.'!H54+'ม.ค.-มี.ค.'!I54+'ม.ค.-มี.ค.'!J54+'ม.ค.-มี.ค.'!K54+'ม.ค.-มี.ค.'!L54+'ม.ค.-มี.ค.'!M54+'ม.ค.-มี.ค.'!N54+'ม.ค.-มี.ค.'!O54+'ม.ค.-มี.ค.'!P54+'ม.ค.-มี.ค.'!Q54+'ม.ค.-มี.ค.'!R54+'ม.ค.-มี.ค.'!S54+'ม.ค.-มี.ค.'!U54+'ม.ค.-มี.ค.'!V54</f>
        <v>0</v>
      </c>
      <c r="F52" s="177">
        <f>+เม.ย.!D53+เม.ย.!E53+เม.ย.!F53+เม.ย.!H53+เม.ย.!I53+เม.ย.!M53+เม.ย.!N53+เม.ย.!P53+เม.ย.!R53</f>
        <v>0</v>
      </c>
      <c r="G52" s="179"/>
      <c r="H52" s="179">
        <f t="shared" si="12"/>
        <v>0</v>
      </c>
      <c r="I52" s="208">
        <f t="shared" si="11"/>
        <v>20000</v>
      </c>
    </row>
    <row r="53" spans="1:13" ht="21.75" customHeight="1">
      <c r="A53" s="5"/>
      <c r="B53" s="130" t="s">
        <v>225</v>
      </c>
      <c r="C53" s="281">
        <f>10000+14000</f>
        <v>24000</v>
      </c>
      <c r="D53" s="177">
        <f>+'ต.ค.-ธ.ค.'!E56+'ต.ค.-ธ.ค.'!F56+'ต.ค.-ธ.ค.'!H56+'ต.ค.-ธ.ค.'!I56+'ต.ค.-ธ.ค.'!M56+'ต.ค.-ธ.ค.'!Q56+'ต.ค.-ธ.ค.'!S56</f>
        <v>4810</v>
      </c>
      <c r="E53" s="177">
        <f>+'ม.ค.-มี.ค.'!D55+'ม.ค.-มี.ค.'!E55+'ม.ค.-มี.ค.'!F55+'ม.ค.-มี.ค.'!G55+'ม.ค.-มี.ค.'!H55+'ม.ค.-มี.ค.'!I55+'ม.ค.-มี.ค.'!J55+'ม.ค.-มี.ค.'!K55+'ม.ค.-มี.ค.'!L55+'ม.ค.-มี.ค.'!M55+'ม.ค.-มี.ค.'!N55+'ม.ค.-มี.ค.'!O55+'ม.ค.-มี.ค.'!P55+'ม.ค.-มี.ค.'!Q55+'ม.ค.-มี.ค.'!R55+'ม.ค.-มี.ค.'!S55+'ม.ค.-มี.ค.'!U55+'ม.ค.-มี.ค.'!V55</f>
        <v>7450</v>
      </c>
      <c r="F53" s="177">
        <f>+เม.ย.!D54+เม.ย.!E54+เม.ย.!F54+เม.ย.!H54+เม.ย.!I54+เม.ย.!M54+เม.ย.!N54+เม.ย.!P54+เม.ย.!R54</f>
        <v>0</v>
      </c>
      <c r="G53" s="179"/>
      <c r="H53" s="179">
        <f>SUM(D53:G53)</f>
        <v>12260</v>
      </c>
      <c r="I53" s="208">
        <f t="shared" si="11"/>
        <v>11740</v>
      </c>
    </row>
    <row r="54" spans="1:13" ht="21.75" customHeight="1">
      <c r="A54" s="5"/>
      <c r="B54" s="130" t="s">
        <v>227</v>
      </c>
      <c r="C54" s="281">
        <v>40000</v>
      </c>
      <c r="D54" s="177">
        <f>+'ต.ค.-ธ.ค.'!E57+'ต.ค.-ธ.ค.'!F57+'ต.ค.-ธ.ค.'!H57+'ต.ค.-ธ.ค.'!I57+'ต.ค.-ธ.ค.'!M57+'ต.ค.-ธ.ค.'!Q57+'ต.ค.-ธ.ค.'!S57</f>
        <v>0</v>
      </c>
      <c r="E54" s="177">
        <f>+'ม.ค.-มี.ค.'!D56+'ม.ค.-มี.ค.'!E56+'ม.ค.-มี.ค.'!F56+'ม.ค.-มี.ค.'!G56+'ม.ค.-มี.ค.'!H56+'ม.ค.-มี.ค.'!I56+'ม.ค.-มี.ค.'!J56+'ม.ค.-มี.ค.'!K56+'ม.ค.-มี.ค.'!L56+'ม.ค.-มี.ค.'!M56+'ม.ค.-มี.ค.'!N56+'ม.ค.-มี.ค.'!O56+'ม.ค.-มี.ค.'!P56+'ม.ค.-มี.ค.'!Q56+'ม.ค.-มี.ค.'!R56+'ม.ค.-มี.ค.'!S56+'ม.ค.-มี.ค.'!U56+'ม.ค.-มี.ค.'!V56</f>
        <v>0</v>
      </c>
      <c r="F54" s="177">
        <f>+เม.ย.!D55+เม.ย.!E55+เม.ย.!F55+เม.ย.!H55+เม.ย.!I55+เม.ย.!M55+เม.ย.!N55+เม.ย.!P55+เม.ย.!R55</f>
        <v>0</v>
      </c>
      <c r="G54" s="179"/>
      <c r="H54" s="179">
        <f t="shared" si="12"/>
        <v>0</v>
      </c>
      <c r="I54" s="208">
        <f t="shared" si="11"/>
        <v>40000</v>
      </c>
    </row>
    <row r="55" spans="1:13" ht="21.75" customHeight="1">
      <c r="A55" s="5"/>
      <c r="B55" s="130" t="s">
        <v>228</v>
      </c>
      <c r="C55" s="281">
        <v>9000</v>
      </c>
      <c r="D55" s="177">
        <f>+'ต.ค.-ธ.ค.'!E58+'ต.ค.-ธ.ค.'!F58+'ต.ค.-ธ.ค.'!H58+'ต.ค.-ธ.ค.'!I58+'ต.ค.-ธ.ค.'!M58+'ต.ค.-ธ.ค.'!Q58+'ต.ค.-ธ.ค.'!S58</f>
        <v>0</v>
      </c>
      <c r="E55" s="177">
        <f>+'ม.ค.-มี.ค.'!D57+'ม.ค.-มี.ค.'!E57+'ม.ค.-มี.ค.'!F57+'ม.ค.-มี.ค.'!G57+'ม.ค.-มี.ค.'!H57+'ม.ค.-มี.ค.'!I57+'ม.ค.-มี.ค.'!J57+'ม.ค.-มี.ค.'!K57+'ม.ค.-มี.ค.'!L57+'ม.ค.-มี.ค.'!M57+'ม.ค.-มี.ค.'!N57+'ม.ค.-มี.ค.'!O57+'ม.ค.-มี.ค.'!P57+'ม.ค.-มี.ค.'!Q57+'ม.ค.-มี.ค.'!R57+'ม.ค.-มี.ค.'!S57+'ม.ค.-มี.ค.'!U57+'ม.ค.-มี.ค.'!V57</f>
        <v>0</v>
      </c>
      <c r="F55" s="177">
        <f>+เม.ย.!D56+เม.ย.!E56+เม.ย.!F56+เม.ย.!H56+เม.ย.!I56+เม.ย.!M56+เม.ย.!N56+เม.ย.!P56+เม.ย.!R56</f>
        <v>0</v>
      </c>
      <c r="G55" s="179"/>
      <c r="H55" s="179">
        <f t="shared" si="12"/>
        <v>0</v>
      </c>
      <c r="I55" s="208">
        <f t="shared" si="11"/>
        <v>9000</v>
      </c>
    </row>
    <row r="56" spans="1:13" s="168" customFormat="1" ht="21.75" customHeight="1">
      <c r="A56" s="5"/>
      <c r="B56" s="130" t="s">
        <v>11</v>
      </c>
      <c r="C56" s="281">
        <f>10000+60000+20000</f>
        <v>90000</v>
      </c>
      <c r="D56" s="177">
        <f>+'ต.ค.-ธ.ค.'!E59+'ต.ค.-ธ.ค.'!F59+'ต.ค.-ธ.ค.'!H59+'ต.ค.-ธ.ค.'!I59+'ต.ค.-ธ.ค.'!M59+'ต.ค.-ธ.ค.'!Q59+'ต.ค.-ธ.ค.'!S59</f>
        <v>1902</v>
      </c>
      <c r="E56" s="177">
        <f>+'ม.ค.-มี.ค.'!D58+'ม.ค.-มี.ค.'!E58+'ม.ค.-มี.ค.'!F58+'ม.ค.-มี.ค.'!G58+'ม.ค.-มี.ค.'!H58+'ม.ค.-มี.ค.'!I58+'ม.ค.-มี.ค.'!J58+'ม.ค.-มี.ค.'!K58+'ม.ค.-มี.ค.'!L58+'ม.ค.-มี.ค.'!M58+'ม.ค.-มี.ค.'!N58+'ม.ค.-มี.ค.'!O58+'ม.ค.-มี.ค.'!P58+'ม.ค.-มี.ค.'!Q58+'ม.ค.-มี.ค.'!R58+'ม.ค.-มี.ค.'!S58+'ม.ค.-มี.ค.'!U58+'ม.ค.-มี.ค.'!V58</f>
        <v>10967</v>
      </c>
      <c r="F56" s="177">
        <f>+เม.ย.!D57+เม.ย.!E57+เม.ย.!F57+เม.ย.!H57+เม.ย.!I57+เม.ย.!M57+เม.ย.!N57+เม.ย.!P57+เม.ย.!R57</f>
        <v>0</v>
      </c>
      <c r="G56" s="179"/>
      <c r="H56" s="179">
        <f t="shared" si="12"/>
        <v>12869</v>
      </c>
      <c r="I56" s="207">
        <f t="shared" si="11"/>
        <v>77131</v>
      </c>
      <c r="J56" s="233"/>
      <c r="K56" s="331"/>
      <c r="L56" s="247"/>
      <c r="M56" s="247"/>
    </row>
    <row r="57" spans="1:13" ht="21.75" customHeight="1">
      <c r="A57" s="5"/>
      <c r="B57" s="130" t="s">
        <v>229</v>
      </c>
      <c r="C57" s="281">
        <v>10000</v>
      </c>
      <c r="D57" s="177">
        <f>+'ต.ค.-ธ.ค.'!E60+'ต.ค.-ธ.ค.'!F60+'ต.ค.-ธ.ค.'!H60+'ต.ค.-ธ.ค.'!I60+'ต.ค.-ธ.ค.'!M60+'ต.ค.-ธ.ค.'!Q60+'ต.ค.-ธ.ค.'!S60</f>
        <v>1047</v>
      </c>
      <c r="E57" s="177">
        <f>+'ม.ค.-มี.ค.'!D59+'ม.ค.-มี.ค.'!E59+'ม.ค.-มี.ค.'!F59+'ม.ค.-มี.ค.'!G59+'ม.ค.-มี.ค.'!H59+'ม.ค.-มี.ค.'!I59+'ม.ค.-มี.ค.'!J59+'ม.ค.-มี.ค.'!K59+'ม.ค.-มี.ค.'!L59+'ม.ค.-มี.ค.'!M59+'ม.ค.-มี.ค.'!N59+'ม.ค.-มี.ค.'!O59+'ม.ค.-มี.ค.'!P59+'ม.ค.-มี.ค.'!Q59+'ม.ค.-มี.ค.'!R59+'ม.ค.-มี.ค.'!S59+'ม.ค.-มี.ค.'!U59+'ม.ค.-มี.ค.'!V59</f>
        <v>3450</v>
      </c>
      <c r="F57" s="177">
        <f>+เม.ย.!D58+เม.ย.!E58+เม.ย.!F58+เม.ย.!H58+เม.ย.!I58+เม.ย.!M58+เม.ย.!N58+เม.ย.!P58+เม.ย.!R58</f>
        <v>762</v>
      </c>
      <c r="G57" s="179"/>
      <c r="H57" s="179">
        <f t="shared" si="12"/>
        <v>5259</v>
      </c>
      <c r="I57" s="208">
        <f t="shared" si="11"/>
        <v>4741</v>
      </c>
      <c r="J57" s="248"/>
    </row>
    <row r="58" spans="1:13" ht="21.75" customHeight="1">
      <c r="A58" s="5"/>
      <c r="B58" s="130" t="s">
        <v>230</v>
      </c>
      <c r="C58" s="281">
        <v>20000</v>
      </c>
      <c r="D58" s="177">
        <f>+'ต.ค.-ธ.ค.'!E61+'ต.ค.-ธ.ค.'!F61+'ต.ค.-ธ.ค.'!H61+'ต.ค.-ธ.ค.'!I61+'ต.ค.-ธ.ค.'!M61+'ต.ค.-ธ.ค.'!Q61+'ต.ค.-ธ.ค.'!S61</f>
        <v>61400</v>
      </c>
      <c r="E58" s="177">
        <f>+'ม.ค.-มี.ค.'!D60+'ม.ค.-มี.ค.'!E60+'ม.ค.-มี.ค.'!F60+'ม.ค.-มี.ค.'!G60+'ม.ค.-มี.ค.'!H60+'ม.ค.-มี.ค.'!I60+'ม.ค.-มี.ค.'!J60+'ม.ค.-มี.ค.'!K60+'ม.ค.-มี.ค.'!L60+'ม.ค.-มี.ค.'!M60+'ม.ค.-มี.ค.'!N60+'ม.ค.-มี.ค.'!O60+'ม.ค.-มี.ค.'!P60+'ม.ค.-มี.ค.'!Q60+'ม.ค.-มี.ค.'!R60+'ม.ค.-มี.ค.'!S60+'ม.ค.-มี.ค.'!U60+'ม.ค.-มี.ค.'!V60</f>
        <v>0</v>
      </c>
      <c r="F58" s="177">
        <f>+เม.ย.!D59+เม.ย.!E59+เม.ย.!F59+เม.ย.!H59+เม.ย.!I59+เม.ย.!M59+เม.ย.!N59+เม.ย.!P59+เม.ย.!R59</f>
        <v>0</v>
      </c>
      <c r="G58" s="179"/>
      <c r="H58" s="179">
        <f t="shared" si="12"/>
        <v>61400</v>
      </c>
      <c r="I58" s="208">
        <f t="shared" si="11"/>
        <v>-41400</v>
      </c>
    </row>
    <row r="59" spans="1:13" ht="21.75" customHeight="1">
      <c r="A59" s="9"/>
      <c r="B59" s="130" t="s">
        <v>50</v>
      </c>
      <c r="C59" s="280">
        <v>10000</v>
      </c>
      <c r="D59" s="177">
        <f>+'ต.ค.-ธ.ค.'!E62+'ต.ค.-ธ.ค.'!F62+'ต.ค.-ธ.ค.'!H62+'ต.ค.-ธ.ค.'!I62+'ต.ค.-ธ.ค.'!M62+'ต.ค.-ธ.ค.'!Q62+'ต.ค.-ธ.ค.'!S62</f>
        <v>0</v>
      </c>
      <c r="E59" s="177">
        <f>+'ม.ค.-มี.ค.'!D61+'ม.ค.-มี.ค.'!E61+'ม.ค.-มี.ค.'!F61+'ม.ค.-มี.ค.'!G61+'ม.ค.-มี.ค.'!H61+'ม.ค.-มี.ค.'!I61+'ม.ค.-มี.ค.'!J61+'ม.ค.-มี.ค.'!K61+'ม.ค.-มี.ค.'!L61+'ม.ค.-มี.ค.'!M61+'ม.ค.-มี.ค.'!N61+'ม.ค.-มี.ค.'!O61+'ม.ค.-มี.ค.'!P61+'ม.ค.-มี.ค.'!Q61+'ม.ค.-มี.ค.'!R61+'ม.ค.-มี.ค.'!S61+'ม.ค.-มี.ค.'!U61+'ม.ค.-มี.ค.'!V61</f>
        <v>0</v>
      </c>
      <c r="F59" s="177">
        <f>+เม.ย.!D60+เม.ย.!E60+เม.ย.!F60+เม.ย.!H60+เม.ย.!I60+เม.ย.!M60+เม.ย.!N60+เม.ย.!P60+เม.ย.!R60</f>
        <v>0</v>
      </c>
      <c r="G59" s="179"/>
      <c r="H59" s="179">
        <f t="shared" si="12"/>
        <v>0</v>
      </c>
      <c r="I59" s="208">
        <f t="shared" si="11"/>
        <v>10000</v>
      </c>
    </row>
    <row r="60" spans="1:13" ht="21.75" customHeight="1">
      <c r="A60" s="9"/>
      <c r="B60" s="130" t="s">
        <v>103</v>
      </c>
      <c r="C60" s="280">
        <v>10000</v>
      </c>
      <c r="D60" s="177">
        <f>+'ต.ค.-ธ.ค.'!E63+'ต.ค.-ธ.ค.'!F63+'ต.ค.-ธ.ค.'!H63+'ต.ค.-ธ.ค.'!I63+'ต.ค.-ธ.ค.'!M63+'ต.ค.-ธ.ค.'!Q63+'ต.ค.-ธ.ค.'!S63</f>
        <v>0</v>
      </c>
      <c r="E60" s="177">
        <f>+'ม.ค.-มี.ค.'!D62+'ม.ค.-มี.ค.'!E62+'ม.ค.-มี.ค.'!F62+'ม.ค.-มี.ค.'!G62+'ม.ค.-มี.ค.'!H62+'ม.ค.-มี.ค.'!I62+'ม.ค.-มี.ค.'!J62+'ม.ค.-มี.ค.'!K62+'ม.ค.-มี.ค.'!L62+'ม.ค.-มี.ค.'!M62+'ม.ค.-มี.ค.'!N62+'ม.ค.-มี.ค.'!O62+'ม.ค.-มี.ค.'!P62+'ม.ค.-มี.ค.'!Q62+'ม.ค.-มี.ค.'!R62+'ม.ค.-มี.ค.'!S62+'ม.ค.-มี.ค.'!U62+'ม.ค.-มี.ค.'!V62</f>
        <v>0</v>
      </c>
      <c r="F60" s="177">
        <f>+เม.ย.!D61+เม.ย.!E61+เม.ย.!F61+เม.ย.!H61+เม.ย.!I61+เม.ย.!M61+เม.ย.!N61+เม.ย.!P61+เม.ย.!R61</f>
        <v>0</v>
      </c>
      <c r="G60" s="179"/>
      <c r="H60" s="179">
        <f t="shared" si="12"/>
        <v>0</v>
      </c>
      <c r="I60" s="208">
        <f t="shared" si="11"/>
        <v>10000</v>
      </c>
    </row>
    <row r="61" spans="1:13" ht="21.75" customHeight="1">
      <c r="A61" s="9"/>
      <c r="B61" s="187" t="s">
        <v>106</v>
      </c>
      <c r="C61" s="283">
        <f>200000+30000+30000+80000+19000+1000+10000+2500+2500+2500+2500+20000+10000+2000</f>
        <v>412000</v>
      </c>
      <c r="D61" s="177">
        <f>+'ต.ค.-ธ.ค.'!E64+'ต.ค.-ธ.ค.'!F64+'ต.ค.-ธ.ค.'!H64+'ต.ค.-ธ.ค.'!I64+'ต.ค.-ธ.ค.'!M64+'ต.ค.-ธ.ค.'!Q64+'ต.ค.-ธ.ค.'!S64</f>
        <v>95072</v>
      </c>
      <c r="E61" s="177">
        <f>+'ม.ค.-มี.ค.'!D63+'ม.ค.-มี.ค.'!E63+'ม.ค.-มี.ค.'!F63+'ม.ค.-มี.ค.'!G63+'ม.ค.-มี.ค.'!H63+'ม.ค.-มี.ค.'!I63+'ม.ค.-มี.ค.'!J63+'ม.ค.-มี.ค.'!K63+'ม.ค.-มี.ค.'!L63+'ม.ค.-มี.ค.'!M63+'ม.ค.-มี.ค.'!N63+'ม.ค.-มี.ค.'!O63+'ม.ค.-มี.ค.'!P63+'ม.ค.-มี.ค.'!Q63+'ม.ค.-มี.ค.'!R63+'ม.ค.-มี.ค.'!S63+'ม.ค.-มี.ค.'!U63+'ม.ค.-มี.ค.'!V63</f>
        <v>69998</v>
      </c>
      <c r="F61" s="177">
        <f>+เม.ย.!D62+เม.ย.!E62+เม.ย.!F62+เม.ย.!H62+เม.ย.!I62+เม.ย.!M62+เม.ย.!N62+เม.ย.!P62+เม.ย.!R62</f>
        <v>95427</v>
      </c>
      <c r="G61" s="179"/>
      <c r="H61" s="179">
        <f>SUM(D61:G61)</f>
        <v>260497</v>
      </c>
      <c r="I61" s="208">
        <f t="shared" si="11"/>
        <v>151503</v>
      </c>
    </row>
    <row r="62" spans="1:13" ht="21.75" customHeight="1">
      <c r="A62" s="9"/>
      <c r="B62" s="187" t="s">
        <v>231</v>
      </c>
      <c r="C62" s="283">
        <f>5000+8900</f>
        <v>13900</v>
      </c>
      <c r="D62" s="177">
        <f>+'ต.ค.-ธ.ค.'!E65+'ต.ค.-ธ.ค.'!F65+'ต.ค.-ธ.ค.'!H65+'ต.ค.-ธ.ค.'!I65+'ต.ค.-ธ.ค.'!M65+'ต.ค.-ธ.ค.'!Q65+'ต.ค.-ธ.ค.'!S65</f>
        <v>7000</v>
      </c>
      <c r="E62" s="177">
        <f>+'ม.ค.-มี.ค.'!D64+'ม.ค.-มี.ค.'!E64+'ม.ค.-มี.ค.'!F64+'ม.ค.-มี.ค.'!G64+'ม.ค.-มี.ค.'!H64+'ม.ค.-มี.ค.'!I64+'ม.ค.-มี.ค.'!J64+'ม.ค.-มี.ค.'!K64+'ม.ค.-มี.ค.'!L64+'ม.ค.-มี.ค.'!M64+'ม.ค.-มี.ค.'!N64+'ม.ค.-มี.ค.'!O64+'ม.ค.-มี.ค.'!P64+'ม.ค.-มี.ค.'!Q64+'ม.ค.-มี.ค.'!R64+'ม.ค.-มี.ค.'!S64+'ม.ค.-มี.ค.'!U64+'ม.ค.-มี.ค.'!V64</f>
        <v>0</v>
      </c>
      <c r="F62" s="177">
        <f>+เม.ย.!D63+เม.ย.!E63+เม.ย.!F63+เม.ย.!H63+เม.ย.!I63+เม.ย.!M63+เม.ย.!N63+เม.ย.!P63+เม.ย.!R63</f>
        <v>0</v>
      </c>
      <c r="G62" s="179"/>
      <c r="H62" s="179">
        <f t="shared" si="12"/>
        <v>7000</v>
      </c>
      <c r="I62" s="208">
        <f t="shared" si="11"/>
        <v>6900</v>
      </c>
    </row>
    <row r="63" spans="1:13" ht="21.75" customHeight="1">
      <c r="A63" s="9"/>
      <c r="B63" s="187" t="s">
        <v>204</v>
      </c>
      <c r="C63" s="283">
        <v>5000</v>
      </c>
      <c r="D63" s="177">
        <f>+'ต.ค.-ธ.ค.'!E66+'ต.ค.-ธ.ค.'!F66+'ต.ค.-ธ.ค.'!H66+'ต.ค.-ธ.ค.'!I66+'ต.ค.-ธ.ค.'!M66+'ต.ค.-ธ.ค.'!Q66+'ต.ค.-ธ.ค.'!S66</f>
        <v>0</v>
      </c>
      <c r="E63" s="177">
        <f>+'ม.ค.-มี.ค.'!D65+'ม.ค.-มี.ค.'!E65+'ม.ค.-มี.ค.'!F65+'ม.ค.-มี.ค.'!G65+'ม.ค.-มี.ค.'!H65+'ม.ค.-มี.ค.'!I65+'ม.ค.-มี.ค.'!J65+'ม.ค.-มี.ค.'!K65+'ม.ค.-มี.ค.'!L65+'ม.ค.-มี.ค.'!M65+'ม.ค.-มี.ค.'!N65+'ม.ค.-มี.ค.'!O65+'ม.ค.-มี.ค.'!P65+'ม.ค.-มี.ค.'!Q65+'ม.ค.-มี.ค.'!R65+'ม.ค.-มี.ค.'!S65+'ม.ค.-มี.ค.'!U65+'ม.ค.-มี.ค.'!V65</f>
        <v>0</v>
      </c>
      <c r="F63" s="177">
        <f>+เม.ย.!D64+เม.ย.!E64+เม.ย.!F64+เม.ย.!H64+เม.ย.!I64+เม.ย.!M64+เม.ย.!N64+เม.ย.!P64+เม.ย.!R64</f>
        <v>0</v>
      </c>
      <c r="G63" s="179"/>
      <c r="H63" s="179">
        <f t="shared" si="12"/>
        <v>0</v>
      </c>
      <c r="I63" s="208">
        <f t="shared" si="11"/>
        <v>5000</v>
      </c>
    </row>
    <row r="64" spans="1:13" ht="21.75" customHeight="1">
      <c r="A64" s="9"/>
      <c r="B64" s="187" t="s">
        <v>232</v>
      </c>
      <c r="C64" s="283">
        <f>120000+100000</f>
        <v>220000</v>
      </c>
      <c r="D64" s="177">
        <f>+'ต.ค.-ธ.ค.'!E67+'ต.ค.-ธ.ค.'!F67+'ต.ค.-ธ.ค.'!H67+'ต.ค.-ธ.ค.'!I67+'ต.ค.-ธ.ค.'!M67+'ต.ค.-ธ.ค.'!Q67+'ต.ค.-ธ.ค.'!S67</f>
        <v>0</v>
      </c>
      <c r="E64" s="177">
        <f>+'ม.ค.-มี.ค.'!D66+'ม.ค.-มี.ค.'!E66+'ม.ค.-มี.ค.'!F66+'ม.ค.-มี.ค.'!G66+'ม.ค.-มี.ค.'!H66+'ม.ค.-มี.ค.'!I66+'ม.ค.-มี.ค.'!J66+'ม.ค.-มี.ค.'!K66+'ม.ค.-มี.ค.'!L66+'ม.ค.-มี.ค.'!M66+'ม.ค.-มี.ค.'!N66+'ม.ค.-มี.ค.'!O66+'ม.ค.-มี.ค.'!P66+'ม.ค.-มี.ค.'!Q66+'ม.ค.-มี.ค.'!R66+'ม.ค.-มี.ค.'!S66+'ม.ค.-มี.ค.'!U66+'ม.ค.-มี.ค.'!V66</f>
        <v>157600</v>
      </c>
      <c r="F64" s="177">
        <f>+เม.ย.!D65+เม.ย.!E65+เม.ย.!F65+เม.ย.!H65+เม.ย.!I65+เม.ย.!M65+เม.ย.!N65+เม.ย.!P65+เม.ย.!R65</f>
        <v>56000</v>
      </c>
      <c r="G64" s="179"/>
      <c r="H64" s="179">
        <f t="shared" si="12"/>
        <v>213600</v>
      </c>
      <c r="I64" s="208">
        <f t="shared" si="11"/>
        <v>6400</v>
      </c>
    </row>
    <row r="65" spans="1:13" ht="23.25" customHeight="1">
      <c r="A65" s="9"/>
      <c r="B65" s="187" t="s">
        <v>233</v>
      </c>
      <c r="C65" s="283">
        <f>125000-8900-16100</f>
        <v>100000</v>
      </c>
      <c r="D65" s="177">
        <f>+'ต.ค.-ธ.ค.'!E68+'ต.ค.-ธ.ค.'!F68+'ต.ค.-ธ.ค.'!H68+'ต.ค.-ธ.ค.'!I68+'ต.ค.-ธ.ค.'!M68+'ต.ค.-ธ.ค.'!Q68+'ต.ค.-ธ.ค.'!S68</f>
        <v>0</v>
      </c>
      <c r="E65" s="177">
        <f>+'ม.ค.-มี.ค.'!D67+'ม.ค.-มี.ค.'!E67+'ม.ค.-มี.ค.'!F67+'ม.ค.-มี.ค.'!G67+'ม.ค.-มี.ค.'!H67+'ม.ค.-มี.ค.'!I67+'ม.ค.-มี.ค.'!J67+'ม.ค.-มี.ค.'!K67+'ม.ค.-มี.ค.'!L67+'ม.ค.-มี.ค.'!M67+'ม.ค.-มี.ค.'!N67+'ม.ค.-มี.ค.'!O67+'ม.ค.-มี.ค.'!P67+'ม.ค.-มี.ค.'!Q67+'ม.ค.-มี.ค.'!R67+'ม.ค.-มี.ค.'!S67+'ม.ค.-มี.ค.'!U67+'ม.ค.-มี.ค.'!V67</f>
        <v>0</v>
      </c>
      <c r="F65" s="177">
        <f>+เม.ย.!D66+เม.ย.!E66+เม.ย.!F66+เม.ย.!H66+เม.ย.!I66+เม.ย.!M66+เม.ย.!N66+เม.ย.!P66+เม.ย.!R66</f>
        <v>0</v>
      </c>
      <c r="G65" s="179"/>
      <c r="H65" s="179">
        <f t="shared" si="12"/>
        <v>0</v>
      </c>
      <c r="I65" s="208">
        <f t="shared" si="11"/>
        <v>100000</v>
      </c>
    </row>
    <row r="66" spans="1:13" ht="21.75" customHeight="1">
      <c r="A66" s="9"/>
      <c r="B66" s="187" t="s">
        <v>234</v>
      </c>
      <c r="C66" s="283">
        <v>5000</v>
      </c>
      <c r="D66" s="177">
        <f>+'ต.ค.-ธ.ค.'!E69+'ต.ค.-ธ.ค.'!F69+'ต.ค.-ธ.ค.'!H69+'ต.ค.-ธ.ค.'!I69+'ต.ค.-ธ.ค.'!M69+'ต.ค.-ธ.ค.'!Q69+'ต.ค.-ธ.ค.'!S69</f>
        <v>0</v>
      </c>
      <c r="E66" s="177">
        <f>+'ม.ค.-มี.ค.'!D68+'ม.ค.-มี.ค.'!E68+'ม.ค.-มี.ค.'!F68+'ม.ค.-มี.ค.'!G68+'ม.ค.-มี.ค.'!H68+'ม.ค.-มี.ค.'!I68+'ม.ค.-มี.ค.'!J68+'ม.ค.-มี.ค.'!K68+'ม.ค.-มี.ค.'!L68+'ม.ค.-มี.ค.'!M68+'ม.ค.-มี.ค.'!N68+'ม.ค.-มี.ค.'!O68+'ม.ค.-มี.ค.'!P68+'ม.ค.-มี.ค.'!Q68+'ม.ค.-มี.ค.'!R68+'ม.ค.-มี.ค.'!S68+'ม.ค.-มี.ค.'!U68+'ม.ค.-มี.ค.'!V68</f>
        <v>0</v>
      </c>
      <c r="F66" s="177">
        <f>+เม.ย.!D67+เม.ย.!E67+เม.ย.!F67+เม.ย.!H67+เม.ย.!I67+เม.ย.!M67+เม.ย.!N67+เม.ย.!P67+เม.ย.!R67</f>
        <v>0</v>
      </c>
      <c r="G66" s="179"/>
      <c r="H66" s="179">
        <f t="shared" si="12"/>
        <v>0</v>
      </c>
      <c r="I66" s="208">
        <f t="shared" si="11"/>
        <v>5000</v>
      </c>
    </row>
    <row r="67" spans="1:13" ht="21.75" customHeight="1">
      <c r="A67" s="9"/>
      <c r="B67" s="187" t="s">
        <v>235</v>
      </c>
      <c r="C67" s="283">
        <v>90000</v>
      </c>
      <c r="D67" s="177">
        <f>+'ต.ค.-ธ.ค.'!E70+'ต.ค.-ธ.ค.'!F70+'ต.ค.-ธ.ค.'!H70+'ต.ค.-ธ.ค.'!I70+'ต.ค.-ธ.ค.'!M70+'ต.ค.-ธ.ค.'!Q70+'ต.ค.-ธ.ค.'!S70</f>
        <v>0</v>
      </c>
      <c r="E67" s="177">
        <f>+'ม.ค.-มี.ค.'!D69+'ม.ค.-มี.ค.'!E69+'ม.ค.-มี.ค.'!F69+'ม.ค.-มี.ค.'!G69+'ม.ค.-มี.ค.'!H69+'ม.ค.-มี.ค.'!I69+'ม.ค.-มี.ค.'!J69+'ม.ค.-มี.ค.'!K69+'ม.ค.-มี.ค.'!L69+'ม.ค.-มี.ค.'!M69+'ม.ค.-มี.ค.'!N69+'ม.ค.-มี.ค.'!O69+'ม.ค.-มี.ค.'!P69+'ม.ค.-มี.ค.'!Q69+'ม.ค.-มี.ค.'!R69+'ม.ค.-มี.ค.'!S69+'ม.ค.-มี.ค.'!U69+'ม.ค.-มี.ค.'!V69</f>
        <v>0</v>
      </c>
      <c r="F67" s="177">
        <f>+เม.ย.!D68+เม.ย.!E68+เม.ย.!F68+เม.ย.!H68+เม.ย.!I68+เม.ย.!M68+เม.ย.!N68+เม.ย.!P68+เม.ย.!R68</f>
        <v>0</v>
      </c>
      <c r="G67" s="179"/>
      <c r="H67" s="179">
        <f t="shared" si="12"/>
        <v>0</v>
      </c>
      <c r="I67" s="208">
        <f t="shared" si="11"/>
        <v>90000</v>
      </c>
    </row>
    <row r="68" spans="1:13" ht="21.75" customHeight="1">
      <c r="A68" s="9"/>
      <c r="B68" s="187" t="s">
        <v>236</v>
      </c>
      <c r="C68" s="283">
        <v>5000</v>
      </c>
      <c r="D68" s="177">
        <f>+'ต.ค.-ธ.ค.'!E71+'ต.ค.-ธ.ค.'!F71+'ต.ค.-ธ.ค.'!H71+'ต.ค.-ธ.ค.'!I71+'ต.ค.-ธ.ค.'!M71+'ต.ค.-ธ.ค.'!Q71+'ต.ค.-ธ.ค.'!S71</f>
        <v>0</v>
      </c>
      <c r="E68" s="177">
        <f>+'ม.ค.-มี.ค.'!D70+'ม.ค.-มี.ค.'!E70+'ม.ค.-มี.ค.'!F70+'ม.ค.-มี.ค.'!G70+'ม.ค.-มี.ค.'!H70+'ม.ค.-มี.ค.'!I70+'ม.ค.-มี.ค.'!J70+'ม.ค.-มี.ค.'!K70+'ม.ค.-มี.ค.'!L70+'ม.ค.-มี.ค.'!M70+'ม.ค.-มี.ค.'!N70+'ม.ค.-มี.ค.'!O70+'ม.ค.-มี.ค.'!P70+'ม.ค.-มี.ค.'!Q70+'ม.ค.-มี.ค.'!R70+'ม.ค.-มี.ค.'!S70+'ม.ค.-มี.ค.'!U70+'ม.ค.-มี.ค.'!V70</f>
        <v>0</v>
      </c>
      <c r="F68" s="177">
        <f>+เม.ย.!D69+เม.ย.!E69+เม.ย.!F69+เม.ย.!H69+เม.ย.!I69+เม.ย.!M69+เม.ย.!N69+เม.ย.!P69+เม.ย.!R69</f>
        <v>0</v>
      </c>
      <c r="G68" s="179"/>
      <c r="H68" s="179">
        <f t="shared" si="12"/>
        <v>0</v>
      </c>
      <c r="I68" s="208">
        <f t="shared" si="11"/>
        <v>5000</v>
      </c>
    </row>
    <row r="69" spans="1:13" ht="21.75" customHeight="1">
      <c r="A69" s="9"/>
      <c r="B69" s="187" t="s">
        <v>237</v>
      </c>
      <c r="C69" s="283">
        <v>5000</v>
      </c>
      <c r="D69" s="177">
        <f>+'ต.ค.-ธ.ค.'!E72+'ต.ค.-ธ.ค.'!F72+'ต.ค.-ธ.ค.'!H72+'ต.ค.-ธ.ค.'!I72+'ต.ค.-ธ.ค.'!M72+'ต.ค.-ธ.ค.'!Q72+'ต.ค.-ธ.ค.'!S72</f>
        <v>0</v>
      </c>
      <c r="E69" s="177">
        <f>+'ม.ค.-มี.ค.'!D71+'ม.ค.-มี.ค.'!E71+'ม.ค.-มี.ค.'!F71+'ม.ค.-มี.ค.'!G71+'ม.ค.-มี.ค.'!H71+'ม.ค.-มี.ค.'!I71+'ม.ค.-มี.ค.'!J71+'ม.ค.-มี.ค.'!K71+'ม.ค.-มี.ค.'!L71+'ม.ค.-มี.ค.'!M71+'ม.ค.-มี.ค.'!N71+'ม.ค.-มี.ค.'!O71+'ม.ค.-มี.ค.'!P71+'ม.ค.-มี.ค.'!Q71+'ม.ค.-มี.ค.'!R71+'ม.ค.-มี.ค.'!S71+'ม.ค.-มี.ค.'!U71+'ม.ค.-มี.ค.'!V71</f>
        <v>0</v>
      </c>
      <c r="F69" s="177">
        <f>+เม.ย.!D70+เม.ย.!E70+เม.ย.!F70+เม.ย.!H70+เม.ย.!I70+เม.ย.!M70+เม.ย.!N70+เม.ย.!P70+เม.ย.!R70</f>
        <v>0</v>
      </c>
      <c r="G69" s="179"/>
      <c r="H69" s="179">
        <f t="shared" si="12"/>
        <v>0</v>
      </c>
      <c r="I69" s="208">
        <f t="shared" si="11"/>
        <v>5000</v>
      </c>
    </row>
    <row r="70" spans="1:13" s="168" customFormat="1" ht="21.75" customHeight="1">
      <c r="A70" s="165"/>
      <c r="B70" s="226" t="s">
        <v>277</v>
      </c>
      <c r="C70" s="279">
        <v>5000</v>
      </c>
      <c r="D70" s="177">
        <f>+'ต.ค.-ธ.ค.'!E73+'ต.ค.-ธ.ค.'!F73+'ต.ค.-ธ.ค.'!H73+'ต.ค.-ธ.ค.'!I73+'ต.ค.-ธ.ค.'!M73+'ต.ค.-ธ.ค.'!Q73+'ต.ค.-ธ.ค.'!S73</f>
        <v>0</v>
      </c>
      <c r="E70" s="177">
        <f>+'ม.ค.-มี.ค.'!D72+'ม.ค.-มี.ค.'!E72+'ม.ค.-มี.ค.'!F72+'ม.ค.-มี.ค.'!G72+'ม.ค.-มี.ค.'!H72+'ม.ค.-มี.ค.'!I72+'ม.ค.-มี.ค.'!J72+'ม.ค.-มี.ค.'!K72+'ม.ค.-มี.ค.'!L72+'ม.ค.-มี.ค.'!M72+'ม.ค.-มี.ค.'!N72+'ม.ค.-มี.ค.'!O72+'ม.ค.-มี.ค.'!P72+'ม.ค.-มี.ค.'!Q72+'ม.ค.-มี.ค.'!R72+'ม.ค.-มี.ค.'!S72+'ม.ค.-มี.ค.'!U72+'ม.ค.-มี.ค.'!V72</f>
        <v>0</v>
      </c>
      <c r="F70" s="177">
        <f>+เม.ย.!D71+เม.ย.!E71+เม.ย.!F71+เม.ย.!H71+เม.ย.!I71+เม.ย.!M71+เม.ย.!N71+เม.ย.!P71+เม.ย.!R71</f>
        <v>0</v>
      </c>
      <c r="G70" s="179"/>
      <c r="H70" s="179">
        <f t="shared" si="12"/>
        <v>0</v>
      </c>
      <c r="I70" s="208">
        <f t="shared" si="11"/>
        <v>5000</v>
      </c>
      <c r="J70" s="242"/>
      <c r="K70" s="331"/>
      <c r="L70" s="247"/>
      <c r="M70" s="247"/>
    </row>
    <row r="71" spans="1:13" s="168" customFormat="1" ht="21.75" customHeight="1">
      <c r="A71" s="165"/>
      <c r="B71" s="226" t="s">
        <v>107</v>
      </c>
      <c r="C71" s="279">
        <v>10000</v>
      </c>
      <c r="D71" s="177">
        <f>+'ต.ค.-ธ.ค.'!E74+'ต.ค.-ธ.ค.'!F74+'ต.ค.-ธ.ค.'!H74+'ต.ค.-ธ.ค.'!I74+'ต.ค.-ธ.ค.'!M74+'ต.ค.-ธ.ค.'!Q74+'ต.ค.-ธ.ค.'!S74</f>
        <v>0</v>
      </c>
      <c r="E71" s="177">
        <f>+'ม.ค.-มี.ค.'!D73+'ม.ค.-มี.ค.'!E73+'ม.ค.-มี.ค.'!F73+'ม.ค.-มี.ค.'!G73+'ม.ค.-มี.ค.'!H73+'ม.ค.-มี.ค.'!I73+'ม.ค.-มี.ค.'!J73+'ม.ค.-มี.ค.'!K73+'ม.ค.-มี.ค.'!L73+'ม.ค.-มี.ค.'!M73+'ม.ค.-มี.ค.'!N73+'ม.ค.-มี.ค.'!O73+'ม.ค.-มี.ค.'!P73+'ม.ค.-มี.ค.'!Q73+'ม.ค.-มี.ค.'!R73+'ม.ค.-มี.ค.'!S73+'ม.ค.-มี.ค.'!U73+'ม.ค.-มี.ค.'!V73</f>
        <v>0</v>
      </c>
      <c r="F71" s="177">
        <f>+เม.ย.!D72+เม.ย.!E72+เม.ย.!F72+เม.ย.!H72+เม.ย.!I72+เม.ย.!M72+เม.ย.!N72+เม.ย.!P72+เม.ย.!R72</f>
        <v>0</v>
      </c>
      <c r="G71" s="179"/>
      <c r="H71" s="179">
        <f t="shared" si="12"/>
        <v>0</v>
      </c>
      <c r="I71" s="208">
        <f t="shared" si="11"/>
        <v>10000</v>
      </c>
      <c r="J71" s="242"/>
      <c r="K71" s="331"/>
      <c r="L71" s="247"/>
      <c r="M71" s="247"/>
    </row>
    <row r="72" spans="1:13" ht="21.75" customHeight="1">
      <c r="A72" s="9"/>
      <c r="B72" s="226" t="s">
        <v>278</v>
      </c>
      <c r="C72" s="279">
        <v>10000</v>
      </c>
      <c r="D72" s="177">
        <f>+'ต.ค.-ธ.ค.'!E75+'ต.ค.-ธ.ค.'!F75+'ต.ค.-ธ.ค.'!H75+'ต.ค.-ธ.ค.'!I75+'ต.ค.-ธ.ค.'!M75+'ต.ค.-ธ.ค.'!Q75+'ต.ค.-ธ.ค.'!S75</f>
        <v>0</v>
      </c>
      <c r="E72" s="177">
        <f>+'ม.ค.-มี.ค.'!D74+'ม.ค.-มี.ค.'!E74+'ม.ค.-มี.ค.'!F74+'ม.ค.-มี.ค.'!G74+'ม.ค.-มี.ค.'!H74+'ม.ค.-มี.ค.'!I74+'ม.ค.-มี.ค.'!J74+'ม.ค.-มี.ค.'!K74+'ม.ค.-มี.ค.'!L74+'ม.ค.-มี.ค.'!M74+'ม.ค.-มี.ค.'!N74+'ม.ค.-มี.ค.'!O74+'ม.ค.-มี.ค.'!P74+'ม.ค.-มี.ค.'!Q74+'ม.ค.-มี.ค.'!R74+'ม.ค.-มี.ค.'!S74+'ม.ค.-มี.ค.'!U74+'ม.ค.-มี.ค.'!V74</f>
        <v>0</v>
      </c>
      <c r="F72" s="177">
        <f>+เม.ย.!D73+เม.ย.!E73+เม.ย.!F73+เม.ย.!H73+เม.ย.!I73+เม.ย.!M73+เม.ย.!N73+เม.ย.!P73+เม.ย.!R73</f>
        <v>0</v>
      </c>
      <c r="G72" s="179"/>
      <c r="H72" s="179">
        <f t="shared" si="12"/>
        <v>0</v>
      </c>
      <c r="I72" s="208">
        <f t="shared" si="11"/>
        <v>10000</v>
      </c>
    </row>
    <row r="73" spans="1:13" s="168" customFormat="1" ht="21.75" customHeight="1">
      <c r="A73" s="165"/>
      <c r="B73" s="226" t="s">
        <v>279</v>
      </c>
      <c r="C73" s="279">
        <v>10000</v>
      </c>
      <c r="D73" s="177">
        <f>+'ต.ค.-ธ.ค.'!E76+'ต.ค.-ธ.ค.'!F76+'ต.ค.-ธ.ค.'!H76+'ต.ค.-ธ.ค.'!I76+'ต.ค.-ธ.ค.'!M76+'ต.ค.-ธ.ค.'!Q76+'ต.ค.-ธ.ค.'!S76</f>
        <v>0</v>
      </c>
      <c r="E73" s="177">
        <f>+'ม.ค.-มี.ค.'!D75+'ม.ค.-มี.ค.'!E75+'ม.ค.-มี.ค.'!F75+'ม.ค.-มี.ค.'!G75+'ม.ค.-มี.ค.'!H75+'ม.ค.-มี.ค.'!I75+'ม.ค.-มี.ค.'!J75+'ม.ค.-มี.ค.'!K75+'ม.ค.-มี.ค.'!L75+'ม.ค.-มี.ค.'!M75+'ม.ค.-มี.ค.'!N75+'ม.ค.-มี.ค.'!O75+'ม.ค.-มี.ค.'!P75+'ม.ค.-มี.ค.'!Q75+'ม.ค.-มี.ค.'!R75+'ม.ค.-มี.ค.'!S75+'ม.ค.-มี.ค.'!U75+'ม.ค.-มี.ค.'!V75</f>
        <v>0</v>
      </c>
      <c r="F73" s="177">
        <f>+เม.ย.!D74+เม.ย.!E74+เม.ย.!F74+เม.ย.!H74+เม.ย.!I74+เม.ย.!M74+เม.ย.!N74+เม.ย.!P74+เม.ย.!R74</f>
        <v>0</v>
      </c>
      <c r="G73" s="179"/>
      <c r="H73" s="179">
        <f t="shared" si="12"/>
        <v>0</v>
      </c>
      <c r="I73" s="208">
        <f t="shared" si="11"/>
        <v>10000</v>
      </c>
      <c r="J73" s="233"/>
      <c r="K73" s="331"/>
      <c r="L73" s="247"/>
      <c r="M73" s="247"/>
    </row>
    <row r="74" spans="1:13" ht="21.75" customHeight="1">
      <c r="A74" s="9"/>
      <c r="B74" s="226" t="s">
        <v>280</v>
      </c>
      <c r="C74" s="279">
        <v>10000</v>
      </c>
      <c r="D74" s="177">
        <f>+'ต.ค.-ธ.ค.'!E77+'ต.ค.-ธ.ค.'!F77+'ต.ค.-ธ.ค.'!H77+'ต.ค.-ธ.ค.'!I77+'ต.ค.-ธ.ค.'!M77+'ต.ค.-ธ.ค.'!Q77+'ต.ค.-ธ.ค.'!S77</f>
        <v>0</v>
      </c>
      <c r="E74" s="177">
        <f>+'ม.ค.-มี.ค.'!D76+'ม.ค.-มี.ค.'!E76+'ม.ค.-มี.ค.'!F76+'ม.ค.-มี.ค.'!G76+'ม.ค.-มี.ค.'!H76+'ม.ค.-มี.ค.'!I76+'ม.ค.-มี.ค.'!J76+'ม.ค.-มี.ค.'!K76+'ม.ค.-มี.ค.'!L76+'ม.ค.-มี.ค.'!M76+'ม.ค.-มี.ค.'!N76+'ม.ค.-มี.ค.'!O76+'ม.ค.-มี.ค.'!P76+'ม.ค.-มี.ค.'!Q76+'ม.ค.-มี.ค.'!R76+'ม.ค.-มี.ค.'!S76+'ม.ค.-มี.ค.'!U76+'ม.ค.-มี.ค.'!V76</f>
        <v>0</v>
      </c>
      <c r="F74" s="177">
        <f>+เม.ย.!D75+เม.ย.!E75+เม.ย.!F75+เม.ย.!H75+เม.ย.!I75+เม.ย.!M75+เม.ย.!N75+เม.ย.!P75+เม.ย.!R75</f>
        <v>0</v>
      </c>
      <c r="G74" s="179"/>
      <c r="H74" s="179">
        <f t="shared" si="12"/>
        <v>0</v>
      </c>
      <c r="I74" s="208">
        <f t="shared" si="11"/>
        <v>10000</v>
      </c>
      <c r="J74" s="244"/>
    </row>
    <row r="75" spans="1:13" ht="21.75" customHeight="1">
      <c r="A75" s="9"/>
      <c r="B75" s="226" t="s">
        <v>281</v>
      </c>
      <c r="C75" s="279">
        <v>5000</v>
      </c>
      <c r="D75" s="177">
        <f>+'ต.ค.-ธ.ค.'!E78+'ต.ค.-ธ.ค.'!F78+'ต.ค.-ธ.ค.'!H78+'ต.ค.-ธ.ค.'!I78+'ต.ค.-ธ.ค.'!M78+'ต.ค.-ธ.ค.'!Q78+'ต.ค.-ธ.ค.'!S78</f>
        <v>0</v>
      </c>
      <c r="E75" s="177">
        <f>+'ม.ค.-มี.ค.'!D77+'ม.ค.-มี.ค.'!E77+'ม.ค.-มี.ค.'!F77+'ม.ค.-มี.ค.'!G77+'ม.ค.-มี.ค.'!H77+'ม.ค.-มี.ค.'!I77+'ม.ค.-มี.ค.'!J77+'ม.ค.-มี.ค.'!K77+'ม.ค.-มี.ค.'!L77+'ม.ค.-มี.ค.'!M77+'ม.ค.-มี.ค.'!N77+'ม.ค.-มี.ค.'!O77+'ม.ค.-มี.ค.'!P77+'ม.ค.-มี.ค.'!Q77+'ม.ค.-มี.ค.'!R77+'ม.ค.-มี.ค.'!S77+'ม.ค.-มี.ค.'!U77+'ม.ค.-มี.ค.'!V77</f>
        <v>0</v>
      </c>
      <c r="F75" s="177">
        <f>+เม.ย.!D76+เม.ย.!E76+เม.ย.!F76+เม.ย.!H76+เม.ย.!I76+เม.ย.!M76+เม.ย.!N76+เม.ย.!P76+เม.ย.!R76</f>
        <v>0</v>
      </c>
      <c r="G75" s="179"/>
      <c r="H75" s="179">
        <f t="shared" si="12"/>
        <v>0</v>
      </c>
      <c r="I75" s="208">
        <f t="shared" si="11"/>
        <v>5000</v>
      </c>
    </row>
    <row r="76" spans="1:13" ht="21.75" customHeight="1">
      <c r="A76" s="9"/>
      <c r="B76" s="226" t="s">
        <v>282</v>
      </c>
      <c r="C76" s="279">
        <f>5000-5000</f>
        <v>0</v>
      </c>
      <c r="D76" s="177">
        <f>+'ต.ค.-ธ.ค.'!E79+'ต.ค.-ธ.ค.'!F79+'ต.ค.-ธ.ค.'!H79+'ต.ค.-ธ.ค.'!I79+'ต.ค.-ธ.ค.'!M79+'ต.ค.-ธ.ค.'!Q79+'ต.ค.-ธ.ค.'!S79</f>
        <v>0</v>
      </c>
      <c r="E76" s="177">
        <f>+'ม.ค.-มี.ค.'!D78+'ม.ค.-มี.ค.'!E78+'ม.ค.-มี.ค.'!F78+'ม.ค.-มี.ค.'!G78+'ม.ค.-มี.ค.'!H78+'ม.ค.-มี.ค.'!I78+'ม.ค.-มี.ค.'!J78+'ม.ค.-มี.ค.'!K78+'ม.ค.-มี.ค.'!L78+'ม.ค.-มี.ค.'!M78+'ม.ค.-มี.ค.'!N78+'ม.ค.-มี.ค.'!O78+'ม.ค.-มี.ค.'!P78+'ม.ค.-มี.ค.'!Q78+'ม.ค.-มี.ค.'!R78+'ม.ค.-มี.ค.'!S78+'ม.ค.-มี.ค.'!U78+'ม.ค.-มี.ค.'!V78</f>
        <v>0</v>
      </c>
      <c r="F76" s="177">
        <f>+เม.ย.!D77+เม.ย.!E77+เม.ย.!F77+เม.ย.!H77+เม.ย.!I77+เม.ย.!M77+เม.ย.!N77+เม.ย.!P77+เม.ย.!R77</f>
        <v>0</v>
      </c>
      <c r="G76" s="179"/>
      <c r="H76" s="179">
        <f t="shared" si="12"/>
        <v>0</v>
      </c>
      <c r="I76" s="208">
        <f t="shared" si="11"/>
        <v>0</v>
      </c>
    </row>
    <row r="77" spans="1:13" ht="21.75" customHeight="1">
      <c r="A77" s="9"/>
      <c r="B77" s="226" t="s">
        <v>238</v>
      </c>
      <c r="C77" s="279">
        <f>70000+40000+10000+20000+30000+10000+10000</f>
        <v>190000</v>
      </c>
      <c r="D77" s="177">
        <f>+'ต.ค.-ธ.ค.'!E80+'ต.ค.-ธ.ค.'!F80+'ต.ค.-ธ.ค.'!H80+'ต.ค.-ธ.ค.'!I80+'ต.ค.-ธ.ค.'!M80+'ต.ค.-ธ.ค.'!Q80+'ต.ค.-ธ.ค.'!S80</f>
        <v>75076</v>
      </c>
      <c r="E77" s="177">
        <f>+'ม.ค.-มี.ค.'!D79+'ม.ค.-มี.ค.'!E79+'ม.ค.-มี.ค.'!F79+'ม.ค.-มี.ค.'!G79+'ม.ค.-มี.ค.'!H79+'ม.ค.-มี.ค.'!I79+'ม.ค.-มี.ค.'!J79+'ม.ค.-มี.ค.'!K79+'ม.ค.-มี.ค.'!L79+'ม.ค.-มี.ค.'!M79+'ม.ค.-มี.ค.'!N79+'ม.ค.-มี.ค.'!O79+'ม.ค.-มี.ค.'!P79+'ม.ค.-มี.ค.'!Q79+'ม.ค.-มี.ค.'!R79+'ม.ค.-มี.ค.'!S79+'ม.ค.-มี.ค.'!U79+'ม.ค.-มี.ค.'!V79</f>
        <v>16140</v>
      </c>
      <c r="F77" s="177">
        <f>+เม.ย.!D78+เม.ย.!E78+เม.ย.!F78+เม.ย.!H78+เม.ย.!I78+เม.ย.!M78+เม.ย.!N78+เม.ย.!P78+เม.ย.!R78</f>
        <v>22610</v>
      </c>
      <c r="G77" s="179"/>
      <c r="H77" s="179">
        <f t="shared" si="12"/>
        <v>113826</v>
      </c>
      <c r="I77" s="208">
        <f t="shared" si="11"/>
        <v>76174</v>
      </c>
    </row>
    <row r="78" spans="1:13" ht="21.75" customHeight="1">
      <c r="A78" s="9"/>
      <c r="B78" s="226" t="s">
        <v>121</v>
      </c>
      <c r="C78" s="279">
        <f>100000+47000+3000-140000</f>
        <v>10000</v>
      </c>
      <c r="D78" s="177">
        <f>+'ต.ค.-ธ.ค.'!E81+'ต.ค.-ธ.ค.'!F81+'ต.ค.-ธ.ค.'!H81+'ต.ค.-ธ.ค.'!I81+'ต.ค.-ธ.ค.'!M81+'ต.ค.-ธ.ค.'!Q81+'ต.ค.-ธ.ค.'!S81</f>
        <v>0</v>
      </c>
      <c r="E78" s="177">
        <f>+'ม.ค.-มี.ค.'!D80+'ม.ค.-มี.ค.'!E80+'ม.ค.-มี.ค.'!F80+'ม.ค.-มี.ค.'!G80+'ม.ค.-มี.ค.'!H80+'ม.ค.-มี.ค.'!I80+'ม.ค.-มี.ค.'!J80+'ม.ค.-มี.ค.'!K80+'ม.ค.-มี.ค.'!L80+'ม.ค.-มี.ค.'!M80+'ม.ค.-มี.ค.'!N80+'ม.ค.-มี.ค.'!O80+'ม.ค.-มี.ค.'!P80+'ม.ค.-มี.ค.'!Q80+'ม.ค.-มี.ค.'!R80+'ม.ค.-มี.ค.'!S80+'ม.ค.-มี.ค.'!U80+'ม.ค.-มี.ค.'!V80</f>
        <v>0</v>
      </c>
      <c r="F78" s="177">
        <f>+เม.ย.!D79+เม.ย.!E79+เม.ย.!F79+เม.ย.!H79+เม.ย.!I79+เม.ย.!M79+เม.ย.!N79+เม.ย.!P79+เม.ย.!R79</f>
        <v>0</v>
      </c>
      <c r="G78" s="179"/>
      <c r="H78" s="179">
        <f t="shared" si="12"/>
        <v>0</v>
      </c>
      <c r="I78" s="208">
        <f t="shared" si="11"/>
        <v>10000</v>
      </c>
    </row>
    <row r="79" spans="1:13" ht="21.75" customHeight="1">
      <c r="A79" s="9"/>
      <c r="B79" s="226" t="s">
        <v>295</v>
      </c>
      <c r="C79" s="279">
        <f>40000+50000</f>
        <v>90000</v>
      </c>
      <c r="D79" s="177">
        <f>+'ต.ค.-ธ.ค.'!E82+'ต.ค.-ธ.ค.'!F82+'ต.ค.-ธ.ค.'!H82+'ต.ค.-ธ.ค.'!I82+'ต.ค.-ธ.ค.'!M82+'ต.ค.-ธ.ค.'!Q82+'ต.ค.-ธ.ค.'!S82</f>
        <v>0</v>
      </c>
      <c r="E79" s="177">
        <f>+'ม.ค.-มี.ค.'!D81+'ม.ค.-มี.ค.'!E81+'ม.ค.-มี.ค.'!F81+'ม.ค.-มี.ค.'!G81+'ม.ค.-มี.ค.'!H81+'ม.ค.-มี.ค.'!I81+'ม.ค.-มี.ค.'!J81+'ม.ค.-มี.ค.'!K81+'ม.ค.-มี.ค.'!L81+'ม.ค.-มี.ค.'!M81+'ม.ค.-มี.ค.'!N81+'ม.ค.-มี.ค.'!O81+'ม.ค.-มี.ค.'!P81+'ม.ค.-มี.ค.'!Q81+'ม.ค.-มี.ค.'!R81+'ม.ค.-มี.ค.'!S81+'ม.ค.-มี.ค.'!U81+'ม.ค.-มี.ค.'!V81</f>
        <v>81290</v>
      </c>
      <c r="F79" s="177">
        <f>+เม.ย.!D80+เม.ย.!E80+เม.ย.!F80+เม.ย.!H80+เม.ย.!I80+เม.ย.!M80+เม.ย.!N80+เม.ย.!P80+เม.ย.!R80</f>
        <v>0</v>
      </c>
      <c r="G79" s="179"/>
      <c r="H79" s="179">
        <f t="shared" si="12"/>
        <v>81290</v>
      </c>
      <c r="I79" s="208">
        <f t="shared" si="11"/>
        <v>8710</v>
      </c>
    </row>
    <row r="80" spans="1:13" ht="21.75" customHeight="1">
      <c r="A80" s="9"/>
      <c r="B80" s="226" t="s">
        <v>296</v>
      </c>
      <c r="C80" s="279">
        <v>30000</v>
      </c>
      <c r="D80" s="177">
        <f>+'ต.ค.-ธ.ค.'!E83+'ต.ค.-ธ.ค.'!F83+'ต.ค.-ธ.ค.'!H83+'ต.ค.-ธ.ค.'!I83+'ต.ค.-ธ.ค.'!M83+'ต.ค.-ธ.ค.'!Q83+'ต.ค.-ธ.ค.'!S83</f>
        <v>0</v>
      </c>
      <c r="E80" s="177">
        <f>+'ม.ค.-มี.ค.'!D82+'ม.ค.-มี.ค.'!E82+'ม.ค.-มี.ค.'!F82+'ม.ค.-มี.ค.'!G82+'ม.ค.-มี.ค.'!H82+'ม.ค.-มี.ค.'!I82+'ม.ค.-มี.ค.'!J82+'ม.ค.-มี.ค.'!K82+'ม.ค.-มี.ค.'!L82+'ม.ค.-มี.ค.'!M82+'ม.ค.-มี.ค.'!N82+'ม.ค.-มี.ค.'!O82+'ม.ค.-มี.ค.'!P82+'ม.ค.-มี.ค.'!Q82+'ม.ค.-มี.ค.'!R82+'ม.ค.-มี.ค.'!S82+'ม.ค.-มี.ค.'!U82+'ม.ค.-มี.ค.'!V82</f>
        <v>14920</v>
      </c>
      <c r="F80" s="177">
        <f>+เม.ย.!D81+เม.ย.!E81+เม.ย.!F81+เม.ย.!H81+เม.ย.!I81+เม.ย.!M81+เม.ย.!N81+เม.ย.!P81+เม.ย.!R81</f>
        <v>0</v>
      </c>
      <c r="G80" s="179"/>
      <c r="H80" s="179">
        <f t="shared" si="12"/>
        <v>14920</v>
      </c>
      <c r="I80" s="208">
        <f t="shared" si="11"/>
        <v>15080</v>
      </c>
    </row>
    <row r="81" spans="1:13" ht="21.75" customHeight="1">
      <c r="A81" s="9"/>
      <c r="B81" s="226" t="s">
        <v>210</v>
      </c>
      <c r="C81" s="279">
        <v>10000</v>
      </c>
      <c r="D81" s="177">
        <f>+'ต.ค.-ธ.ค.'!E84+'ต.ค.-ธ.ค.'!F84+'ต.ค.-ธ.ค.'!H84+'ต.ค.-ธ.ค.'!I84+'ต.ค.-ธ.ค.'!M84+'ต.ค.-ธ.ค.'!Q84+'ต.ค.-ธ.ค.'!S84</f>
        <v>0</v>
      </c>
      <c r="E81" s="177">
        <f>+'ม.ค.-มี.ค.'!D83+'ม.ค.-มี.ค.'!E83+'ม.ค.-มี.ค.'!F83+'ม.ค.-มี.ค.'!G83+'ม.ค.-มี.ค.'!H83+'ม.ค.-มี.ค.'!I83+'ม.ค.-มี.ค.'!J83+'ม.ค.-มี.ค.'!K83+'ม.ค.-มี.ค.'!L83+'ม.ค.-มี.ค.'!M83+'ม.ค.-มี.ค.'!N83+'ม.ค.-มี.ค.'!O83+'ม.ค.-มี.ค.'!P83+'ม.ค.-มี.ค.'!Q83+'ม.ค.-มี.ค.'!R83+'ม.ค.-มี.ค.'!S83+'ม.ค.-มี.ค.'!U83+'ม.ค.-มี.ค.'!V83</f>
        <v>0</v>
      </c>
      <c r="F81" s="177">
        <f>+เม.ย.!D82+เม.ย.!E82+เม.ย.!F82+เม.ย.!H82+เม.ย.!I82+เม.ย.!M82+เม.ย.!N82+เม.ย.!P82+เม.ย.!R82</f>
        <v>0</v>
      </c>
      <c r="G81" s="179"/>
      <c r="H81" s="179">
        <f t="shared" si="12"/>
        <v>0</v>
      </c>
      <c r="I81" s="208">
        <f t="shared" si="11"/>
        <v>10000</v>
      </c>
    </row>
    <row r="82" spans="1:13" ht="21.75" customHeight="1">
      <c r="A82" s="9"/>
      <c r="B82" s="187" t="s">
        <v>297</v>
      </c>
      <c r="C82" s="279">
        <v>20000</v>
      </c>
      <c r="D82" s="177">
        <f>+'ต.ค.-ธ.ค.'!E85+'ต.ค.-ธ.ค.'!F85+'ต.ค.-ธ.ค.'!H85+'ต.ค.-ธ.ค.'!I85+'ต.ค.-ธ.ค.'!M85+'ต.ค.-ธ.ค.'!Q85+'ต.ค.-ธ.ค.'!S85</f>
        <v>0</v>
      </c>
      <c r="E82" s="177">
        <f>+'ม.ค.-มี.ค.'!D84+'ม.ค.-มี.ค.'!E84+'ม.ค.-มี.ค.'!F84+'ม.ค.-มี.ค.'!G84+'ม.ค.-มี.ค.'!H84+'ม.ค.-มี.ค.'!I84+'ม.ค.-มี.ค.'!J84+'ม.ค.-มี.ค.'!K84+'ม.ค.-มี.ค.'!L84+'ม.ค.-มี.ค.'!M84+'ม.ค.-มี.ค.'!N84+'ม.ค.-มี.ค.'!O84+'ม.ค.-มี.ค.'!P84+'ม.ค.-มี.ค.'!Q84+'ม.ค.-มี.ค.'!R84+'ม.ค.-มี.ค.'!S84+'ม.ค.-มี.ค.'!U84+'ม.ค.-มี.ค.'!V84</f>
        <v>0</v>
      </c>
      <c r="F82" s="177">
        <f>+เม.ย.!D83+เม.ย.!E83+เม.ย.!F83+เม.ย.!H83+เม.ย.!I83+เม.ย.!M83+เม.ย.!N83+เม.ย.!P83+เม.ย.!R83</f>
        <v>0</v>
      </c>
      <c r="G82" s="179"/>
      <c r="H82" s="179">
        <f t="shared" si="12"/>
        <v>0</v>
      </c>
      <c r="I82" s="208">
        <f t="shared" si="11"/>
        <v>20000</v>
      </c>
    </row>
    <row r="83" spans="1:13" ht="21.75" customHeight="1">
      <c r="A83" s="9"/>
      <c r="B83" s="187" t="s">
        <v>298</v>
      </c>
      <c r="C83" s="279">
        <v>20000</v>
      </c>
      <c r="D83" s="177">
        <f>+'ต.ค.-ธ.ค.'!E86+'ต.ค.-ธ.ค.'!F86+'ต.ค.-ธ.ค.'!H86+'ต.ค.-ธ.ค.'!I86+'ต.ค.-ธ.ค.'!M86+'ต.ค.-ธ.ค.'!Q86+'ต.ค.-ธ.ค.'!S86</f>
        <v>0</v>
      </c>
      <c r="E83" s="177">
        <f>+'ม.ค.-มี.ค.'!D85+'ม.ค.-มี.ค.'!E85+'ม.ค.-มี.ค.'!F85+'ม.ค.-มี.ค.'!G85+'ม.ค.-มี.ค.'!H85+'ม.ค.-มี.ค.'!I85+'ม.ค.-มี.ค.'!J85+'ม.ค.-มี.ค.'!K85+'ม.ค.-มี.ค.'!L85+'ม.ค.-มี.ค.'!M85+'ม.ค.-มี.ค.'!N85+'ม.ค.-มี.ค.'!O85+'ม.ค.-มี.ค.'!P85+'ม.ค.-มี.ค.'!Q85+'ม.ค.-มี.ค.'!R85+'ม.ค.-มี.ค.'!S85+'ม.ค.-มี.ค.'!U85+'ม.ค.-มี.ค.'!V85</f>
        <v>0</v>
      </c>
      <c r="F83" s="177">
        <f>+เม.ย.!D84+เม.ย.!E84+เม.ย.!F84+เม.ย.!H84+เม.ย.!I84+เม.ย.!M84+เม.ย.!N84+เม.ย.!P84+เม.ย.!R84</f>
        <v>0</v>
      </c>
      <c r="G83" s="179"/>
      <c r="H83" s="179">
        <f t="shared" si="12"/>
        <v>0</v>
      </c>
      <c r="I83" s="208">
        <f t="shared" si="11"/>
        <v>20000</v>
      </c>
    </row>
    <row r="84" spans="1:13" ht="21.75" customHeight="1">
      <c r="A84" s="9"/>
      <c r="B84" s="187" t="s">
        <v>299</v>
      </c>
      <c r="C84" s="279">
        <v>15000</v>
      </c>
      <c r="D84" s="177">
        <f>+'ต.ค.-ธ.ค.'!E87+'ต.ค.-ธ.ค.'!F87+'ต.ค.-ธ.ค.'!H87+'ต.ค.-ธ.ค.'!I87+'ต.ค.-ธ.ค.'!M87+'ต.ค.-ธ.ค.'!Q87+'ต.ค.-ธ.ค.'!S87</f>
        <v>0</v>
      </c>
      <c r="E84" s="177">
        <f>+'ม.ค.-มี.ค.'!D86+'ม.ค.-มี.ค.'!E86+'ม.ค.-มี.ค.'!F86+'ม.ค.-มี.ค.'!G86+'ม.ค.-มี.ค.'!H86+'ม.ค.-มี.ค.'!I86+'ม.ค.-มี.ค.'!J86+'ม.ค.-มี.ค.'!K86+'ม.ค.-มี.ค.'!L86+'ม.ค.-มี.ค.'!M86+'ม.ค.-มี.ค.'!N86+'ม.ค.-มี.ค.'!O86+'ม.ค.-มี.ค.'!P86+'ม.ค.-มี.ค.'!Q86+'ม.ค.-มี.ค.'!R86+'ม.ค.-มี.ค.'!S86+'ม.ค.-มี.ค.'!U86+'ม.ค.-มี.ค.'!V86</f>
        <v>0</v>
      </c>
      <c r="F84" s="177">
        <f>+เม.ย.!D85+เม.ย.!E85+เม.ย.!F85+เม.ย.!H85+เม.ย.!I85+เม.ย.!M85+เม.ย.!N85+เม.ย.!P85+เม.ย.!R85</f>
        <v>0</v>
      </c>
      <c r="G84" s="179"/>
      <c r="H84" s="179">
        <f t="shared" si="12"/>
        <v>0</v>
      </c>
      <c r="I84" s="208">
        <f t="shared" si="11"/>
        <v>15000</v>
      </c>
    </row>
    <row r="85" spans="1:13" ht="21.75" customHeight="1">
      <c r="A85" s="9"/>
      <c r="B85" s="187" t="s">
        <v>300</v>
      </c>
      <c r="C85" s="279">
        <v>10000</v>
      </c>
      <c r="D85" s="177">
        <f>+'ต.ค.-ธ.ค.'!E88+'ต.ค.-ธ.ค.'!F88+'ต.ค.-ธ.ค.'!H88+'ต.ค.-ธ.ค.'!I88+'ต.ค.-ธ.ค.'!M88+'ต.ค.-ธ.ค.'!Q88+'ต.ค.-ธ.ค.'!S88</f>
        <v>10000</v>
      </c>
      <c r="E85" s="177">
        <f>+'ม.ค.-มี.ค.'!D87+'ม.ค.-มี.ค.'!E87+'ม.ค.-มี.ค.'!F87+'ม.ค.-มี.ค.'!G87+'ม.ค.-มี.ค.'!H87+'ม.ค.-มี.ค.'!I87+'ม.ค.-มี.ค.'!J87+'ม.ค.-มี.ค.'!K87+'ม.ค.-มี.ค.'!L87+'ม.ค.-มี.ค.'!M87+'ม.ค.-มี.ค.'!N87+'ม.ค.-มี.ค.'!O87+'ม.ค.-มี.ค.'!P87+'ม.ค.-มี.ค.'!Q87+'ม.ค.-มี.ค.'!R87+'ม.ค.-มี.ค.'!S87+'ม.ค.-มี.ค.'!U87+'ม.ค.-มี.ค.'!V87</f>
        <v>0</v>
      </c>
      <c r="F85" s="177">
        <f>+เม.ย.!D86+เม.ย.!E86+เม.ย.!F86+เม.ย.!H86+เม.ย.!I86+เม.ย.!M86+เม.ย.!N86+เม.ย.!P86+เม.ย.!R86</f>
        <v>0</v>
      </c>
      <c r="G85" s="179"/>
      <c r="H85" s="179">
        <f t="shared" si="12"/>
        <v>10000</v>
      </c>
      <c r="I85" s="208">
        <f t="shared" si="11"/>
        <v>0</v>
      </c>
    </row>
    <row r="86" spans="1:13" ht="21.75" customHeight="1">
      <c r="A86" s="9"/>
      <c r="B86" s="187" t="s">
        <v>301</v>
      </c>
      <c r="C86" s="279">
        <v>345100</v>
      </c>
      <c r="D86" s="177">
        <f>+'ต.ค.-ธ.ค.'!E89+'ต.ค.-ธ.ค.'!F89+'ต.ค.-ธ.ค.'!H89+'ต.ค.-ธ.ค.'!I89+'ต.ค.-ธ.ค.'!M89+'ต.ค.-ธ.ค.'!Q89+'ต.ค.-ธ.ค.'!S89</f>
        <v>345100</v>
      </c>
      <c r="E86" s="177">
        <f>+'ม.ค.-มี.ค.'!D88+'ม.ค.-มี.ค.'!E88+'ม.ค.-มี.ค.'!F88+'ม.ค.-มี.ค.'!G88+'ม.ค.-มี.ค.'!H88+'ม.ค.-มี.ค.'!I88+'ม.ค.-มี.ค.'!J88+'ม.ค.-มี.ค.'!K88+'ม.ค.-มี.ค.'!L88+'ม.ค.-มี.ค.'!M88+'ม.ค.-มี.ค.'!N88+'ม.ค.-มี.ค.'!O88+'ม.ค.-มี.ค.'!P88+'ม.ค.-มี.ค.'!Q88+'ม.ค.-มี.ค.'!R88+'ม.ค.-มี.ค.'!S88+'ม.ค.-มี.ค.'!U88+'ม.ค.-มี.ค.'!V88</f>
        <v>0</v>
      </c>
      <c r="F86" s="177">
        <f>+เม.ย.!D87+เม.ย.!E87+เม.ย.!F87+เม.ย.!H87+เม.ย.!I87+เม.ย.!M87+เม.ย.!N87+เม.ย.!P87+เม.ย.!R87</f>
        <v>0</v>
      </c>
      <c r="G86" s="179"/>
      <c r="H86" s="179">
        <f t="shared" si="12"/>
        <v>345100</v>
      </c>
      <c r="I86" s="208">
        <f t="shared" si="11"/>
        <v>0</v>
      </c>
    </row>
    <row r="87" spans="1:13" ht="21.75" customHeight="1">
      <c r="A87" s="9"/>
      <c r="B87" s="187" t="s">
        <v>242</v>
      </c>
      <c r="C87" s="279">
        <v>40000</v>
      </c>
      <c r="D87" s="177">
        <f>+'ต.ค.-ธ.ค.'!E90+'ต.ค.-ธ.ค.'!F90+'ต.ค.-ธ.ค.'!H90+'ต.ค.-ธ.ค.'!I90+'ต.ค.-ธ.ค.'!M90+'ต.ค.-ธ.ค.'!Q90+'ต.ค.-ธ.ค.'!S90</f>
        <v>0</v>
      </c>
      <c r="E87" s="177">
        <f>+'ม.ค.-มี.ค.'!D89+'ม.ค.-มี.ค.'!E89+'ม.ค.-มี.ค.'!F89+'ม.ค.-มี.ค.'!G89+'ม.ค.-มี.ค.'!H89+'ม.ค.-มี.ค.'!I89+'ม.ค.-มี.ค.'!J89+'ม.ค.-มี.ค.'!K89+'ม.ค.-มี.ค.'!L89+'ม.ค.-มี.ค.'!M89+'ม.ค.-มี.ค.'!N89+'ม.ค.-มี.ค.'!O89+'ม.ค.-มี.ค.'!P89+'ม.ค.-มี.ค.'!Q89+'ม.ค.-มี.ค.'!R89+'ม.ค.-มี.ค.'!S89+'ม.ค.-มี.ค.'!U89+'ม.ค.-มี.ค.'!V89</f>
        <v>40000</v>
      </c>
      <c r="F87" s="177">
        <f>+เม.ย.!D88+เม.ย.!E88+เม.ย.!F88+เม.ย.!H88+เม.ย.!I88+เม.ย.!M88+เม.ย.!N88+เม.ย.!P88+เม.ย.!R88</f>
        <v>0</v>
      </c>
      <c r="G87" s="179"/>
      <c r="H87" s="179">
        <f t="shared" si="12"/>
        <v>40000</v>
      </c>
      <c r="I87" s="208">
        <f t="shared" si="11"/>
        <v>0</v>
      </c>
    </row>
    <row r="88" spans="1:13" ht="21.75" customHeight="1">
      <c r="A88" s="9"/>
      <c r="B88" s="187" t="s">
        <v>307</v>
      </c>
      <c r="C88" s="279">
        <f>10000-10000</f>
        <v>0</v>
      </c>
      <c r="D88" s="177">
        <f>+'ต.ค.-ธ.ค.'!E91+'ต.ค.-ธ.ค.'!F91+'ต.ค.-ธ.ค.'!H91+'ต.ค.-ธ.ค.'!I91+'ต.ค.-ธ.ค.'!M91+'ต.ค.-ธ.ค.'!Q91+'ต.ค.-ธ.ค.'!S91</f>
        <v>0</v>
      </c>
      <c r="E88" s="177">
        <f>+'ม.ค.-มี.ค.'!D90+'ม.ค.-มี.ค.'!E90+'ม.ค.-มี.ค.'!F90+'ม.ค.-มี.ค.'!G90+'ม.ค.-มี.ค.'!H90+'ม.ค.-มี.ค.'!I90+'ม.ค.-มี.ค.'!J90+'ม.ค.-มี.ค.'!K90+'ม.ค.-มี.ค.'!L90+'ม.ค.-มี.ค.'!M90+'ม.ค.-มี.ค.'!N90+'ม.ค.-มี.ค.'!O90+'ม.ค.-มี.ค.'!P90+'ม.ค.-มี.ค.'!Q90+'ม.ค.-มี.ค.'!R90+'ม.ค.-มี.ค.'!S90+'ม.ค.-มี.ค.'!U90+'ม.ค.-มี.ค.'!V90</f>
        <v>0</v>
      </c>
      <c r="F88" s="177">
        <f>+เม.ย.!D89+เม.ย.!E89+เม.ย.!F89+เม.ย.!H89+เม.ย.!I89+เม.ย.!M89+เม.ย.!N89+เม.ย.!P89+เม.ย.!R89</f>
        <v>0</v>
      </c>
      <c r="G88" s="179"/>
      <c r="H88" s="179">
        <f t="shared" si="12"/>
        <v>0</v>
      </c>
      <c r="I88" s="208">
        <f t="shared" si="11"/>
        <v>0</v>
      </c>
    </row>
    <row r="89" spans="1:13" ht="21.75" customHeight="1">
      <c r="A89" s="9"/>
      <c r="B89" s="187" t="s">
        <v>134</v>
      </c>
      <c r="C89" s="279">
        <f>15000-10000</f>
        <v>5000</v>
      </c>
      <c r="D89" s="177">
        <f>+'ต.ค.-ธ.ค.'!E92+'ต.ค.-ธ.ค.'!F92+'ต.ค.-ธ.ค.'!H92+'ต.ค.-ธ.ค.'!I92+'ต.ค.-ธ.ค.'!M92+'ต.ค.-ธ.ค.'!Q92+'ต.ค.-ธ.ค.'!S92</f>
        <v>0</v>
      </c>
      <c r="E89" s="177">
        <f>+'ม.ค.-มี.ค.'!D91+'ม.ค.-มี.ค.'!E91+'ม.ค.-มี.ค.'!F91+'ม.ค.-มี.ค.'!G91+'ม.ค.-มี.ค.'!H91+'ม.ค.-มี.ค.'!I91+'ม.ค.-มี.ค.'!J91+'ม.ค.-มี.ค.'!K91+'ม.ค.-มี.ค.'!L91+'ม.ค.-มี.ค.'!M91+'ม.ค.-มี.ค.'!N91+'ม.ค.-มี.ค.'!O91+'ม.ค.-มี.ค.'!P91+'ม.ค.-มี.ค.'!Q91+'ม.ค.-มี.ค.'!R91+'ม.ค.-มี.ค.'!S91+'ม.ค.-มี.ค.'!U91+'ม.ค.-มี.ค.'!V91</f>
        <v>0</v>
      </c>
      <c r="F89" s="177">
        <f>+เม.ย.!D90+เม.ย.!E90+เม.ย.!F90+เม.ย.!H90+เม.ย.!I90+เม.ย.!M90+เม.ย.!N90+เม.ย.!P90+เม.ย.!R90</f>
        <v>4000</v>
      </c>
      <c r="G89" s="179"/>
      <c r="H89" s="179">
        <f t="shared" si="12"/>
        <v>4000</v>
      </c>
      <c r="I89" s="208">
        <f t="shared" si="11"/>
        <v>1000</v>
      </c>
    </row>
    <row r="90" spans="1:13" ht="21.75" customHeight="1">
      <c r="A90" s="9"/>
      <c r="B90" s="187" t="s">
        <v>308</v>
      </c>
      <c r="C90" s="279">
        <f>2500-2500</f>
        <v>0</v>
      </c>
      <c r="D90" s="177">
        <f>+'ต.ค.-ธ.ค.'!E93+'ต.ค.-ธ.ค.'!F93+'ต.ค.-ธ.ค.'!H93+'ต.ค.-ธ.ค.'!I93+'ต.ค.-ธ.ค.'!M93+'ต.ค.-ธ.ค.'!Q93+'ต.ค.-ธ.ค.'!S93</f>
        <v>0</v>
      </c>
      <c r="E90" s="177">
        <f>+'ม.ค.-มี.ค.'!D92+'ม.ค.-มี.ค.'!E92+'ม.ค.-มี.ค.'!F92+'ม.ค.-มี.ค.'!G92+'ม.ค.-มี.ค.'!H92+'ม.ค.-มี.ค.'!I92+'ม.ค.-มี.ค.'!J92+'ม.ค.-มี.ค.'!K92+'ม.ค.-มี.ค.'!L92+'ม.ค.-มี.ค.'!M92+'ม.ค.-มี.ค.'!N92+'ม.ค.-มี.ค.'!O92+'ม.ค.-มี.ค.'!P92+'ม.ค.-มี.ค.'!Q92+'ม.ค.-มี.ค.'!R92+'ม.ค.-มี.ค.'!S92+'ม.ค.-มี.ค.'!U92+'ม.ค.-มี.ค.'!V92</f>
        <v>0</v>
      </c>
      <c r="F90" s="177">
        <f>+เม.ย.!D91+เม.ย.!E91+เม.ย.!F91+เม.ย.!H91+เม.ย.!I91+เม.ย.!M91+เม.ย.!N91+เม.ย.!P91+เม.ย.!R91</f>
        <v>0</v>
      </c>
      <c r="G90" s="179"/>
      <c r="H90" s="179">
        <f t="shared" si="12"/>
        <v>0</v>
      </c>
      <c r="I90" s="208">
        <f t="shared" si="11"/>
        <v>0</v>
      </c>
    </row>
    <row r="91" spans="1:13" ht="21.75" customHeight="1">
      <c r="A91" s="9"/>
      <c r="B91" s="187" t="s">
        <v>309</v>
      </c>
      <c r="C91" s="279">
        <f>2500-2500</f>
        <v>0</v>
      </c>
      <c r="D91" s="177">
        <f>+'ต.ค.-ธ.ค.'!E94+'ต.ค.-ธ.ค.'!F94+'ต.ค.-ธ.ค.'!H94+'ต.ค.-ธ.ค.'!I94+'ต.ค.-ธ.ค.'!M94+'ต.ค.-ธ.ค.'!Q94+'ต.ค.-ธ.ค.'!S94</f>
        <v>0</v>
      </c>
      <c r="E91" s="177">
        <f>+'ม.ค.-มี.ค.'!D93+'ม.ค.-มี.ค.'!E93+'ม.ค.-มี.ค.'!F93+'ม.ค.-มี.ค.'!G93+'ม.ค.-มี.ค.'!H93+'ม.ค.-มี.ค.'!I93+'ม.ค.-มี.ค.'!J93+'ม.ค.-มี.ค.'!K93+'ม.ค.-มี.ค.'!L93+'ม.ค.-มี.ค.'!M93+'ม.ค.-มี.ค.'!N93+'ม.ค.-มี.ค.'!O93+'ม.ค.-มี.ค.'!P93+'ม.ค.-มี.ค.'!Q93+'ม.ค.-มี.ค.'!R93+'ม.ค.-มี.ค.'!S93+'ม.ค.-มี.ค.'!U93+'ม.ค.-มี.ค.'!V93</f>
        <v>0</v>
      </c>
      <c r="F91" s="177">
        <f>+เม.ย.!D92+เม.ย.!E92+เม.ย.!F92+เม.ย.!H92+เม.ย.!I92+เม.ย.!M92+เม.ย.!N92+เม.ย.!P92+เม.ย.!R92</f>
        <v>0</v>
      </c>
      <c r="G91" s="179"/>
      <c r="H91" s="179">
        <f t="shared" si="12"/>
        <v>0</v>
      </c>
      <c r="I91" s="208">
        <f t="shared" si="11"/>
        <v>0</v>
      </c>
    </row>
    <row r="92" spans="1:13" ht="21.75" customHeight="1">
      <c r="A92" s="9"/>
      <c r="B92" s="187" t="s">
        <v>310</v>
      </c>
      <c r="C92" s="279">
        <f>2500-2500</f>
        <v>0</v>
      </c>
      <c r="D92" s="177">
        <f>+'ต.ค.-ธ.ค.'!E95+'ต.ค.-ธ.ค.'!F95+'ต.ค.-ธ.ค.'!H95+'ต.ค.-ธ.ค.'!I95+'ต.ค.-ธ.ค.'!M95+'ต.ค.-ธ.ค.'!Q95+'ต.ค.-ธ.ค.'!S95</f>
        <v>0</v>
      </c>
      <c r="E92" s="177">
        <f>+'ม.ค.-มี.ค.'!D94+'ม.ค.-มี.ค.'!E94+'ม.ค.-มี.ค.'!F94+'ม.ค.-มี.ค.'!G94+'ม.ค.-มี.ค.'!H94+'ม.ค.-มี.ค.'!I94+'ม.ค.-มี.ค.'!J94+'ม.ค.-มี.ค.'!K94+'ม.ค.-มี.ค.'!L94+'ม.ค.-มี.ค.'!M94+'ม.ค.-มี.ค.'!N94+'ม.ค.-มี.ค.'!O94+'ม.ค.-มี.ค.'!P94+'ม.ค.-มี.ค.'!Q94+'ม.ค.-มี.ค.'!R94+'ม.ค.-มี.ค.'!S94+'ม.ค.-มี.ค.'!U94+'ม.ค.-มี.ค.'!V94</f>
        <v>0</v>
      </c>
      <c r="F92" s="177">
        <f>+เม.ย.!D93+เม.ย.!E93+เม.ย.!F93+เม.ย.!H93+เม.ย.!I93+เม.ย.!M93+เม.ย.!N93+เม.ย.!P93+เม.ย.!R93</f>
        <v>0</v>
      </c>
      <c r="G92" s="179"/>
      <c r="H92" s="179">
        <f t="shared" si="12"/>
        <v>0</v>
      </c>
      <c r="I92" s="208">
        <f t="shared" si="11"/>
        <v>0</v>
      </c>
    </row>
    <row r="93" spans="1:13" ht="21.75" customHeight="1">
      <c r="A93" s="9"/>
      <c r="B93" s="187" t="s">
        <v>311</v>
      </c>
      <c r="C93" s="279">
        <f>2500-2500</f>
        <v>0</v>
      </c>
      <c r="D93" s="177">
        <f>+'ต.ค.-ธ.ค.'!E96+'ต.ค.-ธ.ค.'!F96+'ต.ค.-ธ.ค.'!H96+'ต.ค.-ธ.ค.'!I96+'ต.ค.-ธ.ค.'!M96+'ต.ค.-ธ.ค.'!Q96+'ต.ค.-ธ.ค.'!S96</f>
        <v>0</v>
      </c>
      <c r="E93" s="177">
        <f>+'ม.ค.-มี.ค.'!D95+'ม.ค.-มี.ค.'!E95+'ม.ค.-มี.ค.'!F95+'ม.ค.-มี.ค.'!G95+'ม.ค.-มี.ค.'!H95+'ม.ค.-มี.ค.'!I95+'ม.ค.-มี.ค.'!J95+'ม.ค.-มี.ค.'!K95+'ม.ค.-มี.ค.'!L95+'ม.ค.-มี.ค.'!M95+'ม.ค.-มี.ค.'!N95+'ม.ค.-มี.ค.'!O95+'ม.ค.-มี.ค.'!P95+'ม.ค.-มี.ค.'!Q95+'ม.ค.-มี.ค.'!R95+'ม.ค.-มี.ค.'!S95+'ม.ค.-มี.ค.'!U95+'ม.ค.-มี.ค.'!V95</f>
        <v>0</v>
      </c>
      <c r="F93" s="177">
        <f>+เม.ย.!D94+เม.ย.!E94+เม.ย.!F94+เม.ย.!H94+เม.ย.!I94+เม.ย.!M94+เม.ย.!N94+เม.ย.!P94+เม.ย.!R94</f>
        <v>0</v>
      </c>
      <c r="G93" s="179"/>
      <c r="H93" s="179">
        <f t="shared" si="12"/>
        <v>0</v>
      </c>
      <c r="I93" s="208">
        <f t="shared" si="11"/>
        <v>0</v>
      </c>
    </row>
    <row r="94" spans="1:13" ht="21.75" customHeight="1">
      <c r="A94" s="9"/>
      <c r="B94" s="187" t="s">
        <v>243</v>
      </c>
      <c r="C94" s="279">
        <v>2000</v>
      </c>
      <c r="D94" s="177">
        <f>+'ต.ค.-ธ.ค.'!E97+'ต.ค.-ธ.ค.'!F97+'ต.ค.-ธ.ค.'!H97+'ต.ค.-ธ.ค.'!I97+'ต.ค.-ธ.ค.'!M97+'ต.ค.-ธ.ค.'!Q97+'ต.ค.-ธ.ค.'!S97</f>
        <v>0</v>
      </c>
      <c r="E94" s="177">
        <f>+'ม.ค.-มี.ค.'!D96+'ม.ค.-มี.ค.'!E96+'ม.ค.-มี.ค.'!F96+'ม.ค.-มี.ค.'!G96+'ม.ค.-มี.ค.'!H96+'ม.ค.-มี.ค.'!I96+'ม.ค.-มี.ค.'!J96+'ม.ค.-มี.ค.'!K96+'ม.ค.-มี.ค.'!L96+'ม.ค.-มี.ค.'!M96+'ม.ค.-มี.ค.'!N96+'ม.ค.-มี.ค.'!O96+'ม.ค.-มี.ค.'!P96+'ม.ค.-มี.ค.'!Q96+'ม.ค.-มี.ค.'!R96+'ม.ค.-มี.ค.'!S96+'ม.ค.-มี.ค.'!U96+'ม.ค.-มี.ค.'!V96</f>
        <v>2000</v>
      </c>
      <c r="F94" s="177">
        <f>+เม.ย.!D95+เม.ย.!E95+เม.ย.!F95+เม.ย.!H95+เม.ย.!I95+เม.ย.!M95+เม.ย.!N95+เม.ย.!P95+เม.ย.!R95</f>
        <v>0</v>
      </c>
      <c r="G94" s="179"/>
      <c r="H94" s="179">
        <f t="shared" si="12"/>
        <v>2000</v>
      </c>
      <c r="I94" s="208">
        <f t="shared" si="11"/>
        <v>0</v>
      </c>
    </row>
    <row r="95" spans="1:13" ht="21.75" customHeight="1">
      <c r="A95" s="9"/>
      <c r="B95" s="187" t="s">
        <v>248</v>
      </c>
      <c r="C95" s="279">
        <v>2000</v>
      </c>
      <c r="D95" s="177">
        <f>+'ต.ค.-ธ.ค.'!E98+'ต.ค.-ธ.ค.'!F98+'ต.ค.-ธ.ค.'!H98+'ต.ค.-ธ.ค.'!I98+'ต.ค.-ธ.ค.'!M98+'ต.ค.-ธ.ค.'!Q98+'ต.ค.-ธ.ค.'!S98</f>
        <v>0</v>
      </c>
      <c r="E95" s="177">
        <f>+'ม.ค.-มี.ค.'!D97+'ม.ค.-มี.ค.'!E97+'ม.ค.-มี.ค.'!F97+'ม.ค.-มี.ค.'!G97+'ม.ค.-มี.ค.'!H97+'ม.ค.-มี.ค.'!I97+'ม.ค.-มี.ค.'!J97+'ม.ค.-มี.ค.'!K97+'ม.ค.-มี.ค.'!L97+'ม.ค.-มี.ค.'!M97+'ม.ค.-มี.ค.'!N97+'ม.ค.-มี.ค.'!O97+'ม.ค.-มี.ค.'!P97+'ม.ค.-มี.ค.'!Q97+'ม.ค.-มี.ค.'!R97+'ม.ค.-มี.ค.'!S97+'ม.ค.-มี.ค.'!U97+'ม.ค.-มี.ค.'!V97</f>
        <v>2000</v>
      </c>
      <c r="F95" s="177">
        <f>+เม.ย.!D96+เม.ย.!E96+เม.ย.!F96+เม.ย.!H96+เม.ย.!I96+เม.ย.!M96+เม.ย.!N96+เม.ย.!P96+เม.ย.!R96</f>
        <v>0</v>
      </c>
      <c r="G95" s="179"/>
      <c r="H95" s="179">
        <f t="shared" si="12"/>
        <v>2000</v>
      </c>
      <c r="I95" s="208">
        <f t="shared" si="11"/>
        <v>0</v>
      </c>
    </row>
    <row r="96" spans="1:13" s="168" customFormat="1" ht="21.75" customHeight="1">
      <c r="A96" s="9"/>
      <c r="B96" s="187" t="s">
        <v>244</v>
      </c>
      <c r="C96" s="279">
        <v>2000</v>
      </c>
      <c r="D96" s="177">
        <f>+'ต.ค.-ธ.ค.'!E99+'ต.ค.-ธ.ค.'!F99+'ต.ค.-ธ.ค.'!H99+'ต.ค.-ธ.ค.'!I99+'ต.ค.-ธ.ค.'!M99+'ต.ค.-ธ.ค.'!Q99+'ต.ค.-ธ.ค.'!S99</f>
        <v>0</v>
      </c>
      <c r="E96" s="177">
        <f>+'ม.ค.-มี.ค.'!D98+'ม.ค.-มี.ค.'!E98+'ม.ค.-มี.ค.'!F98+'ม.ค.-มี.ค.'!G98+'ม.ค.-มี.ค.'!H98+'ม.ค.-มี.ค.'!I98+'ม.ค.-มี.ค.'!J98+'ม.ค.-มี.ค.'!K98+'ม.ค.-มี.ค.'!L98+'ม.ค.-มี.ค.'!M98+'ม.ค.-มี.ค.'!N98+'ม.ค.-มี.ค.'!O98+'ม.ค.-มี.ค.'!P98+'ม.ค.-มี.ค.'!Q98+'ม.ค.-มี.ค.'!R98+'ม.ค.-มี.ค.'!S98+'ม.ค.-มี.ค.'!U98+'ม.ค.-มี.ค.'!V98</f>
        <v>1995</v>
      </c>
      <c r="F96" s="177">
        <f>+เม.ย.!D97+เม.ย.!E97+เม.ย.!F97+เม.ย.!H97+เม.ย.!I97+เม.ย.!M97+เม.ย.!N97+เม.ย.!P97+เม.ย.!R97</f>
        <v>0</v>
      </c>
      <c r="G96" s="179"/>
      <c r="H96" s="179">
        <f t="shared" si="12"/>
        <v>1995</v>
      </c>
      <c r="I96" s="208">
        <f t="shared" si="11"/>
        <v>5</v>
      </c>
      <c r="J96" s="233"/>
      <c r="K96" s="331"/>
      <c r="L96" s="247"/>
      <c r="M96" s="247"/>
    </row>
    <row r="97" spans="1:9" ht="21.75" customHeight="1">
      <c r="A97" s="9"/>
      <c r="B97" s="187" t="s">
        <v>245</v>
      </c>
      <c r="C97" s="279">
        <v>2000</v>
      </c>
      <c r="D97" s="177">
        <f>+'ต.ค.-ธ.ค.'!E100+'ต.ค.-ธ.ค.'!F100+'ต.ค.-ธ.ค.'!H100+'ต.ค.-ธ.ค.'!I100+'ต.ค.-ธ.ค.'!M100+'ต.ค.-ธ.ค.'!Q100+'ต.ค.-ธ.ค.'!S100</f>
        <v>0</v>
      </c>
      <c r="E97" s="177">
        <f>+'ม.ค.-มี.ค.'!D99+'ม.ค.-มี.ค.'!E99+'ม.ค.-มี.ค.'!F99+'ม.ค.-มี.ค.'!G99+'ม.ค.-มี.ค.'!H99+'ม.ค.-มี.ค.'!I99+'ม.ค.-มี.ค.'!J99+'ม.ค.-มี.ค.'!K99+'ม.ค.-มี.ค.'!L99+'ม.ค.-มี.ค.'!M99+'ม.ค.-มี.ค.'!N99+'ม.ค.-มี.ค.'!O99+'ม.ค.-มี.ค.'!P99+'ม.ค.-มี.ค.'!Q99+'ม.ค.-มี.ค.'!R99+'ม.ค.-มี.ค.'!S99+'ม.ค.-มี.ค.'!U99+'ม.ค.-มี.ค.'!V99</f>
        <v>2000</v>
      </c>
      <c r="F97" s="177">
        <f>+เม.ย.!D98+เม.ย.!E98+เม.ย.!F98+เม.ย.!H98+เม.ย.!I98+เม.ย.!M98+เม.ย.!N98+เม.ย.!P98+เม.ย.!R98</f>
        <v>0</v>
      </c>
      <c r="G97" s="179"/>
      <c r="H97" s="179">
        <f t="shared" si="12"/>
        <v>2000</v>
      </c>
      <c r="I97" s="208">
        <f t="shared" si="11"/>
        <v>0</v>
      </c>
    </row>
    <row r="98" spans="1:9" ht="21.75" customHeight="1">
      <c r="A98" s="9"/>
      <c r="B98" s="187" t="s">
        <v>246</v>
      </c>
      <c r="C98" s="279">
        <v>2000</v>
      </c>
      <c r="D98" s="177">
        <f>+'ต.ค.-ธ.ค.'!E101+'ต.ค.-ธ.ค.'!F101+'ต.ค.-ธ.ค.'!H101+'ต.ค.-ธ.ค.'!I101+'ต.ค.-ธ.ค.'!M101+'ต.ค.-ธ.ค.'!Q101+'ต.ค.-ธ.ค.'!S101</f>
        <v>0</v>
      </c>
      <c r="E98" s="177">
        <f>+'ม.ค.-มี.ค.'!D100+'ม.ค.-มี.ค.'!E100+'ม.ค.-มี.ค.'!F100+'ม.ค.-มี.ค.'!G100+'ม.ค.-มี.ค.'!H100+'ม.ค.-มี.ค.'!I100+'ม.ค.-มี.ค.'!J100+'ม.ค.-มี.ค.'!K100+'ม.ค.-มี.ค.'!L100+'ม.ค.-มี.ค.'!M100+'ม.ค.-มี.ค.'!N100+'ม.ค.-มี.ค.'!O100+'ม.ค.-มี.ค.'!P100+'ม.ค.-มี.ค.'!Q100+'ม.ค.-มี.ค.'!R100+'ม.ค.-มี.ค.'!S100+'ม.ค.-มี.ค.'!U100+'ม.ค.-มี.ค.'!V100</f>
        <v>0</v>
      </c>
      <c r="F98" s="177">
        <f>+เม.ย.!D99+เม.ย.!E99+เม.ย.!F99+เม.ย.!H99+เม.ย.!I99+เม.ย.!M99+เม.ย.!N99+เม.ย.!P99+เม.ย.!R99</f>
        <v>0</v>
      </c>
      <c r="G98" s="179"/>
      <c r="H98" s="179">
        <f t="shared" si="12"/>
        <v>0</v>
      </c>
      <c r="I98" s="208">
        <f t="shared" si="11"/>
        <v>2000</v>
      </c>
    </row>
    <row r="99" spans="1:9" ht="21.75" customHeight="1">
      <c r="A99" s="9"/>
      <c r="B99" s="187" t="s">
        <v>247</v>
      </c>
      <c r="C99" s="279">
        <v>2000</v>
      </c>
      <c r="D99" s="177">
        <f>+'ต.ค.-ธ.ค.'!E102+'ต.ค.-ธ.ค.'!F102+'ต.ค.-ธ.ค.'!H102+'ต.ค.-ธ.ค.'!I102+'ต.ค.-ธ.ค.'!M102+'ต.ค.-ธ.ค.'!Q102+'ต.ค.-ธ.ค.'!S102</f>
        <v>0</v>
      </c>
      <c r="E99" s="177">
        <f>+'ม.ค.-มี.ค.'!D101+'ม.ค.-มี.ค.'!E101+'ม.ค.-มี.ค.'!F101+'ม.ค.-มี.ค.'!G101+'ม.ค.-มี.ค.'!H101+'ม.ค.-มี.ค.'!I101+'ม.ค.-มี.ค.'!J101+'ม.ค.-มี.ค.'!K101+'ม.ค.-มี.ค.'!L101+'ม.ค.-มี.ค.'!M101+'ม.ค.-มี.ค.'!N101+'ม.ค.-มี.ค.'!O101+'ม.ค.-มี.ค.'!P101+'ม.ค.-มี.ค.'!Q101+'ม.ค.-มี.ค.'!R101+'ม.ค.-มี.ค.'!S101+'ม.ค.-มี.ค.'!U101+'ม.ค.-มี.ค.'!V101</f>
        <v>0</v>
      </c>
      <c r="F99" s="177">
        <f>+เม.ย.!D100+เม.ย.!E100+เม.ย.!F100+เม.ย.!H100+เม.ย.!I100+เม.ย.!M100+เม.ย.!N100+เม.ย.!P100+เม.ย.!R100</f>
        <v>0</v>
      </c>
      <c r="G99" s="179"/>
      <c r="H99" s="179">
        <f t="shared" si="12"/>
        <v>0</v>
      </c>
      <c r="I99" s="208">
        <f t="shared" si="11"/>
        <v>2000</v>
      </c>
    </row>
    <row r="100" spans="1:9" ht="21.75" customHeight="1">
      <c r="A100" s="9"/>
      <c r="B100" s="187" t="s">
        <v>249</v>
      </c>
      <c r="C100" s="279">
        <v>2000</v>
      </c>
      <c r="D100" s="177">
        <f>+'ต.ค.-ธ.ค.'!E103+'ต.ค.-ธ.ค.'!F103+'ต.ค.-ธ.ค.'!H103+'ต.ค.-ธ.ค.'!I103+'ต.ค.-ธ.ค.'!M103+'ต.ค.-ธ.ค.'!Q103+'ต.ค.-ธ.ค.'!S103</f>
        <v>0</v>
      </c>
      <c r="E100" s="177">
        <f>+'ม.ค.-มี.ค.'!D102+'ม.ค.-มี.ค.'!E102+'ม.ค.-มี.ค.'!F102+'ม.ค.-มี.ค.'!G102+'ม.ค.-มี.ค.'!H102+'ม.ค.-มี.ค.'!I102+'ม.ค.-มี.ค.'!J102+'ม.ค.-มี.ค.'!K102+'ม.ค.-มี.ค.'!L102+'ม.ค.-มี.ค.'!M102+'ม.ค.-มี.ค.'!N102+'ม.ค.-มี.ค.'!O102+'ม.ค.-มี.ค.'!P102+'ม.ค.-มี.ค.'!Q102+'ม.ค.-มี.ค.'!R102+'ม.ค.-มี.ค.'!S102+'ม.ค.-มี.ค.'!U102+'ม.ค.-มี.ค.'!V102</f>
        <v>0</v>
      </c>
      <c r="F100" s="177">
        <f>+เม.ย.!D101+เม.ย.!E101+เม.ย.!F101+เม.ย.!H101+เม.ย.!I101+เม.ย.!M101+เม.ย.!N101+เม.ย.!P101+เม.ย.!R101</f>
        <v>0</v>
      </c>
      <c r="G100" s="179"/>
      <c r="H100" s="179">
        <f t="shared" si="12"/>
        <v>0</v>
      </c>
      <c r="I100" s="208">
        <f t="shared" si="11"/>
        <v>2000</v>
      </c>
    </row>
    <row r="101" spans="1:9" ht="21.75" customHeight="1">
      <c r="A101" s="9"/>
      <c r="B101" s="187" t="s">
        <v>250</v>
      </c>
      <c r="C101" s="279">
        <v>2000</v>
      </c>
      <c r="D101" s="177">
        <f>+'ต.ค.-ธ.ค.'!E104+'ต.ค.-ธ.ค.'!F104+'ต.ค.-ธ.ค.'!H104+'ต.ค.-ธ.ค.'!I104+'ต.ค.-ธ.ค.'!M104+'ต.ค.-ธ.ค.'!Q104+'ต.ค.-ธ.ค.'!S104</f>
        <v>0</v>
      </c>
      <c r="E101" s="177">
        <f>+'ม.ค.-มี.ค.'!D103+'ม.ค.-มี.ค.'!E103+'ม.ค.-มี.ค.'!F103+'ม.ค.-มี.ค.'!G103+'ม.ค.-มี.ค.'!H103+'ม.ค.-มี.ค.'!I103+'ม.ค.-มี.ค.'!J103+'ม.ค.-มี.ค.'!K103+'ม.ค.-มี.ค.'!L103+'ม.ค.-มี.ค.'!M103+'ม.ค.-มี.ค.'!N103+'ม.ค.-มี.ค.'!O103+'ม.ค.-มี.ค.'!P103+'ม.ค.-มี.ค.'!Q103+'ม.ค.-มี.ค.'!R103+'ม.ค.-มี.ค.'!S103+'ม.ค.-มี.ค.'!U103+'ม.ค.-มี.ค.'!V103</f>
        <v>0</v>
      </c>
      <c r="F101" s="177">
        <f>+เม.ย.!D102+เม.ย.!E102+เม.ย.!F102+เม.ย.!H102+เม.ย.!I102+เม.ย.!M102+เม.ย.!N102+เม.ย.!P102+เม.ย.!R102</f>
        <v>0</v>
      </c>
      <c r="G101" s="179"/>
      <c r="H101" s="179">
        <f t="shared" si="12"/>
        <v>0</v>
      </c>
      <c r="I101" s="208">
        <f t="shared" si="11"/>
        <v>2000</v>
      </c>
    </row>
    <row r="102" spans="1:9" ht="21.75" customHeight="1">
      <c r="A102" s="9"/>
      <c r="B102" s="187" t="s">
        <v>251</v>
      </c>
      <c r="C102" s="279">
        <v>2000</v>
      </c>
      <c r="D102" s="177">
        <f>+'ต.ค.-ธ.ค.'!E105+'ต.ค.-ธ.ค.'!F105+'ต.ค.-ธ.ค.'!H105+'ต.ค.-ธ.ค.'!I105+'ต.ค.-ธ.ค.'!M105+'ต.ค.-ธ.ค.'!Q105+'ต.ค.-ธ.ค.'!S105</f>
        <v>0</v>
      </c>
      <c r="E102" s="177">
        <f>+'ม.ค.-มี.ค.'!D104+'ม.ค.-มี.ค.'!E104+'ม.ค.-มี.ค.'!F104+'ม.ค.-มี.ค.'!G104+'ม.ค.-มี.ค.'!H104+'ม.ค.-มี.ค.'!I104+'ม.ค.-มี.ค.'!J104+'ม.ค.-มี.ค.'!K104+'ม.ค.-มี.ค.'!L104+'ม.ค.-มี.ค.'!M104+'ม.ค.-มี.ค.'!N104+'ม.ค.-มี.ค.'!O104+'ม.ค.-มี.ค.'!P104+'ม.ค.-มี.ค.'!Q104+'ม.ค.-มี.ค.'!R104+'ม.ค.-มี.ค.'!S104+'ม.ค.-มี.ค.'!U104+'ม.ค.-มี.ค.'!V104</f>
        <v>0</v>
      </c>
      <c r="F102" s="177">
        <f>+เม.ย.!D103+เม.ย.!E103+เม.ย.!F103+เม.ย.!H103+เม.ย.!I103+เม.ย.!M103+เม.ย.!N103+เม.ย.!P103+เม.ย.!R103</f>
        <v>0</v>
      </c>
      <c r="G102" s="179"/>
      <c r="H102" s="179">
        <f t="shared" si="12"/>
        <v>0</v>
      </c>
      <c r="I102" s="208">
        <f t="shared" si="11"/>
        <v>2000</v>
      </c>
    </row>
    <row r="103" spans="1:9" ht="21.75" customHeight="1">
      <c r="A103" s="9"/>
      <c r="B103" s="187" t="s">
        <v>252</v>
      </c>
      <c r="C103" s="279">
        <v>2000</v>
      </c>
      <c r="D103" s="177">
        <f>+'ต.ค.-ธ.ค.'!E106+'ต.ค.-ธ.ค.'!F106+'ต.ค.-ธ.ค.'!H106+'ต.ค.-ธ.ค.'!I106+'ต.ค.-ธ.ค.'!M106+'ต.ค.-ธ.ค.'!Q106+'ต.ค.-ธ.ค.'!S106</f>
        <v>0</v>
      </c>
      <c r="E103" s="177">
        <f>+'ม.ค.-มี.ค.'!D105+'ม.ค.-มี.ค.'!E105+'ม.ค.-มี.ค.'!F105+'ม.ค.-มี.ค.'!G105+'ม.ค.-มี.ค.'!H105+'ม.ค.-มี.ค.'!I105+'ม.ค.-มี.ค.'!J105+'ม.ค.-มี.ค.'!K105+'ม.ค.-มี.ค.'!L105+'ม.ค.-มี.ค.'!M105+'ม.ค.-มี.ค.'!N105+'ม.ค.-มี.ค.'!O105+'ม.ค.-มี.ค.'!P105+'ม.ค.-มี.ค.'!Q105+'ม.ค.-มี.ค.'!R105+'ม.ค.-มี.ค.'!S105+'ม.ค.-มี.ค.'!U105+'ม.ค.-มี.ค.'!V105</f>
        <v>0</v>
      </c>
      <c r="F103" s="177">
        <f>+เม.ย.!D104+เม.ย.!E104+เม.ย.!F104+เม.ย.!H104+เม.ย.!I104+เม.ย.!M104+เม.ย.!N104+เม.ย.!P104+เม.ย.!R104</f>
        <v>0</v>
      </c>
      <c r="G103" s="179"/>
      <c r="H103" s="179">
        <f t="shared" si="12"/>
        <v>0</v>
      </c>
      <c r="I103" s="208">
        <f t="shared" si="11"/>
        <v>2000</v>
      </c>
    </row>
    <row r="104" spans="1:9" ht="21.75" customHeight="1">
      <c r="A104" s="9"/>
      <c r="B104" s="187" t="s">
        <v>253</v>
      </c>
      <c r="C104" s="279">
        <v>2000</v>
      </c>
      <c r="D104" s="177">
        <f>+'ต.ค.-ธ.ค.'!E107+'ต.ค.-ธ.ค.'!F107+'ต.ค.-ธ.ค.'!H107+'ต.ค.-ธ.ค.'!I107+'ต.ค.-ธ.ค.'!M107+'ต.ค.-ธ.ค.'!Q107+'ต.ค.-ธ.ค.'!S107</f>
        <v>0</v>
      </c>
      <c r="E104" s="177">
        <f>+'ม.ค.-มี.ค.'!D106+'ม.ค.-มี.ค.'!E106+'ม.ค.-มี.ค.'!F106+'ม.ค.-มี.ค.'!G106+'ม.ค.-มี.ค.'!H106+'ม.ค.-มี.ค.'!I106+'ม.ค.-มี.ค.'!J106+'ม.ค.-มี.ค.'!K106+'ม.ค.-มี.ค.'!L106+'ม.ค.-มี.ค.'!M106+'ม.ค.-มี.ค.'!N106+'ม.ค.-มี.ค.'!O106+'ม.ค.-มี.ค.'!P106+'ม.ค.-มี.ค.'!Q106+'ม.ค.-มี.ค.'!R106+'ม.ค.-มี.ค.'!S106+'ม.ค.-มี.ค.'!U106+'ม.ค.-มี.ค.'!V106</f>
        <v>0</v>
      </c>
      <c r="F104" s="177">
        <f>+เม.ย.!D105+เม.ย.!E105+เม.ย.!F105+เม.ย.!H105+เม.ย.!I105+เม.ย.!M105+เม.ย.!N105+เม.ย.!P105+เม.ย.!R105</f>
        <v>0</v>
      </c>
      <c r="G104" s="179"/>
      <c r="H104" s="179">
        <f t="shared" si="12"/>
        <v>0</v>
      </c>
      <c r="I104" s="208">
        <f t="shared" si="11"/>
        <v>2000</v>
      </c>
    </row>
    <row r="105" spans="1:9" ht="21.75" customHeight="1">
      <c r="A105" s="9"/>
      <c r="B105" s="187" t="s">
        <v>254</v>
      </c>
      <c r="C105" s="279">
        <v>2000</v>
      </c>
      <c r="D105" s="177">
        <f>+'ต.ค.-ธ.ค.'!E108+'ต.ค.-ธ.ค.'!F108+'ต.ค.-ธ.ค.'!H108+'ต.ค.-ธ.ค.'!I108+'ต.ค.-ธ.ค.'!M108+'ต.ค.-ธ.ค.'!Q108+'ต.ค.-ธ.ค.'!S108</f>
        <v>0</v>
      </c>
      <c r="E105" s="177">
        <f>+'ม.ค.-มี.ค.'!D107+'ม.ค.-มี.ค.'!E107+'ม.ค.-มี.ค.'!F107+'ม.ค.-มี.ค.'!G107+'ม.ค.-มี.ค.'!H107+'ม.ค.-มี.ค.'!I107+'ม.ค.-มี.ค.'!J107+'ม.ค.-มี.ค.'!K107+'ม.ค.-มี.ค.'!L107+'ม.ค.-มี.ค.'!M107+'ม.ค.-มี.ค.'!N107+'ม.ค.-มี.ค.'!O107+'ม.ค.-มี.ค.'!P107+'ม.ค.-มี.ค.'!Q107+'ม.ค.-มี.ค.'!R107+'ม.ค.-มี.ค.'!S107+'ม.ค.-มี.ค.'!U107+'ม.ค.-มี.ค.'!V107</f>
        <v>0</v>
      </c>
      <c r="F105" s="177">
        <f>+เม.ย.!D106+เม.ย.!E106+เม.ย.!F106+เม.ย.!H106+เม.ย.!I106+เม.ย.!M106+เม.ย.!N106+เม.ย.!P106+เม.ย.!R106</f>
        <v>0</v>
      </c>
      <c r="G105" s="179"/>
      <c r="H105" s="179">
        <f t="shared" si="12"/>
        <v>0</v>
      </c>
      <c r="I105" s="208">
        <f t="shared" si="11"/>
        <v>2000</v>
      </c>
    </row>
    <row r="106" spans="1:9" ht="21.75" customHeight="1">
      <c r="A106" s="9"/>
      <c r="B106" s="187" t="s">
        <v>312</v>
      </c>
      <c r="C106" s="279">
        <v>2500</v>
      </c>
      <c r="D106" s="177">
        <f>+'ต.ค.-ธ.ค.'!E109+'ต.ค.-ธ.ค.'!F109+'ต.ค.-ธ.ค.'!H109+'ต.ค.-ธ.ค.'!I109+'ต.ค.-ธ.ค.'!M109+'ต.ค.-ธ.ค.'!Q109+'ต.ค.-ธ.ค.'!S109</f>
        <v>0</v>
      </c>
      <c r="E106" s="177">
        <f>+'ม.ค.-มี.ค.'!D108+'ม.ค.-มี.ค.'!E108+'ม.ค.-มี.ค.'!F108+'ม.ค.-มี.ค.'!G108+'ม.ค.-มี.ค.'!H108+'ม.ค.-มี.ค.'!I108+'ม.ค.-มี.ค.'!J108+'ม.ค.-มี.ค.'!K108+'ม.ค.-มี.ค.'!L108+'ม.ค.-มี.ค.'!M108+'ม.ค.-มี.ค.'!N108+'ม.ค.-มี.ค.'!O108+'ม.ค.-มี.ค.'!P108+'ม.ค.-มี.ค.'!Q108+'ม.ค.-มี.ค.'!R108+'ม.ค.-มี.ค.'!S108+'ม.ค.-มี.ค.'!U108+'ม.ค.-มี.ค.'!V108</f>
        <v>0</v>
      </c>
      <c r="F106" s="177">
        <f>+เม.ย.!D107+เม.ย.!E107+เม.ย.!F107+เม.ย.!H107+เม.ย.!I107+เม.ย.!M107+เม.ย.!N107+เม.ย.!P107+เม.ย.!R107</f>
        <v>0</v>
      </c>
      <c r="G106" s="179"/>
      <c r="H106" s="179">
        <f t="shared" si="12"/>
        <v>0</v>
      </c>
      <c r="I106" s="208">
        <f t="shared" si="11"/>
        <v>2500</v>
      </c>
    </row>
    <row r="107" spans="1:9" ht="21.75" customHeight="1">
      <c r="A107" s="9"/>
      <c r="B107" s="187" t="s">
        <v>313</v>
      </c>
      <c r="C107" s="279">
        <v>2500</v>
      </c>
      <c r="D107" s="177">
        <f>+'ต.ค.-ธ.ค.'!E110+'ต.ค.-ธ.ค.'!F110+'ต.ค.-ธ.ค.'!H110+'ต.ค.-ธ.ค.'!I110+'ต.ค.-ธ.ค.'!M110+'ต.ค.-ธ.ค.'!Q110+'ต.ค.-ธ.ค.'!S110</f>
        <v>0</v>
      </c>
      <c r="E107" s="177">
        <f>+'ม.ค.-มี.ค.'!D109+'ม.ค.-มี.ค.'!E109+'ม.ค.-มี.ค.'!F109+'ม.ค.-มี.ค.'!G109+'ม.ค.-มี.ค.'!H109+'ม.ค.-มี.ค.'!I109+'ม.ค.-มี.ค.'!J109+'ม.ค.-มี.ค.'!K109+'ม.ค.-มี.ค.'!L109+'ม.ค.-มี.ค.'!M109+'ม.ค.-มี.ค.'!N109+'ม.ค.-มี.ค.'!O109+'ม.ค.-มี.ค.'!P109+'ม.ค.-มี.ค.'!Q109+'ม.ค.-มี.ค.'!R109+'ม.ค.-มี.ค.'!S109+'ม.ค.-มี.ค.'!U109+'ม.ค.-มี.ค.'!V109</f>
        <v>0</v>
      </c>
      <c r="F107" s="177">
        <f>+เม.ย.!D108+เม.ย.!E108+เม.ย.!F108+เม.ย.!H108+เม.ย.!I108+เม.ย.!M108+เม.ย.!N108+เม.ย.!P108+เม.ย.!R108</f>
        <v>0</v>
      </c>
      <c r="G107" s="179"/>
      <c r="H107" s="179">
        <f t="shared" si="12"/>
        <v>0</v>
      </c>
      <c r="I107" s="208">
        <f t="shared" si="11"/>
        <v>2500</v>
      </c>
    </row>
    <row r="108" spans="1:9" ht="21.75" customHeight="1">
      <c r="A108" s="9"/>
      <c r="B108" s="187" t="s">
        <v>314</v>
      </c>
      <c r="C108" s="279">
        <v>2500</v>
      </c>
      <c r="D108" s="177">
        <f>+'ต.ค.-ธ.ค.'!E111+'ต.ค.-ธ.ค.'!F111+'ต.ค.-ธ.ค.'!H111+'ต.ค.-ธ.ค.'!I111+'ต.ค.-ธ.ค.'!M111+'ต.ค.-ธ.ค.'!Q111+'ต.ค.-ธ.ค.'!S111</f>
        <v>0</v>
      </c>
      <c r="E108" s="177">
        <f>+'ม.ค.-มี.ค.'!D110+'ม.ค.-มี.ค.'!E110+'ม.ค.-มี.ค.'!F110+'ม.ค.-มี.ค.'!G110+'ม.ค.-มี.ค.'!H110+'ม.ค.-มี.ค.'!I110+'ม.ค.-มี.ค.'!J110+'ม.ค.-มี.ค.'!K110+'ม.ค.-มี.ค.'!L110+'ม.ค.-มี.ค.'!M110+'ม.ค.-มี.ค.'!N110+'ม.ค.-มี.ค.'!O110+'ม.ค.-มี.ค.'!P110+'ม.ค.-มี.ค.'!Q110+'ม.ค.-มี.ค.'!R110+'ม.ค.-มี.ค.'!S110+'ม.ค.-มี.ค.'!U110+'ม.ค.-มี.ค.'!V110</f>
        <v>0</v>
      </c>
      <c r="F108" s="177">
        <f>+เม.ย.!D109+เม.ย.!E109+เม.ย.!F109+เม.ย.!H109+เม.ย.!I109+เม.ย.!M109+เม.ย.!N109+เม.ย.!P109+เม.ย.!R109</f>
        <v>0</v>
      </c>
      <c r="G108" s="179"/>
      <c r="H108" s="179">
        <f t="shared" si="12"/>
        <v>0</v>
      </c>
      <c r="I108" s="208">
        <f t="shared" si="11"/>
        <v>2500</v>
      </c>
    </row>
    <row r="109" spans="1:9" ht="21.75" customHeight="1">
      <c r="A109" s="9"/>
      <c r="B109" s="187" t="s">
        <v>255</v>
      </c>
      <c r="C109" s="279">
        <v>4000</v>
      </c>
      <c r="D109" s="177">
        <f>+'ต.ค.-ธ.ค.'!E112+'ต.ค.-ธ.ค.'!F112+'ต.ค.-ธ.ค.'!H112+'ต.ค.-ธ.ค.'!I112+'ต.ค.-ธ.ค.'!M112+'ต.ค.-ธ.ค.'!Q112+'ต.ค.-ธ.ค.'!S112</f>
        <v>0</v>
      </c>
      <c r="E109" s="177">
        <f>+'ม.ค.-มี.ค.'!D111+'ม.ค.-มี.ค.'!E111+'ม.ค.-มี.ค.'!F111+'ม.ค.-มี.ค.'!G111+'ม.ค.-มี.ค.'!H111+'ม.ค.-มี.ค.'!I111+'ม.ค.-มี.ค.'!J111+'ม.ค.-มี.ค.'!K111+'ม.ค.-มี.ค.'!L111+'ม.ค.-มี.ค.'!M111+'ม.ค.-มี.ค.'!N111+'ม.ค.-มี.ค.'!O111+'ม.ค.-มี.ค.'!P111+'ม.ค.-มี.ค.'!Q111+'ม.ค.-มี.ค.'!R111+'ม.ค.-มี.ค.'!S111+'ม.ค.-มี.ค.'!U111+'ม.ค.-มี.ค.'!V111</f>
        <v>0</v>
      </c>
      <c r="F109" s="177">
        <f>+เม.ย.!D110+เม.ย.!E110+เม.ย.!F110+เม.ย.!H110+เม.ย.!I110+เม.ย.!M110+เม.ย.!N110+เม.ย.!P110+เม.ย.!R110</f>
        <v>0</v>
      </c>
      <c r="G109" s="179"/>
      <c r="H109" s="179">
        <f t="shared" si="12"/>
        <v>0</v>
      </c>
      <c r="I109" s="208">
        <f t="shared" si="11"/>
        <v>4000</v>
      </c>
    </row>
    <row r="110" spans="1:9" ht="21.75" customHeight="1">
      <c r="A110" s="9"/>
      <c r="B110" s="187" t="s">
        <v>256</v>
      </c>
      <c r="C110" s="279">
        <v>2500</v>
      </c>
      <c r="D110" s="177">
        <f>+'ต.ค.-ธ.ค.'!E113+'ต.ค.-ธ.ค.'!F113+'ต.ค.-ธ.ค.'!H113+'ต.ค.-ธ.ค.'!I113+'ต.ค.-ธ.ค.'!M113+'ต.ค.-ธ.ค.'!Q113+'ต.ค.-ธ.ค.'!S113</f>
        <v>0</v>
      </c>
      <c r="E110" s="177">
        <f>+'ม.ค.-มี.ค.'!D112+'ม.ค.-มี.ค.'!E112+'ม.ค.-มี.ค.'!F112+'ม.ค.-มี.ค.'!G112+'ม.ค.-มี.ค.'!H112+'ม.ค.-มี.ค.'!I112+'ม.ค.-มี.ค.'!J112+'ม.ค.-มี.ค.'!K112+'ม.ค.-มี.ค.'!L112+'ม.ค.-มี.ค.'!M112+'ม.ค.-มี.ค.'!N112+'ม.ค.-มี.ค.'!O112+'ม.ค.-มี.ค.'!P112+'ม.ค.-มี.ค.'!Q112+'ม.ค.-มี.ค.'!R112+'ม.ค.-มี.ค.'!S112+'ม.ค.-มี.ค.'!U112+'ม.ค.-มี.ค.'!V112</f>
        <v>0</v>
      </c>
      <c r="F110" s="177">
        <f>+เม.ย.!D111+เม.ย.!E111+เม.ย.!F111+เม.ย.!H111+เม.ย.!I111+เม.ย.!M111+เม.ย.!N111+เม.ย.!P111+เม.ย.!R111</f>
        <v>0</v>
      </c>
      <c r="G110" s="179"/>
      <c r="H110" s="179">
        <f t="shared" si="12"/>
        <v>0</v>
      </c>
      <c r="I110" s="208">
        <f t="shared" si="11"/>
        <v>2500</v>
      </c>
    </row>
    <row r="111" spans="1:9" ht="21.75" customHeight="1">
      <c r="A111" s="9"/>
      <c r="B111" s="187" t="s">
        <v>257</v>
      </c>
      <c r="C111" s="279">
        <v>2500</v>
      </c>
      <c r="D111" s="177">
        <f>+'ต.ค.-ธ.ค.'!E114+'ต.ค.-ธ.ค.'!F114+'ต.ค.-ธ.ค.'!H114+'ต.ค.-ธ.ค.'!I114+'ต.ค.-ธ.ค.'!M114+'ต.ค.-ธ.ค.'!Q114+'ต.ค.-ธ.ค.'!S114</f>
        <v>0</v>
      </c>
      <c r="E111" s="177">
        <f>+'ม.ค.-มี.ค.'!D113+'ม.ค.-มี.ค.'!E113+'ม.ค.-มี.ค.'!F113+'ม.ค.-มี.ค.'!G113+'ม.ค.-มี.ค.'!H113+'ม.ค.-มี.ค.'!I113+'ม.ค.-มี.ค.'!J113+'ม.ค.-มี.ค.'!K113+'ม.ค.-มี.ค.'!L113+'ม.ค.-มี.ค.'!M113+'ม.ค.-มี.ค.'!N113+'ม.ค.-มี.ค.'!O113+'ม.ค.-มี.ค.'!P113+'ม.ค.-มี.ค.'!Q113+'ม.ค.-มี.ค.'!R113+'ม.ค.-มี.ค.'!S113+'ม.ค.-มี.ค.'!U113+'ม.ค.-มี.ค.'!V113</f>
        <v>0</v>
      </c>
      <c r="F111" s="177">
        <f>+เม.ย.!D112+เม.ย.!E112+เม.ย.!F112+เม.ย.!H112+เม.ย.!I112+เม.ย.!M112+เม.ย.!N112+เม.ย.!P112+เม.ย.!R112</f>
        <v>0</v>
      </c>
      <c r="G111" s="179"/>
      <c r="H111" s="179">
        <f t="shared" si="12"/>
        <v>0</v>
      </c>
      <c r="I111" s="208">
        <f t="shared" si="11"/>
        <v>2500</v>
      </c>
    </row>
    <row r="112" spans="1:9" ht="21.75" customHeight="1">
      <c r="A112" s="9"/>
      <c r="B112" s="187" t="s">
        <v>258</v>
      </c>
      <c r="C112" s="279">
        <v>2500</v>
      </c>
      <c r="D112" s="177">
        <f>+'ต.ค.-ธ.ค.'!E115+'ต.ค.-ธ.ค.'!F115+'ต.ค.-ธ.ค.'!H115+'ต.ค.-ธ.ค.'!I115+'ต.ค.-ธ.ค.'!M115+'ต.ค.-ธ.ค.'!Q115+'ต.ค.-ธ.ค.'!S115</f>
        <v>0</v>
      </c>
      <c r="E112" s="177">
        <f>+'ม.ค.-มี.ค.'!D114+'ม.ค.-มี.ค.'!E114+'ม.ค.-มี.ค.'!F114+'ม.ค.-มี.ค.'!G114+'ม.ค.-มี.ค.'!H114+'ม.ค.-มี.ค.'!I114+'ม.ค.-มี.ค.'!J114+'ม.ค.-มี.ค.'!K114+'ม.ค.-มี.ค.'!L114+'ม.ค.-มี.ค.'!M114+'ม.ค.-มี.ค.'!N114+'ม.ค.-มี.ค.'!O114+'ม.ค.-มี.ค.'!P114+'ม.ค.-มี.ค.'!Q114+'ม.ค.-มี.ค.'!R114+'ม.ค.-มี.ค.'!S114+'ม.ค.-มี.ค.'!U114+'ม.ค.-มี.ค.'!V114</f>
        <v>0</v>
      </c>
      <c r="F112" s="177">
        <f>+เม.ย.!D113+เม.ย.!E113+เม.ย.!F113+เม.ย.!H113+เม.ย.!I113+เม.ย.!M113+เม.ย.!N113+เม.ย.!P113+เม.ย.!R113</f>
        <v>0</v>
      </c>
      <c r="G112" s="179"/>
      <c r="H112" s="179">
        <f t="shared" si="12"/>
        <v>0</v>
      </c>
      <c r="I112" s="208">
        <f t="shared" si="11"/>
        <v>2500</v>
      </c>
    </row>
    <row r="113" spans="1:14" s="172" customFormat="1" ht="21.75" customHeight="1">
      <c r="A113" s="9"/>
      <c r="B113" s="187" t="s">
        <v>259</v>
      </c>
      <c r="C113" s="279">
        <v>1000</v>
      </c>
      <c r="D113" s="177">
        <f>+'ต.ค.-ธ.ค.'!E116+'ต.ค.-ธ.ค.'!F116+'ต.ค.-ธ.ค.'!H116+'ต.ค.-ธ.ค.'!I116+'ต.ค.-ธ.ค.'!M116+'ต.ค.-ธ.ค.'!Q116+'ต.ค.-ธ.ค.'!S116</f>
        <v>0</v>
      </c>
      <c r="E113" s="177">
        <f>+'ม.ค.-มี.ค.'!D115+'ม.ค.-มี.ค.'!E115+'ม.ค.-มี.ค.'!F115+'ม.ค.-มี.ค.'!G115+'ม.ค.-มี.ค.'!H115+'ม.ค.-มี.ค.'!I115+'ม.ค.-มี.ค.'!J115+'ม.ค.-มี.ค.'!K115+'ม.ค.-มี.ค.'!L115+'ม.ค.-มี.ค.'!M115+'ม.ค.-มี.ค.'!N115+'ม.ค.-มี.ค.'!O115+'ม.ค.-มี.ค.'!P115+'ม.ค.-มี.ค.'!Q115+'ม.ค.-มี.ค.'!R115+'ม.ค.-มี.ค.'!S115+'ม.ค.-มี.ค.'!U115+'ม.ค.-มี.ค.'!V115</f>
        <v>0</v>
      </c>
      <c r="F113" s="177">
        <f>+เม.ย.!D114+เม.ย.!E114+เม.ย.!F114+เม.ย.!H114+เม.ย.!I114+เม.ย.!M114+เม.ย.!N114+เม.ย.!P114+เม.ย.!R114</f>
        <v>0</v>
      </c>
      <c r="G113" s="202"/>
      <c r="H113" s="179">
        <f t="shared" si="12"/>
        <v>0</v>
      </c>
      <c r="I113" s="208">
        <f t="shared" ref="I113:I172" si="13">+C113-H113</f>
        <v>1000</v>
      </c>
      <c r="J113" s="233"/>
      <c r="K113" s="331"/>
      <c r="L113" s="330"/>
      <c r="M113" s="330"/>
    </row>
    <row r="114" spans="1:14" ht="21.75" customHeight="1">
      <c r="A114" s="9"/>
      <c r="B114" s="187" t="s">
        <v>260</v>
      </c>
      <c r="C114" s="279">
        <v>1000</v>
      </c>
      <c r="D114" s="177">
        <f>+'ต.ค.-ธ.ค.'!E117+'ต.ค.-ธ.ค.'!F117+'ต.ค.-ธ.ค.'!H117+'ต.ค.-ธ.ค.'!I117+'ต.ค.-ธ.ค.'!M117+'ต.ค.-ธ.ค.'!Q117+'ต.ค.-ธ.ค.'!S117</f>
        <v>0</v>
      </c>
      <c r="E114" s="177">
        <f>+'ม.ค.-มี.ค.'!D116+'ม.ค.-มี.ค.'!E116+'ม.ค.-มี.ค.'!F116+'ม.ค.-มี.ค.'!G116+'ม.ค.-มี.ค.'!H116+'ม.ค.-มี.ค.'!I116+'ม.ค.-มี.ค.'!J116+'ม.ค.-มี.ค.'!K116+'ม.ค.-มี.ค.'!L116+'ม.ค.-มี.ค.'!M116+'ม.ค.-มี.ค.'!N116+'ม.ค.-มี.ค.'!O116+'ม.ค.-มี.ค.'!P116+'ม.ค.-มี.ค.'!Q116+'ม.ค.-มี.ค.'!R116+'ม.ค.-มี.ค.'!S116+'ม.ค.-มี.ค.'!U116+'ม.ค.-มี.ค.'!V116</f>
        <v>0</v>
      </c>
      <c r="F114" s="177">
        <f>+เม.ย.!D115+เม.ย.!E115+เม.ย.!F115+เม.ย.!H115+เม.ย.!I115+เม.ย.!M115+เม.ย.!N115+เม.ย.!P115+เม.ย.!R115</f>
        <v>0</v>
      </c>
      <c r="G114" s="179"/>
      <c r="H114" s="179">
        <f t="shared" si="12"/>
        <v>0</v>
      </c>
      <c r="I114" s="208">
        <f t="shared" si="13"/>
        <v>1000</v>
      </c>
    </row>
    <row r="115" spans="1:14" ht="21.75" customHeight="1">
      <c r="A115" s="9"/>
      <c r="B115" s="187" t="s">
        <v>261</v>
      </c>
      <c r="C115" s="279">
        <v>1000</v>
      </c>
      <c r="D115" s="177">
        <f>+'ต.ค.-ธ.ค.'!E118+'ต.ค.-ธ.ค.'!F118+'ต.ค.-ธ.ค.'!H118+'ต.ค.-ธ.ค.'!I118+'ต.ค.-ธ.ค.'!M118+'ต.ค.-ธ.ค.'!Q118+'ต.ค.-ธ.ค.'!S118</f>
        <v>0</v>
      </c>
      <c r="E115" s="177">
        <f>+'ม.ค.-มี.ค.'!D117+'ม.ค.-มี.ค.'!E117+'ม.ค.-มี.ค.'!F117+'ม.ค.-มี.ค.'!G117+'ม.ค.-มี.ค.'!H117+'ม.ค.-มี.ค.'!I117+'ม.ค.-มี.ค.'!J117+'ม.ค.-มี.ค.'!K117+'ม.ค.-มี.ค.'!L117+'ม.ค.-มี.ค.'!M117+'ม.ค.-มี.ค.'!N117+'ม.ค.-มี.ค.'!O117+'ม.ค.-มี.ค.'!P117+'ม.ค.-มี.ค.'!Q117+'ม.ค.-มี.ค.'!R117+'ม.ค.-มี.ค.'!S117+'ม.ค.-มี.ค.'!U117+'ม.ค.-มี.ค.'!V117</f>
        <v>0</v>
      </c>
      <c r="F115" s="177">
        <f>+เม.ย.!D116+เม.ย.!E116+เม.ย.!F116+เม.ย.!H116+เม.ย.!I116+เม.ย.!M116+เม.ย.!N116+เม.ย.!P116+เม.ย.!R116</f>
        <v>0</v>
      </c>
      <c r="G115" s="179"/>
      <c r="H115" s="179">
        <f t="shared" ref="H115:H174" si="14">SUM(D115:G115)</f>
        <v>0</v>
      </c>
      <c r="I115" s="208">
        <f t="shared" si="13"/>
        <v>1000</v>
      </c>
      <c r="K115" s="331"/>
      <c r="L115" s="338"/>
      <c r="M115" s="247"/>
      <c r="N115" s="168"/>
    </row>
    <row r="116" spans="1:14" ht="21.75" customHeight="1">
      <c r="A116" s="9"/>
      <c r="B116" s="187" t="s">
        <v>262</v>
      </c>
      <c r="C116" s="279">
        <v>1000</v>
      </c>
      <c r="D116" s="177">
        <f>+'ต.ค.-ธ.ค.'!E119+'ต.ค.-ธ.ค.'!F119+'ต.ค.-ธ.ค.'!H119+'ต.ค.-ธ.ค.'!I119+'ต.ค.-ธ.ค.'!M119+'ต.ค.-ธ.ค.'!Q119+'ต.ค.-ธ.ค.'!S119</f>
        <v>0</v>
      </c>
      <c r="E116" s="177">
        <f>+'ม.ค.-มี.ค.'!D118+'ม.ค.-มี.ค.'!E118+'ม.ค.-มี.ค.'!F118+'ม.ค.-มี.ค.'!G118+'ม.ค.-มี.ค.'!H118+'ม.ค.-มี.ค.'!I118+'ม.ค.-มี.ค.'!J118+'ม.ค.-มี.ค.'!K118+'ม.ค.-มี.ค.'!L118+'ม.ค.-มี.ค.'!M118+'ม.ค.-มี.ค.'!N118+'ม.ค.-มี.ค.'!O118+'ม.ค.-มี.ค.'!P118+'ม.ค.-มี.ค.'!Q118+'ม.ค.-มี.ค.'!R118+'ม.ค.-มี.ค.'!S118+'ม.ค.-มี.ค.'!U118+'ม.ค.-มี.ค.'!V118</f>
        <v>0</v>
      </c>
      <c r="F116" s="177">
        <f>+เม.ย.!D117+เม.ย.!E117+เม.ย.!F117+เม.ย.!H117+เม.ย.!I117+เม.ย.!M117+เม.ย.!N117+เม.ย.!P117+เม.ย.!R117</f>
        <v>0</v>
      </c>
      <c r="G116" s="179"/>
      <c r="H116" s="179">
        <f t="shared" si="14"/>
        <v>0</v>
      </c>
      <c r="I116" s="208">
        <f t="shared" si="13"/>
        <v>1000</v>
      </c>
      <c r="K116" s="331"/>
      <c r="L116" s="338"/>
      <c r="M116" s="247"/>
      <c r="N116" s="168"/>
    </row>
    <row r="117" spans="1:14" ht="21.75" customHeight="1">
      <c r="A117" s="9"/>
      <c r="B117" s="187" t="s">
        <v>211</v>
      </c>
      <c r="C117" s="279">
        <v>392000</v>
      </c>
      <c r="D117" s="177">
        <f>+'ต.ค.-ธ.ค.'!E120+'ต.ค.-ธ.ค.'!F120+'ต.ค.-ธ.ค.'!H120+'ต.ค.-ธ.ค.'!I120+'ต.ค.-ธ.ค.'!M120+'ต.ค.-ธ.ค.'!Q120+'ต.ค.-ธ.ค.'!S120</f>
        <v>104000</v>
      </c>
      <c r="E117" s="177">
        <f>+'ม.ค.-มี.ค.'!D119+'ม.ค.-มี.ค.'!E119+'ม.ค.-มี.ค.'!F119+'ม.ค.-มี.ค.'!G119+'ม.ค.-มี.ค.'!H119+'ม.ค.-มี.ค.'!I119+'ม.ค.-มี.ค.'!J119+'ม.ค.-มี.ค.'!K119+'ม.ค.-มี.ค.'!L119+'ม.ค.-มี.ค.'!M119+'ม.ค.-มี.ค.'!N119+'ม.ค.-มี.ค.'!O119+'ม.ค.-มี.ค.'!P119+'ม.ค.-มี.ค.'!Q119+'ม.ค.-มี.ค.'!R119+'ม.ค.-มี.ค.'!S119+'ม.ค.-มี.ค.'!U119+'ม.ค.-มี.ค.'!V119</f>
        <v>93600</v>
      </c>
      <c r="F117" s="177">
        <f>+เม.ย.!D118+เม.ย.!E118+เม.ย.!F118+เม.ย.!H118+เม.ย.!I118+เม.ย.!M118+เม.ย.!N118+เม.ย.!P118+เม.ย.!R118</f>
        <v>0</v>
      </c>
      <c r="G117" s="179"/>
      <c r="H117" s="179">
        <f t="shared" si="14"/>
        <v>197600</v>
      </c>
      <c r="I117" s="208">
        <f t="shared" si="13"/>
        <v>194400</v>
      </c>
    </row>
    <row r="118" spans="1:14" ht="21.75" customHeight="1">
      <c r="A118" s="9"/>
      <c r="B118" s="187" t="s">
        <v>263</v>
      </c>
      <c r="C118" s="279">
        <v>200900</v>
      </c>
      <c r="D118" s="177">
        <f>+'ต.ค.-ธ.ค.'!E121+'ต.ค.-ธ.ค.'!F121+'ต.ค.-ธ.ค.'!H121+'ต.ค.-ธ.ค.'!I121+'ต.ค.-ธ.ค.'!M121+'ต.ค.-ธ.ค.'!Q121+'ต.ค.-ธ.ค.'!S121</f>
        <v>54600</v>
      </c>
      <c r="E118" s="177">
        <f>+'ม.ค.-มี.ค.'!D120+'ม.ค.-มี.ค.'!E120+'ม.ค.-มี.ค.'!F120+'ม.ค.-มี.ค.'!G120+'ม.ค.-มี.ค.'!H120+'ม.ค.-มี.ค.'!I120+'ม.ค.-มี.ค.'!J120+'ม.ค.-มี.ค.'!K120+'ม.ค.-มี.ค.'!L120+'ม.ค.-มี.ค.'!M120+'ม.ค.-มี.ค.'!N120+'ม.ค.-มี.ค.'!O120+'ม.ค.-มี.ค.'!P120+'ม.ค.-มี.ค.'!Q120+'ม.ค.-มี.ค.'!R120+'ม.ค.-มี.ค.'!S120+'ม.ค.-มี.ค.'!U120+'ม.ค.-มี.ค.'!V120</f>
        <v>50400</v>
      </c>
      <c r="F118" s="177">
        <f>+เม.ย.!D119+เม.ย.!E119+เม.ย.!F119+เม.ย.!H119+เม.ย.!I119+เม.ย.!M119+เม.ย.!N119+เม.ย.!P119+เม.ย.!R119</f>
        <v>0</v>
      </c>
      <c r="G118" s="179"/>
      <c r="H118" s="179">
        <f t="shared" si="14"/>
        <v>105000</v>
      </c>
      <c r="I118" s="208">
        <f t="shared" si="13"/>
        <v>95900</v>
      </c>
    </row>
    <row r="119" spans="1:14" ht="21.75" customHeight="1">
      <c r="A119" s="9"/>
      <c r="B119" s="187" t="s">
        <v>315</v>
      </c>
      <c r="C119" s="279">
        <v>230300</v>
      </c>
      <c r="D119" s="177">
        <f>+'ต.ค.-ธ.ค.'!E122+'ต.ค.-ธ.ค.'!F122+'ต.ค.-ธ.ค.'!H122+'ต.ค.-ธ.ค.'!I122+'ต.ค.-ธ.ค.'!M122+'ต.ค.-ธ.ค.'!Q122+'ต.ค.-ธ.ค.'!S122</f>
        <v>59800</v>
      </c>
      <c r="E119" s="177">
        <f>+'ม.ค.-มี.ค.'!D121+'ม.ค.-มี.ค.'!E121+'ม.ค.-มี.ค.'!F121+'ม.ค.-มี.ค.'!G121+'ม.ค.-มี.ค.'!H121+'ม.ค.-มี.ค.'!I121+'ม.ค.-มี.ค.'!J121+'ม.ค.-มี.ค.'!K121+'ม.ค.-มี.ค.'!L121+'ม.ค.-มี.ค.'!M121+'ม.ค.-มี.ค.'!N121+'ม.ค.-มี.ค.'!O121+'ม.ค.-มี.ค.'!P121+'ม.ค.-มี.ค.'!Q121+'ม.ค.-มี.ค.'!R121+'ม.ค.-มี.ค.'!S121+'ม.ค.-มี.ค.'!U121+'ม.ค.-มี.ค.'!V121</f>
        <v>55200</v>
      </c>
      <c r="F119" s="177">
        <f>+เม.ย.!D120+เม.ย.!E120+เม.ย.!F120+เม.ย.!H120+เม.ย.!I120+เม.ย.!M120+เม.ย.!N120+เม.ย.!P120+เม.ย.!R120</f>
        <v>0</v>
      </c>
      <c r="G119" s="179"/>
      <c r="H119" s="179">
        <f t="shared" si="14"/>
        <v>115000</v>
      </c>
      <c r="I119" s="208">
        <f t="shared" si="13"/>
        <v>115300</v>
      </c>
    </row>
    <row r="120" spans="1:14" ht="21.75" customHeight="1">
      <c r="A120" s="9"/>
      <c r="B120" s="187" t="s">
        <v>212</v>
      </c>
      <c r="C120" s="279">
        <v>171500</v>
      </c>
      <c r="D120" s="177">
        <f>+'ต.ค.-ธ.ค.'!E123+'ต.ค.-ธ.ค.'!F123+'ต.ค.-ธ.ค.'!H123+'ต.ค.-ธ.ค.'!I123+'ต.ค.-ธ.ค.'!M123+'ต.ค.-ธ.ค.'!Q123+'ต.ค.-ธ.ค.'!S123</f>
        <v>45500</v>
      </c>
      <c r="E120" s="177">
        <f>+'ม.ค.-มี.ค.'!D122+'ม.ค.-มี.ค.'!E122+'ม.ค.-มี.ค.'!F122+'ม.ค.-มี.ค.'!G122+'ม.ค.-มี.ค.'!H122+'ม.ค.-มี.ค.'!I122+'ม.ค.-มี.ค.'!J122+'ม.ค.-มี.ค.'!K122+'ม.ค.-มี.ค.'!L122+'ม.ค.-มี.ค.'!M122+'ม.ค.-มี.ค.'!N122+'ม.ค.-มี.ค.'!O122+'ม.ค.-มี.ค.'!P122+'ม.ค.-มี.ค.'!Q122+'ม.ค.-มี.ค.'!R122+'ม.ค.-มี.ค.'!S122+'ม.ค.-มี.ค.'!U122+'ม.ค.-มี.ค.'!V122</f>
        <v>43200</v>
      </c>
      <c r="F120" s="177">
        <f>+เม.ย.!D121+เม.ย.!E121+เม.ย.!F121+เม.ย.!H121+เม.ย.!I121+เม.ย.!M121+เม.ย.!N121+เม.ย.!P121+เม.ย.!R121</f>
        <v>0</v>
      </c>
      <c r="G120" s="179"/>
      <c r="H120" s="179">
        <f t="shared" si="14"/>
        <v>88700</v>
      </c>
      <c r="I120" s="208">
        <f t="shared" si="13"/>
        <v>82800</v>
      </c>
    </row>
    <row r="121" spans="1:14" ht="21.75" customHeight="1">
      <c r="A121" s="9"/>
      <c r="B121" s="187" t="s">
        <v>140</v>
      </c>
      <c r="C121" s="279">
        <v>50000</v>
      </c>
      <c r="D121" s="177">
        <f>+'ต.ค.-ธ.ค.'!E124+'ต.ค.-ธ.ค.'!F124+'ต.ค.-ธ.ค.'!H124+'ต.ค.-ธ.ค.'!I124+'ต.ค.-ธ.ค.'!M124+'ต.ค.-ธ.ค.'!Q124+'ต.ค.-ธ.ค.'!S124</f>
        <v>0</v>
      </c>
      <c r="E121" s="177">
        <f>+'ม.ค.-มี.ค.'!D123+'ม.ค.-มี.ค.'!E123+'ม.ค.-มี.ค.'!F123+'ม.ค.-มี.ค.'!G123+'ม.ค.-มี.ค.'!H123+'ม.ค.-มี.ค.'!I123+'ม.ค.-มี.ค.'!J123+'ม.ค.-มี.ค.'!K123+'ม.ค.-มี.ค.'!L123+'ม.ค.-มี.ค.'!M123+'ม.ค.-มี.ค.'!N123+'ม.ค.-มี.ค.'!O123+'ม.ค.-มี.ค.'!P123+'ม.ค.-มี.ค.'!Q123+'ม.ค.-มี.ค.'!R123+'ม.ค.-มี.ค.'!S123+'ม.ค.-มี.ค.'!U123+'ม.ค.-มี.ค.'!V123</f>
        <v>49995</v>
      </c>
      <c r="F121" s="177">
        <f>+เม.ย.!D122+เม.ย.!E122+เม.ย.!F122+เม.ย.!H122+เม.ย.!I122+เม.ย.!M122+เม.ย.!N122+เม.ย.!P122+เม.ย.!R122</f>
        <v>0</v>
      </c>
      <c r="G121" s="179"/>
      <c r="H121" s="179">
        <f t="shared" si="14"/>
        <v>49995</v>
      </c>
      <c r="I121" s="208">
        <f t="shared" si="13"/>
        <v>5</v>
      </c>
      <c r="K121" s="331"/>
      <c r="L121" s="247"/>
      <c r="M121" s="247"/>
      <c r="N121" s="168"/>
    </row>
    <row r="122" spans="1:14" ht="21.75" customHeight="1">
      <c r="A122" s="9"/>
      <c r="B122" s="187" t="s">
        <v>206</v>
      </c>
      <c r="C122" s="279">
        <v>20000</v>
      </c>
      <c r="D122" s="177">
        <f>+'ต.ค.-ธ.ค.'!E125+'ต.ค.-ธ.ค.'!F125+'ต.ค.-ธ.ค.'!H125+'ต.ค.-ธ.ค.'!I125+'ต.ค.-ธ.ค.'!M125+'ต.ค.-ธ.ค.'!Q125+'ต.ค.-ธ.ค.'!S125</f>
        <v>0</v>
      </c>
      <c r="E122" s="177">
        <f>+'ม.ค.-มี.ค.'!D124+'ม.ค.-มี.ค.'!E124+'ม.ค.-มี.ค.'!F124+'ม.ค.-มี.ค.'!G124+'ม.ค.-มี.ค.'!H124+'ม.ค.-มี.ค.'!I124+'ม.ค.-มี.ค.'!J124+'ม.ค.-มี.ค.'!K124+'ม.ค.-มี.ค.'!L124+'ม.ค.-มี.ค.'!M124+'ม.ค.-มี.ค.'!N124+'ม.ค.-มี.ค.'!O124+'ม.ค.-มี.ค.'!P124+'ม.ค.-มี.ค.'!Q124+'ม.ค.-มี.ค.'!R124+'ม.ค.-มี.ค.'!S124+'ม.ค.-มี.ค.'!U124+'ม.ค.-มี.ค.'!V124</f>
        <v>0</v>
      </c>
      <c r="F122" s="177">
        <f>+เม.ย.!D123+เม.ย.!E123+เม.ย.!F123+เม.ย.!H123+เม.ย.!I123+เม.ย.!M123+เม.ย.!N123+เม.ย.!P123+เม.ย.!R123</f>
        <v>0</v>
      </c>
      <c r="G122" s="179"/>
      <c r="H122" s="179">
        <f t="shared" si="14"/>
        <v>0</v>
      </c>
      <c r="I122" s="208">
        <f t="shared" si="13"/>
        <v>20000</v>
      </c>
      <c r="K122" s="331"/>
      <c r="L122" s="247"/>
      <c r="M122" s="247"/>
      <c r="N122" s="168"/>
    </row>
    <row r="123" spans="1:14" s="168" customFormat="1" ht="21.75" customHeight="1">
      <c r="A123" s="9"/>
      <c r="B123" s="187" t="s">
        <v>326</v>
      </c>
      <c r="C123" s="279">
        <v>5000</v>
      </c>
      <c r="D123" s="177">
        <f>+'ต.ค.-ธ.ค.'!E126+'ต.ค.-ธ.ค.'!F126+'ต.ค.-ธ.ค.'!H126+'ต.ค.-ธ.ค.'!I126+'ต.ค.-ธ.ค.'!M126+'ต.ค.-ธ.ค.'!Q126+'ต.ค.-ธ.ค.'!S126</f>
        <v>0</v>
      </c>
      <c r="E123" s="177">
        <f>+'ม.ค.-มี.ค.'!D125+'ม.ค.-มี.ค.'!E125+'ม.ค.-มี.ค.'!F125+'ม.ค.-มี.ค.'!G125+'ม.ค.-มี.ค.'!H125+'ม.ค.-มี.ค.'!I125+'ม.ค.-มี.ค.'!J125+'ม.ค.-มี.ค.'!K125+'ม.ค.-มี.ค.'!L125+'ม.ค.-มี.ค.'!M125+'ม.ค.-มี.ค.'!N125+'ม.ค.-มี.ค.'!O125+'ม.ค.-มี.ค.'!P125+'ม.ค.-มี.ค.'!Q125+'ม.ค.-มี.ค.'!R125+'ม.ค.-มี.ค.'!S125+'ม.ค.-มี.ค.'!U125+'ม.ค.-มี.ค.'!V125</f>
        <v>0</v>
      </c>
      <c r="F123" s="177">
        <f>+เม.ย.!D124+เม.ย.!E124+เม.ย.!F124+เม.ย.!H124+เม.ย.!I124+เม.ย.!M124+เม.ย.!N124+เม.ย.!P124+เม.ย.!R124</f>
        <v>0</v>
      </c>
      <c r="G123" s="179"/>
      <c r="H123" s="179">
        <f t="shared" si="14"/>
        <v>0</v>
      </c>
      <c r="I123" s="208">
        <f t="shared" si="13"/>
        <v>5000</v>
      </c>
      <c r="J123" s="233"/>
      <c r="K123" s="331"/>
      <c r="L123" s="247"/>
      <c r="M123" s="338"/>
    </row>
    <row r="124" spans="1:14" ht="21.75" customHeight="1">
      <c r="A124" s="9"/>
      <c r="B124" s="187" t="s">
        <v>327</v>
      </c>
      <c r="C124" s="279">
        <v>5000</v>
      </c>
      <c r="D124" s="177">
        <f>+'ต.ค.-ธ.ค.'!E127+'ต.ค.-ธ.ค.'!F127+'ต.ค.-ธ.ค.'!H127+'ต.ค.-ธ.ค.'!I127+'ต.ค.-ธ.ค.'!M127+'ต.ค.-ธ.ค.'!Q127+'ต.ค.-ธ.ค.'!S127</f>
        <v>0</v>
      </c>
      <c r="E124" s="177">
        <f>+'ม.ค.-มี.ค.'!D126+'ม.ค.-มี.ค.'!E126+'ม.ค.-มี.ค.'!F126+'ม.ค.-มี.ค.'!G126+'ม.ค.-มี.ค.'!H126+'ม.ค.-มี.ค.'!I126+'ม.ค.-มี.ค.'!J126+'ม.ค.-มี.ค.'!K126+'ม.ค.-มี.ค.'!L126+'ม.ค.-มี.ค.'!M126+'ม.ค.-มี.ค.'!N126+'ม.ค.-มี.ค.'!O126+'ม.ค.-มี.ค.'!P126+'ม.ค.-มี.ค.'!Q126+'ม.ค.-มี.ค.'!R126+'ม.ค.-มี.ค.'!S126+'ม.ค.-มี.ค.'!U126+'ม.ค.-มี.ค.'!V126</f>
        <v>0</v>
      </c>
      <c r="F124" s="177">
        <f>+เม.ย.!D125+เม.ย.!E125+เม.ย.!F125+เม.ย.!H125+เม.ย.!I125+เม.ย.!M125+เม.ย.!N125+เม.ย.!P125+เม.ย.!R125</f>
        <v>0</v>
      </c>
      <c r="G124" s="179"/>
      <c r="H124" s="179">
        <f t="shared" si="14"/>
        <v>0</v>
      </c>
      <c r="I124" s="208">
        <f t="shared" si="13"/>
        <v>5000</v>
      </c>
      <c r="K124" s="331"/>
      <c r="L124" s="247"/>
      <c r="M124" s="247"/>
      <c r="N124" s="168"/>
    </row>
    <row r="125" spans="1:14" ht="21.75" customHeight="1">
      <c r="A125" s="9"/>
      <c r="B125" s="187" t="s">
        <v>142</v>
      </c>
      <c r="C125" s="279">
        <v>20000</v>
      </c>
      <c r="D125" s="177">
        <f>+'ต.ค.-ธ.ค.'!E128+'ต.ค.-ธ.ค.'!F128+'ต.ค.-ธ.ค.'!H128+'ต.ค.-ธ.ค.'!I128+'ต.ค.-ธ.ค.'!M128+'ต.ค.-ธ.ค.'!Q128+'ต.ค.-ธ.ค.'!S128</f>
        <v>0</v>
      </c>
      <c r="E125" s="177">
        <f>+'ม.ค.-มี.ค.'!D127+'ม.ค.-มี.ค.'!E127+'ม.ค.-มี.ค.'!F127+'ม.ค.-มี.ค.'!G127+'ม.ค.-มี.ค.'!H127+'ม.ค.-มี.ค.'!I127+'ม.ค.-มี.ค.'!J127+'ม.ค.-มี.ค.'!K127+'ม.ค.-มี.ค.'!L127+'ม.ค.-มี.ค.'!M127+'ม.ค.-มี.ค.'!N127+'ม.ค.-มี.ค.'!O127+'ม.ค.-มี.ค.'!P127+'ม.ค.-มี.ค.'!Q127+'ม.ค.-มี.ค.'!R127+'ม.ค.-มี.ค.'!S127+'ม.ค.-มี.ค.'!U127+'ม.ค.-มี.ค.'!V127</f>
        <v>0</v>
      </c>
      <c r="F125" s="177">
        <f>+เม.ย.!D126+เม.ย.!E126+เม.ย.!F126+เม.ย.!H126+เม.ย.!I126+เม.ย.!M126+เม.ย.!N126+เม.ย.!P126+เม.ย.!R126</f>
        <v>0</v>
      </c>
      <c r="G125" s="179"/>
      <c r="H125" s="179">
        <f t="shared" si="14"/>
        <v>0</v>
      </c>
      <c r="I125" s="208">
        <f t="shared" si="13"/>
        <v>20000</v>
      </c>
    </row>
    <row r="126" spans="1:14" ht="21.75" customHeight="1">
      <c r="A126" s="9"/>
      <c r="B126" s="226" t="s">
        <v>328</v>
      </c>
      <c r="C126" s="279">
        <v>10000</v>
      </c>
      <c r="D126" s="177">
        <f>+'ต.ค.-ธ.ค.'!E129+'ต.ค.-ธ.ค.'!F129+'ต.ค.-ธ.ค.'!H129+'ต.ค.-ธ.ค.'!I129+'ต.ค.-ธ.ค.'!M129+'ต.ค.-ธ.ค.'!Q129+'ต.ค.-ธ.ค.'!S129</f>
        <v>0</v>
      </c>
      <c r="E126" s="177">
        <f>+'ม.ค.-มี.ค.'!D128+'ม.ค.-มี.ค.'!E128+'ม.ค.-มี.ค.'!F128+'ม.ค.-มี.ค.'!G128+'ม.ค.-มี.ค.'!H128+'ม.ค.-มี.ค.'!I128+'ม.ค.-มี.ค.'!J128+'ม.ค.-มี.ค.'!K128+'ม.ค.-มี.ค.'!L128+'ม.ค.-มี.ค.'!M128+'ม.ค.-มี.ค.'!N128+'ม.ค.-มี.ค.'!O128+'ม.ค.-มี.ค.'!P128+'ม.ค.-มี.ค.'!Q128+'ม.ค.-มี.ค.'!R128+'ม.ค.-มี.ค.'!S128+'ม.ค.-มี.ค.'!U128+'ม.ค.-มี.ค.'!V128</f>
        <v>0</v>
      </c>
      <c r="F126" s="177">
        <f>+เม.ย.!D127+เม.ย.!E127+เม.ย.!F127+เม.ย.!H127+เม.ย.!I127+เม.ย.!M127+เม.ย.!N127+เม.ย.!P127+เม.ย.!R127</f>
        <v>0</v>
      </c>
      <c r="G126" s="179"/>
      <c r="H126" s="179">
        <f t="shared" si="14"/>
        <v>0</v>
      </c>
      <c r="I126" s="208">
        <f t="shared" si="13"/>
        <v>10000</v>
      </c>
    </row>
    <row r="127" spans="1:14" ht="21.75" customHeight="1">
      <c r="A127" s="9"/>
      <c r="B127" s="226" t="s">
        <v>329</v>
      </c>
      <c r="C127" s="279">
        <f>10000-10000</f>
        <v>0</v>
      </c>
      <c r="D127" s="177">
        <f>+'ต.ค.-ธ.ค.'!E130+'ต.ค.-ธ.ค.'!F130+'ต.ค.-ธ.ค.'!H130+'ต.ค.-ธ.ค.'!I130+'ต.ค.-ธ.ค.'!M130+'ต.ค.-ธ.ค.'!Q130+'ต.ค.-ธ.ค.'!S130</f>
        <v>0</v>
      </c>
      <c r="E127" s="177">
        <f>+'ม.ค.-มี.ค.'!D129+'ม.ค.-มี.ค.'!E129+'ม.ค.-มี.ค.'!F129+'ม.ค.-มี.ค.'!G129+'ม.ค.-มี.ค.'!H129+'ม.ค.-มี.ค.'!I129+'ม.ค.-มี.ค.'!J129+'ม.ค.-มี.ค.'!K129+'ม.ค.-มี.ค.'!L129+'ม.ค.-มี.ค.'!M129+'ม.ค.-มี.ค.'!N129+'ม.ค.-มี.ค.'!O129+'ม.ค.-มี.ค.'!P129+'ม.ค.-มี.ค.'!Q129+'ม.ค.-มี.ค.'!R129+'ม.ค.-มี.ค.'!S129+'ม.ค.-มี.ค.'!U129+'ม.ค.-มี.ค.'!V129</f>
        <v>0</v>
      </c>
      <c r="F127" s="177">
        <f>+เม.ย.!D128+เม.ย.!E128+เม.ย.!F128+เม.ย.!H128+เม.ย.!I128+เม.ย.!M128+เม.ย.!N128+เม.ย.!P128+เม.ย.!R128</f>
        <v>0</v>
      </c>
      <c r="G127" s="179"/>
      <c r="H127" s="179">
        <f t="shared" si="14"/>
        <v>0</v>
      </c>
      <c r="I127" s="208">
        <f t="shared" si="13"/>
        <v>0</v>
      </c>
    </row>
    <row r="128" spans="1:14" s="168" customFormat="1" ht="21.75" customHeight="1">
      <c r="A128" s="9"/>
      <c r="B128" s="226" t="s">
        <v>330</v>
      </c>
      <c r="C128" s="279">
        <v>10000</v>
      </c>
      <c r="D128" s="177">
        <f>+'ต.ค.-ธ.ค.'!E131+'ต.ค.-ธ.ค.'!F131+'ต.ค.-ธ.ค.'!H131+'ต.ค.-ธ.ค.'!I131+'ต.ค.-ธ.ค.'!M131+'ต.ค.-ธ.ค.'!Q131+'ต.ค.-ธ.ค.'!S131</f>
        <v>0</v>
      </c>
      <c r="E128" s="177">
        <f>+'ม.ค.-มี.ค.'!D130+'ม.ค.-มี.ค.'!E130+'ม.ค.-มี.ค.'!F130+'ม.ค.-มี.ค.'!G130+'ม.ค.-มี.ค.'!H130+'ม.ค.-มี.ค.'!I130+'ม.ค.-มี.ค.'!J130+'ม.ค.-มี.ค.'!K130+'ม.ค.-มี.ค.'!L130+'ม.ค.-มี.ค.'!M130+'ม.ค.-มี.ค.'!N130+'ม.ค.-มี.ค.'!O130+'ม.ค.-มี.ค.'!P130+'ม.ค.-มี.ค.'!Q130+'ม.ค.-มี.ค.'!R130+'ม.ค.-มี.ค.'!S130+'ม.ค.-มี.ค.'!U130+'ม.ค.-มี.ค.'!V130</f>
        <v>0</v>
      </c>
      <c r="F128" s="177">
        <f>+เม.ย.!D129+เม.ย.!E129+เม.ย.!F129+เม.ย.!H129+เม.ย.!I129+เม.ย.!M129+เม.ย.!N129+เม.ย.!P129+เม.ย.!R129</f>
        <v>0</v>
      </c>
      <c r="G128" s="179"/>
      <c r="H128" s="179">
        <f t="shared" si="14"/>
        <v>0</v>
      </c>
      <c r="I128" s="208">
        <f t="shared" si="13"/>
        <v>10000</v>
      </c>
      <c r="J128" s="233"/>
      <c r="K128" s="331"/>
      <c r="L128" s="247"/>
      <c r="M128" s="247"/>
    </row>
    <row r="129" spans="1:13" s="168" customFormat="1" ht="21.75" customHeight="1">
      <c r="A129" s="9"/>
      <c r="B129" s="226" t="s">
        <v>331</v>
      </c>
      <c r="C129" s="279">
        <f>10000-10000</f>
        <v>0</v>
      </c>
      <c r="D129" s="177">
        <f>+'ต.ค.-ธ.ค.'!E132+'ต.ค.-ธ.ค.'!F132+'ต.ค.-ธ.ค.'!H132+'ต.ค.-ธ.ค.'!I132+'ต.ค.-ธ.ค.'!M132+'ต.ค.-ธ.ค.'!Q132+'ต.ค.-ธ.ค.'!S132</f>
        <v>0</v>
      </c>
      <c r="E129" s="177">
        <f>+'ม.ค.-มี.ค.'!D131+'ม.ค.-มี.ค.'!E131+'ม.ค.-มี.ค.'!F131+'ม.ค.-มี.ค.'!G131+'ม.ค.-มี.ค.'!H131+'ม.ค.-มี.ค.'!I131+'ม.ค.-มี.ค.'!J131+'ม.ค.-มี.ค.'!K131+'ม.ค.-มี.ค.'!L131+'ม.ค.-มี.ค.'!M131+'ม.ค.-มี.ค.'!N131+'ม.ค.-มี.ค.'!O131+'ม.ค.-มี.ค.'!P131+'ม.ค.-มี.ค.'!Q131+'ม.ค.-มี.ค.'!R131+'ม.ค.-มี.ค.'!S131+'ม.ค.-มี.ค.'!U131+'ม.ค.-มี.ค.'!V131</f>
        <v>0</v>
      </c>
      <c r="F129" s="177">
        <f>+เม.ย.!D130+เม.ย.!E130+เม.ย.!F130+เม.ย.!H130+เม.ย.!I130+เม.ย.!M130+เม.ย.!N130+เม.ย.!P130+เม.ย.!R130</f>
        <v>0</v>
      </c>
      <c r="G129" s="179"/>
      <c r="H129" s="179">
        <f t="shared" si="14"/>
        <v>0</v>
      </c>
      <c r="I129" s="208">
        <f t="shared" si="13"/>
        <v>0</v>
      </c>
      <c r="J129" s="233"/>
      <c r="K129" s="331"/>
      <c r="L129" s="247"/>
      <c r="M129" s="247"/>
    </row>
    <row r="130" spans="1:13" s="168" customFormat="1" ht="21.75" customHeight="1">
      <c r="A130" s="9"/>
      <c r="B130" s="226" t="s">
        <v>333</v>
      </c>
      <c r="C130" s="279">
        <v>15000</v>
      </c>
      <c r="D130" s="177">
        <f>+'ต.ค.-ธ.ค.'!E133+'ต.ค.-ธ.ค.'!F133+'ต.ค.-ธ.ค.'!H133+'ต.ค.-ธ.ค.'!I133+'ต.ค.-ธ.ค.'!M133+'ต.ค.-ธ.ค.'!Q133+'ต.ค.-ธ.ค.'!S133</f>
        <v>0</v>
      </c>
      <c r="E130" s="177">
        <f>+'ม.ค.-มี.ค.'!D132+'ม.ค.-มี.ค.'!E132+'ม.ค.-มี.ค.'!F132+'ม.ค.-มี.ค.'!G132+'ม.ค.-มี.ค.'!H132+'ม.ค.-มี.ค.'!I132+'ม.ค.-มี.ค.'!J132+'ม.ค.-มี.ค.'!K132+'ม.ค.-มี.ค.'!L132+'ม.ค.-มี.ค.'!M132+'ม.ค.-มี.ค.'!N132+'ม.ค.-มี.ค.'!O132+'ม.ค.-มี.ค.'!P132+'ม.ค.-มี.ค.'!Q132+'ม.ค.-มี.ค.'!R132+'ม.ค.-มี.ค.'!S132+'ม.ค.-มี.ค.'!U132+'ม.ค.-มี.ค.'!V132</f>
        <v>0</v>
      </c>
      <c r="F130" s="177">
        <f>+เม.ย.!D131+เม.ย.!E131+เม.ย.!F131+เม.ย.!H131+เม.ย.!I131+เม.ย.!M131+เม.ย.!N131+เม.ย.!P131+เม.ย.!R131</f>
        <v>0</v>
      </c>
      <c r="G130" s="179"/>
      <c r="H130" s="179">
        <f t="shared" si="14"/>
        <v>0</v>
      </c>
      <c r="I130" s="208">
        <f t="shared" si="13"/>
        <v>15000</v>
      </c>
      <c r="J130" s="233"/>
      <c r="K130" s="331"/>
      <c r="L130" s="247"/>
      <c r="M130" s="247"/>
    </row>
    <row r="131" spans="1:13" ht="21.75" customHeight="1">
      <c r="A131" s="9"/>
      <c r="B131" s="226" t="s">
        <v>157</v>
      </c>
      <c r="C131" s="279">
        <v>10000</v>
      </c>
      <c r="D131" s="177">
        <f>+'ต.ค.-ธ.ค.'!E134+'ต.ค.-ธ.ค.'!F134+'ต.ค.-ธ.ค.'!H134+'ต.ค.-ธ.ค.'!I134+'ต.ค.-ธ.ค.'!M134+'ต.ค.-ธ.ค.'!Q134+'ต.ค.-ธ.ค.'!S134</f>
        <v>0</v>
      </c>
      <c r="E131" s="177">
        <f>+'ม.ค.-มี.ค.'!D133+'ม.ค.-มี.ค.'!E133+'ม.ค.-มี.ค.'!F133+'ม.ค.-มี.ค.'!G133+'ม.ค.-มี.ค.'!H133+'ม.ค.-มี.ค.'!I133+'ม.ค.-มี.ค.'!J133+'ม.ค.-มี.ค.'!K133+'ม.ค.-มี.ค.'!L133+'ม.ค.-มี.ค.'!M133+'ม.ค.-มี.ค.'!N133+'ม.ค.-มี.ค.'!O133+'ม.ค.-มี.ค.'!P133+'ม.ค.-มี.ค.'!Q133+'ม.ค.-มี.ค.'!R133+'ม.ค.-มี.ค.'!S133+'ม.ค.-มี.ค.'!U133+'ม.ค.-มี.ค.'!V133</f>
        <v>0</v>
      </c>
      <c r="F131" s="177">
        <f>+เม.ย.!D132+เม.ย.!E132+เม.ย.!F132+เม.ย.!H132+เม.ย.!I132+เม.ย.!M132+เม.ย.!N132+เม.ย.!P132+เม.ย.!R132</f>
        <v>0</v>
      </c>
      <c r="G131" s="179"/>
      <c r="H131" s="179">
        <f t="shared" si="14"/>
        <v>0</v>
      </c>
      <c r="I131" s="208">
        <f t="shared" si="13"/>
        <v>10000</v>
      </c>
    </row>
    <row r="132" spans="1:13" ht="21.75" customHeight="1">
      <c r="A132" s="9"/>
      <c r="B132" s="226" t="s">
        <v>158</v>
      </c>
      <c r="C132" s="279">
        <f>10000-2000</f>
        <v>8000</v>
      </c>
      <c r="D132" s="177">
        <f>+'ต.ค.-ธ.ค.'!E135+'ต.ค.-ธ.ค.'!F135+'ต.ค.-ธ.ค.'!H135+'ต.ค.-ธ.ค.'!I135+'ต.ค.-ธ.ค.'!M135+'ต.ค.-ธ.ค.'!Q135+'ต.ค.-ธ.ค.'!S135</f>
        <v>0</v>
      </c>
      <c r="E132" s="177">
        <f>+'ม.ค.-มี.ค.'!D134+'ม.ค.-มี.ค.'!E134+'ม.ค.-มี.ค.'!F134+'ม.ค.-มี.ค.'!G134+'ม.ค.-มี.ค.'!H134+'ม.ค.-มี.ค.'!I134+'ม.ค.-มี.ค.'!J134+'ม.ค.-มี.ค.'!K134+'ม.ค.-มี.ค.'!L134+'ม.ค.-มี.ค.'!M134+'ม.ค.-มี.ค.'!N134+'ม.ค.-มี.ค.'!O134+'ม.ค.-มี.ค.'!P134+'ม.ค.-มี.ค.'!Q134+'ม.ค.-มี.ค.'!R134+'ม.ค.-มี.ค.'!S134+'ม.ค.-มี.ค.'!U134+'ม.ค.-มี.ค.'!V134</f>
        <v>0</v>
      </c>
      <c r="F132" s="177">
        <f>+เม.ย.!D133+เม.ย.!E133+เม.ย.!F133+เม.ย.!H133+เม.ย.!I133+เม.ย.!M133+เม.ย.!N133+เม.ย.!P133+เม.ย.!R133</f>
        <v>0</v>
      </c>
      <c r="G132" s="179"/>
      <c r="H132" s="179">
        <f t="shared" si="14"/>
        <v>0</v>
      </c>
      <c r="I132" s="208">
        <f t="shared" si="13"/>
        <v>8000</v>
      </c>
    </row>
    <row r="133" spans="1:13" ht="21.75" customHeight="1">
      <c r="A133" s="9"/>
      <c r="B133" s="226" t="s">
        <v>352</v>
      </c>
      <c r="C133" s="279">
        <f>10000+10000-20000</f>
        <v>0</v>
      </c>
      <c r="D133" s="177">
        <f>+'ต.ค.-ธ.ค.'!E136+'ต.ค.-ธ.ค.'!F136+'ต.ค.-ธ.ค.'!H136+'ต.ค.-ธ.ค.'!I136+'ต.ค.-ธ.ค.'!M136+'ต.ค.-ธ.ค.'!Q136+'ต.ค.-ธ.ค.'!S136</f>
        <v>0</v>
      </c>
      <c r="E133" s="177">
        <f>+'ม.ค.-มี.ค.'!D135+'ม.ค.-มี.ค.'!E135+'ม.ค.-มี.ค.'!F135+'ม.ค.-มี.ค.'!G135+'ม.ค.-มี.ค.'!H135+'ม.ค.-มี.ค.'!I135+'ม.ค.-มี.ค.'!J135+'ม.ค.-มี.ค.'!K135+'ม.ค.-มี.ค.'!L135+'ม.ค.-มี.ค.'!M135+'ม.ค.-มี.ค.'!N135+'ม.ค.-มี.ค.'!O135+'ม.ค.-มี.ค.'!P135+'ม.ค.-มี.ค.'!Q135+'ม.ค.-มี.ค.'!R135+'ม.ค.-มี.ค.'!S135+'ม.ค.-มี.ค.'!U135+'ม.ค.-มี.ค.'!V135</f>
        <v>0</v>
      </c>
      <c r="F133" s="177">
        <f>+เม.ย.!D134+เม.ย.!E134+เม.ย.!F134+เม.ย.!H134+เม.ย.!I134+เม.ย.!M134+เม.ย.!N134+เม.ย.!P134+เม.ย.!R134</f>
        <v>0</v>
      </c>
      <c r="G133" s="179"/>
      <c r="H133" s="179">
        <f t="shared" si="14"/>
        <v>0</v>
      </c>
      <c r="I133" s="208">
        <f t="shared" si="13"/>
        <v>0</v>
      </c>
    </row>
    <row r="134" spans="1:13" ht="21.75" customHeight="1">
      <c r="A134" s="9"/>
      <c r="B134" s="226" t="s">
        <v>213</v>
      </c>
      <c r="C134" s="279">
        <v>15000</v>
      </c>
      <c r="D134" s="177">
        <f>+'ต.ค.-ธ.ค.'!E137+'ต.ค.-ธ.ค.'!F137+'ต.ค.-ธ.ค.'!H137+'ต.ค.-ธ.ค.'!I137+'ต.ค.-ธ.ค.'!M137+'ต.ค.-ธ.ค.'!Q137+'ต.ค.-ธ.ค.'!S137</f>
        <v>0</v>
      </c>
      <c r="E134" s="177">
        <f>+'ม.ค.-มี.ค.'!D136+'ม.ค.-มี.ค.'!E136+'ม.ค.-มี.ค.'!F136+'ม.ค.-มี.ค.'!G136+'ม.ค.-มี.ค.'!H136+'ม.ค.-มี.ค.'!I136+'ม.ค.-มี.ค.'!J136+'ม.ค.-มี.ค.'!K136+'ม.ค.-มี.ค.'!L136+'ม.ค.-มี.ค.'!M136+'ม.ค.-มี.ค.'!N136+'ม.ค.-มี.ค.'!O136+'ม.ค.-มี.ค.'!P136+'ม.ค.-มี.ค.'!Q136+'ม.ค.-มี.ค.'!R136+'ม.ค.-มี.ค.'!S136+'ม.ค.-มี.ค.'!U136+'ม.ค.-มี.ค.'!V136</f>
        <v>0</v>
      </c>
      <c r="F134" s="177">
        <f>+เม.ย.!D135+เม.ย.!E135+เม.ย.!F135+เม.ย.!H135+เม.ย.!I135+เม.ย.!M135+เม.ย.!N135+เม.ย.!P135+เม.ย.!R135</f>
        <v>0</v>
      </c>
      <c r="G134" s="179"/>
      <c r="H134" s="179">
        <f t="shared" si="14"/>
        <v>0</v>
      </c>
      <c r="I134" s="208">
        <f t="shared" si="13"/>
        <v>15000</v>
      </c>
    </row>
    <row r="135" spans="1:13" ht="21.75" customHeight="1">
      <c r="A135" s="9"/>
      <c r="B135" s="226" t="s">
        <v>265</v>
      </c>
      <c r="C135" s="279">
        <f>20000-20000</f>
        <v>0</v>
      </c>
      <c r="D135" s="177">
        <f>+'ต.ค.-ธ.ค.'!E138+'ต.ค.-ธ.ค.'!F138+'ต.ค.-ธ.ค.'!H138+'ต.ค.-ธ.ค.'!I138+'ต.ค.-ธ.ค.'!M138+'ต.ค.-ธ.ค.'!Q138+'ต.ค.-ธ.ค.'!S138</f>
        <v>0</v>
      </c>
      <c r="E135" s="177">
        <f>+'ม.ค.-มี.ค.'!D137+'ม.ค.-มี.ค.'!E137+'ม.ค.-มี.ค.'!F137+'ม.ค.-มี.ค.'!G137+'ม.ค.-มี.ค.'!H137+'ม.ค.-มี.ค.'!I137+'ม.ค.-มี.ค.'!J137+'ม.ค.-มี.ค.'!K137+'ม.ค.-มี.ค.'!L137+'ม.ค.-มี.ค.'!M137+'ม.ค.-มี.ค.'!N137+'ม.ค.-มี.ค.'!O137+'ม.ค.-มี.ค.'!P137+'ม.ค.-มี.ค.'!Q137+'ม.ค.-มี.ค.'!R137+'ม.ค.-มี.ค.'!S137+'ม.ค.-มี.ค.'!U137+'ม.ค.-มี.ค.'!V137</f>
        <v>0</v>
      </c>
      <c r="F135" s="177">
        <f>+เม.ย.!D136+เม.ย.!E136+เม.ย.!F136+เม.ย.!H136+เม.ย.!I136+เม.ย.!M136+เม.ย.!N136+เม.ย.!P136+เม.ย.!R136</f>
        <v>0</v>
      </c>
      <c r="G135" s="179"/>
      <c r="H135" s="179">
        <f t="shared" si="14"/>
        <v>0</v>
      </c>
      <c r="I135" s="208">
        <f t="shared" si="13"/>
        <v>0</v>
      </c>
    </row>
    <row r="136" spans="1:13" ht="21.75" customHeight="1">
      <c r="A136" s="9"/>
      <c r="B136" s="226" t="s">
        <v>353</v>
      </c>
      <c r="C136" s="279">
        <v>5000</v>
      </c>
      <c r="D136" s="177">
        <f>+'ต.ค.-ธ.ค.'!E139+'ต.ค.-ธ.ค.'!F139+'ต.ค.-ธ.ค.'!H139+'ต.ค.-ธ.ค.'!I139+'ต.ค.-ธ.ค.'!M139+'ต.ค.-ธ.ค.'!Q139+'ต.ค.-ธ.ค.'!S139</f>
        <v>4880</v>
      </c>
      <c r="E136" s="177">
        <f>+'ม.ค.-มี.ค.'!D138+'ม.ค.-มี.ค.'!E138+'ม.ค.-มี.ค.'!F138+'ม.ค.-มี.ค.'!G138+'ม.ค.-มี.ค.'!H138+'ม.ค.-มี.ค.'!I138+'ม.ค.-มี.ค.'!J138+'ม.ค.-มี.ค.'!K138+'ม.ค.-มี.ค.'!L138+'ม.ค.-มี.ค.'!M138+'ม.ค.-มี.ค.'!N138+'ม.ค.-มี.ค.'!O138+'ม.ค.-มี.ค.'!P138+'ม.ค.-มี.ค.'!Q138+'ม.ค.-มี.ค.'!R138+'ม.ค.-มี.ค.'!S138+'ม.ค.-มี.ค.'!U138+'ม.ค.-มี.ค.'!V138</f>
        <v>0</v>
      </c>
      <c r="F136" s="177">
        <f>+เม.ย.!D137+เม.ย.!E137+เม.ย.!F137+เม.ย.!H137+เม.ย.!I137+เม.ย.!M137+เม.ย.!N137+เม.ย.!P137+เม.ย.!R137</f>
        <v>0</v>
      </c>
      <c r="G136" s="179"/>
      <c r="H136" s="179">
        <f t="shared" si="14"/>
        <v>4880</v>
      </c>
      <c r="I136" s="208">
        <f t="shared" si="13"/>
        <v>120</v>
      </c>
    </row>
    <row r="137" spans="1:13" ht="21.75" customHeight="1">
      <c r="A137" s="9"/>
      <c r="B137" s="226" t="s">
        <v>354</v>
      </c>
      <c r="C137" s="279">
        <v>10000</v>
      </c>
      <c r="D137" s="177">
        <f>+'ต.ค.-ธ.ค.'!E140+'ต.ค.-ธ.ค.'!F140+'ต.ค.-ธ.ค.'!H140+'ต.ค.-ธ.ค.'!I140+'ต.ค.-ธ.ค.'!M140+'ต.ค.-ธ.ค.'!Q140+'ต.ค.-ธ.ค.'!S140</f>
        <v>0</v>
      </c>
      <c r="E137" s="177">
        <f>+'ม.ค.-มี.ค.'!D139+'ม.ค.-มี.ค.'!E139+'ม.ค.-มี.ค.'!F139+'ม.ค.-มี.ค.'!G139+'ม.ค.-มี.ค.'!H139+'ม.ค.-มี.ค.'!I139+'ม.ค.-มี.ค.'!J139+'ม.ค.-มี.ค.'!K139+'ม.ค.-มี.ค.'!L139+'ม.ค.-มี.ค.'!M139+'ม.ค.-มี.ค.'!N139+'ม.ค.-มี.ค.'!O139+'ม.ค.-มี.ค.'!P139+'ม.ค.-มี.ค.'!Q139+'ม.ค.-มี.ค.'!R139+'ม.ค.-มี.ค.'!S139+'ม.ค.-มี.ค.'!U139+'ม.ค.-มี.ค.'!V139</f>
        <v>0</v>
      </c>
      <c r="F137" s="177">
        <f>+เม.ย.!D138+เม.ย.!E138+เม.ย.!F138+เม.ย.!H138+เม.ย.!I138+เม.ย.!M138+เม.ย.!N138+เม.ย.!P138+เม.ย.!R138</f>
        <v>0</v>
      </c>
      <c r="G137" s="179"/>
      <c r="H137" s="179">
        <f t="shared" si="14"/>
        <v>0</v>
      </c>
      <c r="I137" s="208">
        <f t="shared" si="13"/>
        <v>10000</v>
      </c>
    </row>
    <row r="138" spans="1:13" ht="21.75" customHeight="1">
      <c r="A138" s="9"/>
      <c r="B138" s="187" t="s">
        <v>355</v>
      </c>
      <c r="C138" s="279">
        <v>20000</v>
      </c>
      <c r="D138" s="177">
        <f>+'ต.ค.-ธ.ค.'!E141+'ต.ค.-ธ.ค.'!F141+'ต.ค.-ธ.ค.'!H141+'ต.ค.-ธ.ค.'!I141+'ต.ค.-ธ.ค.'!M141+'ต.ค.-ธ.ค.'!Q141+'ต.ค.-ธ.ค.'!S141</f>
        <v>0</v>
      </c>
      <c r="E138" s="177">
        <f>+'ม.ค.-มี.ค.'!D140+'ม.ค.-มี.ค.'!E140+'ม.ค.-มี.ค.'!F140+'ม.ค.-มี.ค.'!G140+'ม.ค.-มี.ค.'!H140+'ม.ค.-มี.ค.'!I140+'ม.ค.-มี.ค.'!J140+'ม.ค.-มี.ค.'!K140+'ม.ค.-มี.ค.'!L140+'ม.ค.-มี.ค.'!M140+'ม.ค.-มี.ค.'!N140+'ม.ค.-มี.ค.'!O140+'ม.ค.-มี.ค.'!P140+'ม.ค.-มี.ค.'!Q140+'ม.ค.-มี.ค.'!R140+'ม.ค.-มี.ค.'!S140+'ม.ค.-มี.ค.'!U140+'ม.ค.-มี.ค.'!V140</f>
        <v>0</v>
      </c>
      <c r="F138" s="177">
        <f>+เม.ย.!D139+เม.ย.!E139+เม.ย.!F139+เม.ย.!H139+เม.ย.!I139+เม.ย.!M139+เม.ย.!N139+เม.ย.!P139+เม.ย.!R139</f>
        <v>0</v>
      </c>
      <c r="G138" s="179"/>
      <c r="H138" s="179">
        <f t="shared" si="14"/>
        <v>0</v>
      </c>
      <c r="I138" s="208">
        <f t="shared" si="13"/>
        <v>20000</v>
      </c>
    </row>
    <row r="139" spans="1:13" ht="21.75" customHeight="1">
      <c r="A139" s="9"/>
      <c r="B139" s="187" t="s">
        <v>356</v>
      </c>
      <c r="C139" s="279">
        <v>20000</v>
      </c>
      <c r="D139" s="177">
        <f>+'ต.ค.-ธ.ค.'!E142+'ต.ค.-ธ.ค.'!F142+'ต.ค.-ธ.ค.'!H142+'ต.ค.-ธ.ค.'!I142+'ต.ค.-ธ.ค.'!M142+'ต.ค.-ธ.ค.'!Q142+'ต.ค.-ธ.ค.'!S142</f>
        <v>0</v>
      </c>
      <c r="E139" s="177">
        <f>+'ม.ค.-มี.ค.'!D141+'ม.ค.-มี.ค.'!E141+'ม.ค.-มี.ค.'!F141+'ม.ค.-มี.ค.'!G141+'ม.ค.-มี.ค.'!H141+'ม.ค.-มี.ค.'!I141+'ม.ค.-มี.ค.'!J141+'ม.ค.-มี.ค.'!K141+'ม.ค.-มี.ค.'!L141+'ม.ค.-มี.ค.'!M141+'ม.ค.-มี.ค.'!N141+'ม.ค.-มี.ค.'!O141+'ม.ค.-มี.ค.'!P141+'ม.ค.-มี.ค.'!Q141+'ม.ค.-มี.ค.'!R141+'ม.ค.-มี.ค.'!S141+'ม.ค.-มี.ค.'!U141+'ม.ค.-มี.ค.'!V141</f>
        <v>0</v>
      </c>
      <c r="F139" s="177">
        <f>+เม.ย.!D140+เม.ย.!E140+เม.ย.!F140+เม.ย.!H140+เม.ย.!I140+เม.ย.!M140+เม.ย.!N140+เม.ย.!P140+เม.ย.!R140</f>
        <v>0</v>
      </c>
      <c r="G139" s="179"/>
      <c r="H139" s="179">
        <f t="shared" si="14"/>
        <v>0</v>
      </c>
      <c r="I139" s="208">
        <f t="shared" si="13"/>
        <v>20000</v>
      </c>
    </row>
    <row r="140" spans="1:13" s="172" customFormat="1" ht="21.75" customHeight="1">
      <c r="A140" s="9"/>
      <c r="B140" s="187" t="s">
        <v>357</v>
      </c>
      <c r="C140" s="279">
        <v>10000</v>
      </c>
      <c r="D140" s="177">
        <f>+'ต.ค.-ธ.ค.'!E143+'ต.ค.-ธ.ค.'!F143+'ต.ค.-ธ.ค.'!H143+'ต.ค.-ธ.ค.'!I143+'ต.ค.-ธ.ค.'!M143+'ต.ค.-ธ.ค.'!Q143+'ต.ค.-ธ.ค.'!S143</f>
        <v>0</v>
      </c>
      <c r="E140" s="177">
        <f>+'ม.ค.-มี.ค.'!D142+'ม.ค.-มี.ค.'!E142+'ม.ค.-มี.ค.'!F142+'ม.ค.-มี.ค.'!G142+'ม.ค.-มี.ค.'!H142+'ม.ค.-มี.ค.'!I142+'ม.ค.-มี.ค.'!J142+'ม.ค.-มี.ค.'!K142+'ม.ค.-มี.ค.'!L142+'ม.ค.-มี.ค.'!M142+'ม.ค.-มี.ค.'!N142+'ม.ค.-มี.ค.'!O142+'ม.ค.-มี.ค.'!P142+'ม.ค.-มี.ค.'!Q142+'ม.ค.-มี.ค.'!R142+'ม.ค.-มี.ค.'!S142+'ม.ค.-มี.ค.'!U142+'ม.ค.-มี.ค.'!V142</f>
        <v>0</v>
      </c>
      <c r="F140" s="177">
        <f>+เม.ย.!D141+เม.ย.!E141+เม.ย.!F141+เม.ย.!H141+เม.ย.!I141+เม.ย.!M141+เม.ย.!N141+เม.ย.!P141+เม.ย.!R141</f>
        <v>0</v>
      </c>
      <c r="G140" s="199"/>
      <c r="H140" s="179">
        <f t="shared" si="14"/>
        <v>0</v>
      </c>
      <c r="I140" s="208">
        <f t="shared" si="13"/>
        <v>10000</v>
      </c>
      <c r="J140" s="233"/>
      <c r="K140" s="329"/>
      <c r="L140" s="330"/>
      <c r="M140" s="330"/>
    </row>
    <row r="141" spans="1:13" s="172" customFormat="1" ht="21.75" customHeight="1">
      <c r="A141" s="9"/>
      <c r="B141" s="187" t="s">
        <v>358</v>
      </c>
      <c r="C141" s="279">
        <v>10000</v>
      </c>
      <c r="D141" s="177">
        <f>+'ต.ค.-ธ.ค.'!E144+'ต.ค.-ธ.ค.'!F144+'ต.ค.-ธ.ค.'!H144+'ต.ค.-ธ.ค.'!I144+'ต.ค.-ธ.ค.'!M144+'ต.ค.-ธ.ค.'!Q144+'ต.ค.-ธ.ค.'!S144</f>
        <v>0</v>
      </c>
      <c r="E141" s="177">
        <f>+'ม.ค.-มี.ค.'!D143+'ม.ค.-มี.ค.'!E143+'ม.ค.-มี.ค.'!F143+'ม.ค.-มี.ค.'!G143+'ม.ค.-มี.ค.'!H143+'ม.ค.-มี.ค.'!I143+'ม.ค.-มี.ค.'!J143+'ม.ค.-มี.ค.'!K143+'ม.ค.-มี.ค.'!L143+'ม.ค.-มี.ค.'!M143+'ม.ค.-มี.ค.'!N143+'ม.ค.-มี.ค.'!O143+'ม.ค.-มี.ค.'!P143+'ม.ค.-มี.ค.'!Q143+'ม.ค.-มี.ค.'!R143+'ม.ค.-มี.ค.'!S143+'ม.ค.-มี.ค.'!U143+'ม.ค.-มี.ค.'!V143</f>
        <v>0</v>
      </c>
      <c r="F141" s="177">
        <f>+เม.ย.!D142+เม.ย.!E142+เม.ย.!F142+เม.ย.!H142+เม.ย.!I142+เม.ย.!M142+เม.ย.!N142+เม.ย.!P142+เม.ย.!R142</f>
        <v>0</v>
      </c>
      <c r="G141" s="199"/>
      <c r="H141" s="179">
        <f t="shared" si="14"/>
        <v>0</v>
      </c>
      <c r="I141" s="208">
        <f t="shared" si="13"/>
        <v>10000</v>
      </c>
      <c r="J141" s="233"/>
      <c r="K141" s="329"/>
      <c r="L141" s="330"/>
      <c r="M141" s="330"/>
    </row>
    <row r="142" spans="1:13" s="172" customFormat="1" ht="21.75" customHeight="1">
      <c r="A142" s="9"/>
      <c r="B142" s="187" t="s">
        <v>359</v>
      </c>
      <c r="C142" s="279">
        <v>5000</v>
      </c>
      <c r="D142" s="177">
        <f>+'ต.ค.-ธ.ค.'!E145+'ต.ค.-ธ.ค.'!F145+'ต.ค.-ธ.ค.'!H145+'ต.ค.-ธ.ค.'!I145+'ต.ค.-ธ.ค.'!M145+'ต.ค.-ธ.ค.'!Q145+'ต.ค.-ธ.ค.'!S145</f>
        <v>0</v>
      </c>
      <c r="E142" s="177">
        <f>+'ม.ค.-มี.ค.'!D144+'ม.ค.-มี.ค.'!E144+'ม.ค.-มี.ค.'!F144+'ม.ค.-มี.ค.'!G144+'ม.ค.-มี.ค.'!H144+'ม.ค.-มี.ค.'!I144+'ม.ค.-มี.ค.'!J144+'ม.ค.-มี.ค.'!K144+'ม.ค.-มี.ค.'!L144+'ม.ค.-มี.ค.'!M144+'ม.ค.-มี.ค.'!N144+'ม.ค.-มี.ค.'!O144+'ม.ค.-มี.ค.'!P144+'ม.ค.-มี.ค.'!Q144+'ม.ค.-มี.ค.'!R144+'ม.ค.-มี.ค.'!S144+'ม.ค.-มี.ค.'!U144+'ม.ค.-มี.ค.'!V144</f>
        <v>0</v>
      </c>
      <c r="F142" s="177">
        <f>+เม.ย.!D143+เม.ย.!E143+เม.ย.!F143+เม.ย.!H143+เม.ย.!I143+เม.ย.!M143+เม.ย.!N143+เม.ย.!P143+เม.ย.!R143</f>
        <v>0</v>
      </c>
      <c r="G142" s="199"/>
      <c r="H142" s="179">
        <f t="shared" si="14"/>
        <v>0</v>
      </c>
      <c r="I142" s="208">
        <f t="shared" si="13"/>
        <v>5000</v>
      </c>
      <c r="J142" s="233"/>
      <c r="K142" s="329"/>
      <c r="L142" s="330"/>
      <c r="M142" s="330"/>
    </row>
    <row r="143" spans="1:13" s="172" customFormat="1" ht="21.75" customHeight="1">
      <c r="A143" s="9"/>
      <c r="B143" s="187" t="s">
        <v>360</v>
      </c>
      <c r="C143" s="279">
        <v>5000</v>
      </c>
      <c r="D143" s="177">
        <f>+'ต.ค.-ธ.ค.'!E146+'ต.ค.-ธ.ค.'!F146+'ต.ค.-ธ.ค.'!H146+'ต.ค.-ธ.ค.'!I146+'ต.ค.-ธ.ค.'!M146+'ต.ค.-ธ.ค.'!Q146+'ต.ค.-ธ.ค.'!S146</f>
        <v>0</v>
      </c>
      <c r="E143" s="177">
        <f>+'ม.ค.-มี.ค.'!D145+'ม.ค.-มี.ค.'!E145+'ม.ค.-มี.ค.'!F145+'ม.ค.-มี.ค.'!G145+'ม.ค.-มี.ค.'!H145+'ม.ค.-มี.ค.'!I145+'ม.ค.-มี.ค.'!J145+'ม.ค.-มี.ค.'!K145+'ม.ค.-มี.ค.'!L145+'ม.ค.-มี.ค.'!M145+'ม.ค.-มี.ค.'!N145+'ม.ค.-มี.ค.'!O145+'ม.ค.-มี.ค.'!P145+'ม.ค.-มี.ค.'!Q145+'ม.ค.-มี.ค.'!R145+'ม.ค.-มี.ค.'!S145+'ม.ค.-มี.ค.'!U145+'ม.ค.-มี.ค.'!V145</f>
        <v>0</v>
      </c>
      <c r="F143" s="177">
        <f>+เม.ย.!D144+เม.ย.!E144+เม.ย.!F144+เม.ย.!H144+เม.ย.!I144+เม.ย.!M144+เม.ย.!N144+เม.ย.!P144+เม.ย.!R144</f>
        <v>0</v>
      </c>
      <c r="G143" s="199"/>
      <c r="H143" s="179">
        <f t="shared" si="14"/>
        <v>0</v>
      </c>
      <c r="I143" s="208">
        <f t="shared" si="13"/>
        <v>5000</v>
      </c>
      <c r="J143" s="233"/>
      <c r="K143" s="329"/>
      <c r="L143" s="330"/>
      <c r="M143" s="330"/>
    </row>
    <row r="144" spans="1:13" s="172" customFormat="1" ht="21.75" customHeight="1">
      <c r="A144" s="9"/>
      <c r="B144" s="187" t="s">
        <v>361</v>
      </c>
      <c r="C144" s="279">
        <v>5000</v>
      </c>
      <c r="D144" s="177">
        <f>+'ต.ค.-ธ.ค.'!E147+'ต.ค.-ธ.ค.'!F147+'ต.ค.-ธ.ค.'!H147+'ต.ค.-ธ.ค.'!I147+'ต.ค.-ธ.ค.'!M147+'ต.ค.-ธ.ค.'!Q147+'ต.ค.-ธ.ค.'!S147</f>
        <v>0</v>
      </c>
      <c r="E144" s="177">
        <f>+'ม.ค.-มี.ค.'!D146+'ม.ค.-มี.ค.'!E146+'ม.ค.-มี.ค.'!F146+'ม.ค.-มี.ค.'!G146+'ม.ค.-มี.ค.'!H146+'ม.ค.-มี.ค.'!I146+'ม.ค.-มี.ค.'!J146+'ม.ค.-มี.ค.'!K146+'ม.ค.-มี.ค.'!L146+'ม.ค.-มี.ค.'!M146+'ม.ค.-มี.ค.'!N146+'ม.ค.-มี.ค.'!O146+'ม.ค.-มี.ค.'!P146+'ม.ค.-มี.ค.'!Q146+'ม.ค.-มี.ค.'!R146+'ม.ค.-มี.ค.'!S146+'ม.ค.-มี.ค.'!U146+'ม.ค.-มี.ค.'!V146</f>
        <v>0</v>
      </c>
      <c r="F144" s="177">
        <f>+เม.ย.!D145+เม.ย.!E145+เม.ย.!F145+เม.ย.!H145+เม.ย.!I145+เม.ย.!M145+เม.ย.!N145+เม.ย.!P145+เม.ย.!R145</f>
        <v>0</v>
      </c>
      <c r="G144" s="199"/>
      <c r="H144" s="179">
        <f t="shared" si="14"/>
        <v>0</v>
      </c>
      <c r="I144" s="208">
        <f t="shared" si="13"/>
        <v>5000</v>
      </c>
      <c r="J144" s="233"/>
      <c r="K144" s="329"/>
      <c r="L144" s="330"/>
      <c r="M144" s="330"/>
    </row>
    <row r="145" spans="1:13" s="172" customFormat="1" ht="21.75" customHeight="1">
      <c r="A145" s="9"/>
      <c r="B145" s="187" t="s">
        <v>362</v>
      </c>
      <c r="C145" s="279">
        <v>5000</v>
      </c>
      <c r="D145" s="177">
        <f>+'ต.ค.-ธ.ค.'!E148+'ต.ค.-ธ.ค.'!F148+'ต.ค.-ธ.ค.'!H148+'ต.ค.-ธ.ค.'!I148+'ต.ค.-ธ.ค.'!M148+'ต.ค.-ธ.ค.'!Q148+'ต.ค.-ธ.ค.'!S148</f>
        <v>0</v>
      </c>
      <c r="E145" s="177">
        <f>+'ม.ค.-มี.ค.'!D147+'ม.ค.-มี.ค.'!E147+'ม.ค.-มี.ค.'!F147+'ม.ค.-มี.ค.'!G147+'ม.ค.-มี.ค.'!H147+'ม.ค.-มี.ค.'!I147+'ม.ค.-มี.ค.'!J147+'ม.ค.-มี.ค.'!K147+'ม.ค.-มี.ค.'!L147+'ม.ค.-มี.ค.'!M147+'ม.ค.-มี.ค.'!N147+'ม.ค.-มี.ค.'!O147+'ม.ค.-มี.ค.'!P147+'ม.ค.-มี.ค.'!Q147+'ม.ค.-มี.ค.'!R147+'ม.ค.-มี.ค.'!S147+'ม.ค.-มี.ค.'!U147+'ม.ค.-มี.ค.'!V147</f>
        <v>0</v>
      </c>
      <c r="F145" s="177">
        <f>+เม.ย.!D146+เม.ย.!E146+เม.ย.!F146+เม.ย.!H146+เม.ย.!I146+เม.ย.!M146+เม.ย.!N146+เม.ย.!P146+เม.ย.!R146</f>
        <v>0</v>
      </c>
      <c r="G145" s="199"/>
      <c r="H145" s="179">
        <f t="shared" si="14"/>
        <v>0</v>
      </c>
      <c r="I145" s="208">
        <f t="shared" si="13"/>
        <v>5000</v>
      </c>
      <c r="J145" s="233"/>
      <c r="K145" s="329"/>
      <c r="L145" s="330"/>
      <c r="M145" s="330"/>
    </row>
    <row r="146" spans="1:13" s="172" customFormat="1" ht="21.75" customHeight="1">
      <c r="A146" s="9"/>
      <c r="B146" s="187" t="s">
        <v>363</v>
      </c>
      <c r="C146" s="279">
        <v>5000</v>
      </c>
      <c r="D146" s="177">
        <f>+'ต.ค.-ธ.ค.'!E149+'ต.ค.-ธ.ค.'!F149+'ต.ค.-ธ.ค.'!H149+'ต.ค.-ธ.ค.'!I149+'ต.ค.-ธ.ค.'!M149+'ต.ค.-ธ.ค.'!Q149+'ต.ค.-ธ.ค.'!S149</f>
        <v>0</v>
      </c>
      <c r="E146" s="177">
        <f>+'ม.ค.-มี.ค.'!D148+'ม.ค.-มี.ค.'!E148+'ม.ค.-มี.ค.'!F148+'ม.ค.-มี.ค.'!G148+'ม.ค.-มี.ค.'!H148+'ม.ค.-มี.ค.'!I148+'ม.ค.-มี.ค.'!J148+'ม.ค.-มี.ค.'!K148+'ม.ค.-มี.ค.'!L148+'ม.ค.-มี.ค.'!M148+'ม.ค.-มี.ค.'!N148+'ม.ค.-มี.ค.'!O148+'ม.ค.-มี.ค.'!P148+'ม.ค.-มี.ค.'!Q148+'ม.ค.-มี.ค.'!R148+'ม.ค.-มี.ค.'!S148+'ม.ค.-มี.ค.'!U148+'ม.ค.-มี.ค.'!V148</f>
        <v>0</v>
      </c>
      <c r="F146" s="177">
        <f>+เม.ย.!D147+เม.ย.!E147+เม.ย.!F147+เม.ย.!H147+เม.ย.!I147+เม.ย.!M147+เม.ย.!N147+เม.ย.!P147+เม.ย.!R147</f>
        <v>0</v>
      </c>
      <c r="G146" s="199"/>
      <c r="H146" s="179">
        <f t="shared" si="14"/>
        <v>0</v>
      </c>
      <c r="I146" s="208">
        <f t="shared" si="13"/>
        <v>5000</v>
      </c>
      <c r="J146" s="233"/>
      <c r="K146" s="329"/>
      <c r="L146" s="330"/>
      <c r="M146" s="330"/>
    </row>
    <row r="147" spans="1:13" s="172" customFormat="1" ht="21.75" customHeight="1">
      <c r="A147" s="9"/>
      <c r="B147" s="187" t="s">
        <v>364</v>
      </c>
      <c r="C147" s="279">
        <v>5000</v>
      </c>
      <c r="D147" s="177">
        <f>+'ต.ค.-ธ.ค.'!E150+'ต.ค.-ธ.ค.'!F150+'ต.ค.-ธ.ค.'!H150+'ต.ค.-ธ.ค.'!I150+'ต.ค.-ธ.ค.'!M150+'ต.ค.-ธ.ค.'!Q150+'ต.ค.-ธ.ค.'!S150</f>
        <v>0</v>
      </c>
      <c r="E147" s="177">
        <f>+'ม.ค.-มี.ค.'!D149+'ม.ค.-มี.ค.'!E149+'ม.ค.-มี.ค.'!F149+'ม.ค.-มี.ค.'!G149+'ม.ค.-มี.ค.'!H149+'ม.ค.-มี.ค.'!I149+'ม.ค.-มี.ค.'!J149+'ม.ค.-มี.ค.'!K149+'ม.ค.-มี.ค.'!L149+'ม.ค.-มี.ค.'!M149+'ม.ค.-มี.ค.'!N149+'ม.ค.-มี.ค.'!O149+'ม.ค.-มี.ค.'!P149+'ม.ค.-มี.ค.'!Q149+'ม.ค.-มี.ค.'!R149+'ม.ค.-มี.ค.'!S149+'ม.ค.-มี.ค.'!U149+'ม.ค.-มี.ค.'!V149</f>
        <v>0</v>
      </c>
      <c r="F147" s="177">
        <f>+เม.ย.!D148+เม.ย.!E148+เม.ย.!F148+เม.ย.!H148+เม.ย.!I148+เม.ย.!M148+เม.ย.!N148+เม.ย.!P148+เม.ย.!R148</f>
        <v>0</v>
      </c>
      <c r="G147" s="199"/>
      <c r="H147" s="179">
        <f t="shared" si="14"/>
        <v>0</v>
      </c>
      <c r="I147" s="208">
        <f t="shared" si="13"/>
        <v>5000</v>
      </c>
      <c r="J147" s="233"/>
      <c r="K147" s="329"/>
      <c r="L147" s="330"/>
      <c r="M147" s="330"/>
    </row>
    <row r="148" spans="1:13" s="172" customFormat="1" ht="21.75" customHeight="1">
      <c r="A148" s="9"/>
      <c r="B148" s="187" t="s">
        <v>365</v>
      </c>
      <c r="C148" s="279">
        <v>5000</v>
      </c>
      <c r="D148" s="177">
        <f>+'ต.ค.-ธ.ค.'!E151+'ต.ค.-ธ.ค.'!F151+'ต.ค.-ธ.ค.'!H151+'ต.ค.-ธ.ค.'!I151+'ต.ค.-ธ.ค.'!M151+'ต.ค.-ธ.ค.'!Q151+'ต.ค.-ธ.ค.'!S151</f>
        <v>0</v>
      </c>
      <c r="E148" s="177">
        <f>+'ม.ค.-มี.ค.'!D150+'ม.ค.-มี.ค.'!E150+'ม.ค.-มี.ค.'!F150+'ม.ค.-มี.ค.'!G150+'ม.ค.-มี.ค.'!H150+'ม.ค.-มี.ค.'!I150+'ม.ค.-มี.ค.'!J150+'ม.ค.-มี.ค.'!K150+'ม.ค.-มี.ค.'!L150+'ม.ค.-มี.ค.'!M150+'ม.ค.-มี.ค.'!N150+'ม.ค.-มี.ค.'!O150+'ม.ค.-มี.ค.'!P150+'ม.ค.-มี.ค.'!Q150+'ม.ค.-มี.ค.'!R150+'ม.ค.-มี.ค.'!S150+'ม.ค.-มี.ค.'!U150+'ม.ค.-มี.ค.'!V150</f>
        <v>0</v>
      </c>
      <c r="F148" s="177">
        <f>+เม.ย.!D149+เม.ย.!E149+เม.ย.!F149+เม.ย.!H149+เม.ย.!I149+เม.ย.!M149+เม.ย.!N149+เม.ย.!P149+เม.ย.!R149</f>
        <v>0</v>
      </c>
      <c r="G148" s="199"/>
      <c r="H148" s="179">
        <f t="shared" si="14"/>
        <v>0</v>
      </c>
      <c r="I148" s="208">
        <f t="shared" si="13"/>
        <v>5000</v>
      </c>
      <c r="J148" s="233"/>
      <c r="K148" s="329"/>
      <c r="L148" s="330"/>
      <c r="M148" s="330"/>
    </row>
    <row r="149" spans="1:13" s="172" customFormat="1" ht="21.75" customHeight="1">
      <c r="A149" s="9"/>
      <c r="B149" s="187" t="s">
        <v>366</v>
      </c>
      <c r="C149" s="279">
        <v>5000</v>
      </c>
      <c r="D149" s="177">
        <f>+'ต.ค.-ธ.ค.'!E152+'ต.ค.-ธ.ค.'!F152+'ต.ค.-ธ.ค.'!H152+'ต.ค.-ธ.ค.'!I152+'ต.ค.-ธ.ค.'!M152+'ต.ค.-ธ.ค.'!Q152+'ต.ค.-ธ.ค.'!S152</f>
        <v>0</v>
      </c>
      <c r="E149" s="177">
        <f>+'ม.ค.-มี.ค.'!D151+'ม.ค.-มี.ค.'!E151+'ม.ค.-มี.ค.'!F151+'ม.ค.-มี.ค.'!G151+'ม.ค.-มี.ค.'!H151+'ม.ค.-มี.ค.'!I151+'ม.ค.-มี.ค.'!J151+'ม.ค.-มี.ค.'!K151+'ม.ค.-มี.ค.'!L151+'ม.ค.-มี.ค.'!M151+'ม.ค.-มี.ค.'!N151+'ม.ค.-มี.ค.'!O151+'ม.ค.-มี.ค.'!P151+'ม.ค.-มี.ค.'!Q151+'ม.ค.-มี.ค.'!R151+'ม.ค.-มี.ค.'!S151+'ม.ค.-มี.ค.'!U151+'ม.ค.-มี.ค.'!V151</f>
        <v>0</v>
      </c>
      <c r="F149" s="177">
        <f>+เม.ย.!D150+เม.ย.!E150+เม.ย.!F150+เม.ย.!H150+เม.ย.!I150+เม.ย.!M150+เม.ย.!N150+เม.ย.!P150+เม.ย.!R150</f>
        <v>0</v>
      </c>
      <c r="G149" s="199"/>
      <c r="H149" s="179">
        <f t="shared" si="14"/>
        <v>0</v>
      </c>
      <c r="I149" s="208">
        <f t="shared" si="13"/>
        <v>5000</v>
      </c>
      <c r="J149" s="233"/>
      <c r="K149" s="329"/>
      <c r="L149" s="330"/>
      <c r="M149" s="330"/>
    </row>
    <row r="150" spans="1:13" s="172" customFormat="1" ht="21.75" customHeight="1">
      <c r="A150" s="9"/>
      <c r="B150" s="187" t="s">
        <v>367</v>
      </c>
      <c r="C150" s="279">
        <v>5000</v>
      </c>
      <c r="D150" s="177">
        <f>+'ต.ค.-ธ.ค.'!E153+'ต.ค.-ธ.ค.'!F153+'ต.ค.-ธ.ค.'!H153+'ต.ค.-ธ.ค.'!I153+'ต.ค.-ธ.ค.'!M153+'ต.ค.-ธ.ค.'!Q153+'ต.ค.-ธ.ค.'!S153</f>
        <v>0</v>
      </c>
      <c r="E150" s="177">
        <f>+'ม.ค.-มี.ค.'!D152+'ม.ค.-มี.ค.'!E152+'ม.ค.-มี.ค.'!F152+'ม.ค.-มี.ค.'!G152+'ม.ค.-มี.ค.'!H152+'ม.ค.-มี.ค.'!I152+'ม.ค.-มี.ค.'!J152+'ม.ค.-มี.ค.'!K152+'ม.ค.-มี.ค.'!L152+'ม.ค.-มี.ค.'!M152+'ม.ค.-มี.ค.'!N152+'ม.ค.-มี.ค.'!O152+'ม.ค.-มี.ค.'!P152+'ม.ค.-มี.ค.'!Q152+'ม.ค.-มี.ค.'!R152+'ม.ค.-มี.ค.'!S152+'ม.ค.-มี.ค.'!U152+'ม.ค.-มี.ค.'!V152</f>
        <v>0</v>
      </c>
      <c r="F150" s="177">
        <f>+เม.ย.!D151+เม.ย.!E151+เม.ย.!F151+เม.ย.!H151+เม.ย.!I151+เม.ย.!M151+เม.ย.!N151+เม.ย.!P151+เม.ย.!R151</f>
        <v>0</v>
      </c>
      <c r="G150" s="199"/>
      <c r="H150" s="179">
        <f t="shared" si="14"/>
        <v>0</v>
      </c>
      <c r="I150" s="208">
        <f t="shared" si="13"/>
        <v>5000</v>
      </c>
      <c r="J150" s="233"/>
      <c r="K150" s="329"/>
      <c r="L150" s="330"/>
      <c r="M150" s="330"/>
    </row>
    <row r="151" spans="1:13" s="172" customFormat="1" ht="21.75" customHeight="1">
      <c r="A151" s="9"/>
      <c r="B151" s="187" t="s">
        <v>368</v>
      </c>
      <c r="C151" s="279">
        <v>5000</v>
      </c>
      <c r="D151" s="177">
        <f>+'ต.ค.-ธ.ค.'!E154+'ต.ค.-ธ.ค.'!F154+'ต.ค.-ธ.ค.'!H154+'ต.ค.-ธ.ค.'!I154+'ต.ค.-ธ.ค.'!M154+'ต.ค.-ธ.ค.'!Q154+'ต.ค.-ธ.ค.'!S154</f>
        <v>0</v>
      </c>
      <c r="E151" s="177">
        <f>+'ม.ค.-มี.ค.'!D153+'ม.ค.-มี.ค.'!E153+'ม.ค.-มี.ค.'!F153+'ม.ค.-มี.ค.'!G153+'ม.ค.-มี.ค.'!H153+'ม.ค.-มี.ค.'!I153+'ม.ค.-มี.ค.'!J153+'ม.ค.-มี.ค.'!K153+'ม.ค.-มี.ค.'!L153+'ม.ค.-มี.ค.'!M153+'ม.ค.-มี.ค.'!N153+'ม.ค.-มี.ค.'!O153+'ม.ค.-มี.ค.'!P153+'ม.ค.-มี.ค.'!Q153+'ม.ค.-มี.ค.'!R153+'ม.ค.-มี.ค.'!S153+'ม.ค.-มี.ค.'!U153+'ม.ค.-มี.ค.'!V153</f>
        <v>0</v>
      </c>
      <c r="F151" s="177">
        <f>+เม.ย.!D152+เม.ย.!E152+เม.ย.!F152+เม.ย.!H152+เม.ย.!I152+เม.ย.!M152+เม.ย.!N152+เม.ย.!P152+เม.ย.!R152</f>
        <v>0</v>
      </c>
      <c r="G151" s="199"/>
      <c r="H151" s="179">
        <f t="shared" si="14"/>
        <v>0</v>
      </c>
      <c r="I151" s="208">
        <f t="shared" si="13"/>
        <v>5000</v>
      </c>
      <c r="J151" s="233"/>
      <c r="K151" s="329"/>
      <c r="L151" s="330"/>
      <c r="M151" s="330"/>
    </row>
    <row r="152" spans="1:13" s="172" customFormat="1" ht="21.75" customHeight="1">
      <c r="A152" s="9"/>
      <c r="B152" s="187" t="s">
        <v>369</v>
      </c>
      <c r="C152" s="279">
        <f>10000-10000</f>
        <v>0</v>
      </c>
      <c r="D152" s="177">
        <f>+'ต.ค.-ธ.ค.'!E155+'ต.ค.-ธ.ค.'!F155+'ต.ค.-ธ.ค.'!H155+'ต.ค.-ธ.ค.'!I155+'ต.ค.-ธ.ค.'!M155+'ต.ค.-ธ.ค.'!Q155+'ต.ค.-ธ.ค.'!S155</f>
        <v>0</v>
      </c>
      <c r="E152" s="177">
        <f>+'ม.ค.-มี.ค.'!D154+'ม.ค.-มี.ค.'!E154+'ม.ค.-มี.ค.'!F154+'ม.ค.-มี.ค.'!G154+'ม.ค.-มี.ค.'!H154+'ม.ค.-มี.ค.'!I154+'ม.ค.-มี.ค.'!J154+'ม.ค.-มี.ค.'!K154+'ม.ค.-มี.ค.'!L154+'ม.ค.-มี.ค.'!M154+'ม.ค.-มี.ค.'!N154+'ม.ค.-มี.ค.'!O154+'ม.ค.-มี.ค.'!P154+'ม.ค.-มี.ค.'!Q154+'ม.ค.-มี.ค.'!R154+'ม.ค.-มี.ค.'!S154+'ม.ค.-มี.ค.'!U154+'ม.ค.-มี.ค.'!V154</f>
        <v>0</v>
      </c>
      <c r="F152" s="177">
        <f>+เม.ย.!D153+เม.ย.!E153+เม.ย.!F153+เม.ย.!H153+เม.ย.!I153+เม.ย.!M153+เม.ย.!N153+เม.ย.!P153+เม.ย.!R153</f>
        <v>0</v>
      </c>
      <c r="G152" s="199"/>
      <c r="H152" s="179">
        <f t="shared" si="14"/>
        <v>0</v>
      </c>
      <c r="I152" s="208">
        <f t="shared" si="13"/>
        <v>0</v>
      </c>
      <c r="J152" s="233"/>
      <c r="K152" s="329"/>
      <c r="L152" s="330"/>
      <c r="M152" s="330"/>
    </row>
    <row r="153" spans="1:13" s="172" customFormat="1" ht="21.75" customHeight="1">
      <c r="A153" s="9"/>
      <c r="B153" s="187" t="s">
        <v>370</v>
      </c>
      <c r="C153" s="279">
        <v>10000</v>
      </c>
      <c r="D153" s="177">
        <f>+'ต.ค.-ธ.ค.'!E156+'ต.ค.-ธ.ค.'!F156+'ต.ค.-ธ.ค.'!H156+'ต.ค.-ธ.ค.'!I156+'ต.ค.-ธ.ค.'!M156+'ต.ค.-ธ.ค.'!Q156+'ต.ค.-ธ.ค.'!S156</f>
        <v>0</v>
      </c>
      <c r="E153" s="177">
        <f>+'ม.ค.-มี.ค.'!D155+'ม.ค.-มี.ค.'!E155+'ม.ค.-มี.ค.'!F155+'ม.ค.-มี.ค.'!G155+'ม.ค.-มี.ค.'!H155+'ม.ค.-มี.ค.'!I155+'ม.ค.-มี.ค.'!J155+'ม.ค.-มี.ค.'!K155+'ม.ค.-มี.ค.'!L155+'ม.ค.-มี.ค.'!M155+'ม.ค.-มี.ค.'!N155+'ม.ค.-มี.ค.'!O155+'ม.ค.-มี.ค.'!P155+'ม.ค.-มี.ค.'!Q155+'ม.ค.-มี.ค.'!R155+'ม.ค.-มี.ค.'!S155+'ม.ค.-มี.ค.'!U155+'ม.ค.-มี.ค.'!V155</f>
        <v>0</v>
      </c>
      <c r="F153" s="177">
        <f>+เม.ย.!D154+เม.ย.!E154+เม.ย.!F154+เม.ย.!H154+เม.ย.!I154+เม.ย.!M154+เม.ย.!N154+เม.ย.!P154+เม.ย.!R154</f>
        <v>0</v>
      </c>
      <c r="G153" s="199"/>
      <c r="H153" s="179">
        <f t="shared" si="14"/>
        <v>0</v>
      </c>
      <c r="I153" s="208">
        <f t="shared" si="13"/>
        <v>10000</v>
      </c>
      <c r="J153" s="233"/>
      <c r="K153" s="329"/>
      <c r="L153" s="330"/>
      <c r="M153" s="330"/>
    </row>
    <row r="154" spans="1:13" s="172" customFormat="1" ht="21.75" customHeight="1">
      <c r="A154" s="9"/>
      <c r="B154" s="187" t="s">
        <v>163</v>
      </c>
      <c r="C154" s="279">
        <f>350000-156000-153000-11000-10000-20000</f>
        <v>0</v>
      </c>
      <c r="D154" s="177">
        <f>+'ต.ค.-ธ.ค.'!E157+'ต.ค.-ธ.ค.'!F157+'ต.ค.-ธ.ค.'!H157+'ต.ค.-ธ.ค.'!I157+'ต.ค.-ธ.ค.'!M157+'ต.ค.-ธ.ค.'!Q157+'ต.ค.-ธ.ค.'!S157</f>
        <v>0</v>
      </c>
      <c r="E154" s="177">
        <f>+'ม.ค.-มี.ค.'!D156+'ม.ค.-มี.ค.'!E156+'ม.ค.-มี.ค.'!F156+'ม.ค.-มี.ค.'!G156+'ม.ค.-มี.ค.'!H156+'ม.ค.-มี.ค.'!I156+'ม.ค.-มี.ค.'!J156+'ม.ค.-มี.ค.'!K156+'ม.ค.-มี.ค.'!L156+'ม.ค.-มี.ค.'!M156+'ม.ค.-มี.ค.'!N156+'ม.ค.-มี.ค.'!O156+'ม.ค.-มี.ค.'!P156+'ม.ค.-มี.ค.'!Q156+'ม.ค.-มี.ค.'!R156+'ม.ค.-มี.ค.'!S156+'ม.ค.-มี.ค.'!U156+'ม.ค.-มี.ค.'!V156</f>
        <v>0</v>
      </c>
      <c r="F154" s="177">
        <f>+เม.ย.!D155+เม.ย.!E155+เม.ย.!F155+เม.ย.!H155+เม.ย.!I155+เม.ย.!M155+เม.ย.!N155+เม.ย.!P155+เม.ย.!R155</f>
        <v>0</v>
      </c>
      <c r="G154" s="199"/>
      <c r="H154" s="179">
        <f t="shared" si="14"/>
        <v>0</v>
      </c>
      <c r="I154" s="208">
        <f t="shared" si="13"/>
        <v>0</v>
      </c>
      <c r="J154" s="233"/>
      <c r="K154" s="329"/>
      <c r="L154" s="330"/>
      <c r="M154" s="330"/>
    </row>
    <row r="155" spans="1:13" s="172" customFormat="1" ht="21.75" customHeight="1">
      <c r="A155" s="9"/>
      <c r="B155" s="187" t="s">
        <v>214</v>
      </c>
      <c r="C155" s="279">
        <v>25000</v>
      </c>
      <c r="D155" s="177">
        <f>+'ต.ค.-ธ.ค.'!E158+'ต.ค.-ธ.ค.'!F158+'ต.ค.-ธ.ค.'!H158+'ต.ค.-ธ.ค.'!I158+'ต.ค.-ธ.ค.'!M158+'ต.ค.-ธ.ค.'!Q158+'ต.ค.-ธ.ค.'!S158</f>
        <v>0</v>
      </c>
      <c r="E155" s="177">
        <f>+'ม.ค.-มี.ค.'!D157+'ม.ค.-มี.ค.'!E157+'ม.ค.-มี.ค.'!F157+'ม.ค.-มี.ค.'!G157+'ม.ค.-มี.ค.'!H157+'ม.ค.-มี.ค.'!I157+'ม.ค.-มี.ค.'!J157+'ม.ค.-มี.ค.'!K157+'ม.ค.-มี.ค.'!L157+'ม.ค.-มี.ค.'!M157+'ม.ค.-มี.ค.'!N157+'ม.ค.-มี.ค.'!O157+'ม.ค.-มี.ค.'!P157+'ม.ค.-มี.ค.'!Q157+'ม.ค.-มี.ค.'!R157+'ม.ค.-มี.ค.'!S157+'ม.ค.-มี.ค.'!U157+'ม.ค.-มี.ค.'!V157</f>
        <v>24450</v>
      </c>
      <c r="F155" s="177">
        <f>+เม.ย.!D156+เม.ย.!E156+เม.ย.!F156+เม.ย.!H156+เม.ย.!I156+เม.ย.!M156+เม.ย.!N156+เม.ย.!P156+เม.ย.!R156</f>
        <v>0</v>
      </c>
      <c r="G155" s="199"/>
      <c r="H155" s="179">
        <f t="shared" si="14"/>
        <v>24450</v>
      </c>
      <c r="I155" s="208">
        <f t="shared" si="13"/>
        <v>550</v>
      </c>
      <c r="J155" s="233"/>
      <c r="K155" s="329"/>
      <c r="L155" s="330"/>
      <c r="M155" s="330"/>
    </row>
    <row r="156" spans="1:13" s="172" customFormat="1" ht="21.75" customHeight="1">
      <c r="A156" s="9"/>
      <c r="B156" s="187" t="s">
        <v>167</v>
      </c>
      <c r="C156" s="279">
        <f>30000-30000</f>
        <v>0</v>
      </c>
      <c r="D156" s="177">
        <f>+'ต.ค.-ธ.ค.'!E159+'ต.ค.-ธ.ค.'!F159+'ต.ค.-ธ.ค.'!H159+'ต.ค.-ธ.ค.'!I159+'ต.ค.-ธ.ค.'!M159+'ต.ค.-ธ.ค.'!Q159+'ต.ค.-ธ.ค.'!S159</f>
        <v>0</v>
      </c>
      <c r="E156" s="177">
        <f>+'ม.ค.-มี.ค.'!D158+'ม.ค.-มี.ค.'!E158+'ม.ค.-มี.ค.'!F158+'ม.ค.-มี.ค.'!G158+'ม.ค.-มี.ค.'!H158+'ม.ค.-มี.ค.'!I158+'ม.ค.-มี.ค.'!J158+'ม.ค.-มี.ค.'!K158+'ม.ค.-มี.ค.'!L158+'ม.ค.-มี.ค.'!M158+'ม.ค.-มี.ค.'!N158+'ม.ค.-มี.ค.'!O158+'ม.ค.-มี.ค.'!P158+'ม.ค.-มี.ค.'!Q158+'ม.ค.-มี.ค.'!R158+'ม.ค.-มี.ค.'!S158+'ม.ค.-มี.ค.'!U158+'ม.ค.-มี.ค.'!V158</f>
        <v>0</v>
      </c>
      <c r="F156" s="177">
        <f>+เม.ย.!D157+เม.ย.!E157+เม.ย.!F157+เม.ย.!H157+เม.ย.!I157+เม.ย.!M157+เม.ย.!N157+เม.ย.!P157+เม.ย.!R157</f>
        <v>0</v>
      </c>
      <c r="G156" s="199"/>
      <c r="H156" s="179">
        <f t="shared" si="14"/>
        <v>0</v>
      </c>
      <c r="I156" s="208">
        <f t="shared" si="13"/>
        <v>0</v>
      </c>
      <c r="J156" s="233"/>
      <c r="K156" s="329"/>
      <c r="L156" s="330"/>
      <c r="M156" s="330"/>
    </row>
    <row r="157" spans="1:13" s="172" customFormat="1" ht="21.75" customHeight="1">
      <c r="A157" s="9"/>
      <c r="B157" s="187" t="s">
        <v>371</v>
      </c>
      <c r="C157" s="279">
        <v>30000</v>
      </c>
      <c r="D157" s="177">
        <f>+'ต.ค.-ธ.ค.'!E160+'ต.ค.-ธ.ค.'!F160+'ต.ค.-ธ.ค.'!H160+'ต.ค.-ธ.ค.'!I160+'ต.ค.-ธ.ค.'!M160+'ต.ค.-ธ.ค.'!Q160+'ต.ค.-ธ.ค.'!S160</f>
        <v>0</v>
      </c>
      <c r="E157" s="177">
        <f>+'ม.ค.-มี.ค.'!D159+'ม.ค.-มี.ค.'!E159+'ม.ค.-มี.ค.'!F159+'ม.ค.-มี.ค.'!G159+'ม.ค.-มี.ค.'!H159+'ม.ค.-มี.ค.'!I159+'ม.ค.-มี.ค.'!J159+'ม.ค.-มี.ค.'!K159+'ม.ค.-มี.ค.'!L159+'ม.ค.-มี.ค.'!M159+'ม.ค.-มี.ค.'!N159+'ม.ค.-มี.ค.'!O159+'ม.ค.-มี.ค.'!P159+'ม.ค.-มี.ค.'!Q159+'ม.ค.-มี.ค.'!R159+'ม.ค.-มี.ค.'!S159+'ม.ค.-มี.ค.'!U159+'ม.ค.-มี.ค.'!V159</f>
        <v>0</v>
      </c>
      <c r="F157" s="177">
        <f>+เม.ย.!D158+เม.ย.!E158+เม.ย.!F158+เม.ย.!H158+เม.ย.!I158+เม.ย.!M158+เม.ย.!N158+เม.ย.!P158+เม.ย.!R158</f>
        <v>0</v>
      </c>
      <c r="G157" s="199"/>
      <c r="H157" s="179">
        <f t="shared" si="14"/>
        <v>0</v>
      </c>
      <c r="I157" s="208">
        <f t="shared" si="13"/>
        <v>30000</v>
      </c>
      <c r="J157" s="233"/>
      <c r="K157" s="329"/>
      <c r="L157" s="330"/>
      <c r="M157" s="330"/>
    </row>
    <row r="158" spans="1:13" s="172" customFormat="1" ht="21.75" customHeight="1">
      <c r="A158" s="9"/>
      <c r="B158" s="187" t="s">
        <v>170</v>
      </c>
      <c r="C158" s="279">
        <v>40000</v>
      </c>
      <c r="D158" s="177">
        <f>+'ต.ค.-ธ.ค.'!E161+'ต.ค.-ธ.ค.'!F161+'ต.ค.-ธ.ค.'!H161+'ต.ค.-ธ.ค.'!I161+'ต.ค.-ธ.ค.'!M161+'ต.ค.-ธ.ค.'!Q161+'ต.ค.-ธ.ค.'!S161</f>
        <v>0</v>
      </c>
      <c r="E158" s="177">
        <f>+'ม.ค.-มี.ค.'!D160+'ม.ค.-มี.ค.'!E160+'ม.ค.-มี.ค.'!F160+'ม.ค.-มี.ค.'!G160+'ม.ค.-มี.ค.'!H160+'ม.ค.-มี.ค.'!I160+'ม.ค.-มี.ค.'!J160+'ม.ค.-มี.ค.'!K160+'ม.ค.-มี.ค.'!L160+'ม.ค.-มี.ค.'!M160+'ม.ค.-มี.ค.'!N160+'ม.ค.-มี.ค.'!O160+'ม.ค.-มี.ค.'!P160+'ม.ค.-มี.ค.'!Q160+'ม.ค.-มี.ค.'!R160+'ม.ค.-มี.ค.'!S160+'ม.ค.-มี.ค.'!U160+'ม.ค.-มี.ค.'!V160</f>
        <v>0</v>
      </c>
      <c r="F158" s="177">
        <f>+เม.ย.!D159+เม.ย.!E159+เม.ย.!F159+เม.ย.!H159+เม.ย.!I159+เม.ย.!M159+เม.ย.!N159+เม.ย.!P159+เม.ย.!R159</f>
        <v>0</v>
      </c>
      <c r="G158" s="199"/>
      <c r="H158" s="179">
        <f t="shared" si="14"/>
        <v>0</v>
      </c>
      <c r="I158" s="208">
        <f t="shared" si="13"/>
        <v>40000</v>
      </c>
      <c r="J158" s="233"/>
      <c r="K158" s="329"/>
      <c r="L158" s="330"/>
      <c r="M158" s="330"/>
    </row>
    <row r="159" spans="1:13" s="172" customFormat="1" ht="21.75" customHeight="1">
      <c r="A159" s="9"/>
      <c r="B159" s="187" t="s">
        <v>266</v>
      </c>
      <c r="C159" s="279">
        <v>15000</v>
      </c>
      <c r="D159" s="177">
        <f>+'ต.ค.-ธ.ค.'!E162+'ต.ค.-ธ.ค.'!F162+'ต.ค.-ธ.ค.'!H162+'ต.ค.-ธ.ค.'!I162+'ต.ค.-ธ.ค.'!M162+'ต.ค.-ธ.ค.'!Q162+'ต.ค.-ธ.ค.'!S162</f>
        <v>0</v>
      </c>
      <c r="E159" s="177">
        <f>+'ม.ค.-มี.ค.'!D161+'ม.ค.-มี.ค.'!E161+'ม.ค.-มี.ค.'!F161+'ม.ค.-มี.ค.'!G161+'ม.ค.-มี.ค.'!H161+'ม.ค.-มี.ค.'!I161+'ม.ค.-มี.ค.'!J161+'ม.ค.-มี.ค.'!K161+'ม.ค.-มี.ค.'!L161+'ม.ค.-มี.ค.'!M161+'ม.ค.-มี.ค.'!N161+'ม.ค.-มี.ค.'!O161+'ม.ค.-มี.ค.'!P161+'ม.ค.-มี.ค.'!Q161+'ม.ค.-มี.ค.'!R161+'ม.ค.-มี.ค.'!S161+'ม.ค.-มี.ค.'!U161+'ม.ค.-มี.ค.'!V161</f>
        <v>0</v>
      </c>
      <c r="F159" s="177">
        <f>+เม.ย.!D160+เม.ย.!E160+เม.ย.!F160+เม.ย.!H160+เม.ย.!I160+เม.ย.!M160+เม.ย.!N160+เม.ย.!P160+เม.ย.!R160</f>
        <v>0</v>
      </c>
      <c r="G159" s="199"/>
      <c r="H159" s="179">
        <f t="shared" si="14"/>
        <v>0</v>
      </c>
      <c r="I159" s="208">
        <f t="shared" si="13"/>
        <v>15000</v>
      </c>
      <c r="J159" s="233"/>
      <c r="K159" s="329"/>
      <c r="L159" s="330"/>
      <c r="M159" s="330"/>
    </row>
    <row r="160" spans="1:13" s="172" customFormat="1" ht="21.75" customHeight="1">
      <c r="A160" s="9"/>
      <c r="B160" s="187" t="s">
        <v>372</v>
      </c>
      <c r="C160" s="279">
        <v>65000</v>
      </c>
      <c r="D160" s="177">
        <f>+'ต.ค.-ธ.ค.'!E163+'ต.ค.-ธ.ค.'!F163+'ต.ค.-ธ.ค.'!H163+'ต.ค.-ธ.ค.'!I163+'ต.ค.-ธ.ค.'!M163+'ต.ค.-ธ.ค.'!Q163+'ต.ค.-ธ.ค.'!S163</f>
        <v>60000</v>
      </c>
      <c r="E160" s="177">
        <f>+'ม.ค.-มี.ค.'!D162+'ม.ค.-มี.ค.'!E162+'ม.ค.-มี.ค.'!F162+'ม.ค.-มี.ค.'!G162+'ม.ค.-มี.ค.'!H162+'ม.ค.-มี.ค.'!I162+'ม.ค.-มี.ค.'!J162+'ม.ค.-มี.ค.'!K162+'ม.ค.-มี.ค.'!L162+'ม.ค.-มี.ค.'!M162+'ม.ค.-มี.ค.'!N162+'ม.ค.-มี.ค.'!O162+'ม.ค.-มี.ค.'!P162+'ม.ค.-มี.ค.'!Q162+'ม.ค.-มี.ค.'!R162+'ม.ค.-มี.ค.'!S162+'ม.ค.-มี.ค.'!U162+'ม.ค.-มี.ค.'!V162</f>
        <v>4980</v>
      </c>
      <c r="F160" s="177">
        <f>+เม.ย.!D161+เม.ย.!E161+เม.ย.!F161+เม.ย.!H161+เม.ย.!I161+เม.ย.!M161+เม.ย.!N161+เม.ย.!P161+เม.ย.!R161</f>
        <v>0</v>
      </c>
      <c r="G160" s="199"/>
      <c r="H160" s="179">
        <f t="shared" si="14"/>
        <v>64980</v>
      </c>
      <c r="I160" s="208">
        <f t="shared" si="13"/>
        <v>20</v>
      </c>
      <c r="J160" s="233"/>
      <c r="K160" s="329"/>
      <c r="L160" s="330"/>
      <c r="M160" s="330"/>
    </row>
    <row r="161" spans="1:13" s="172" customFormat="1" ht="21.75" customHeight="1">
      <c r="A161" s="9"/>
      <c r="B161" s="187" t="s">
        <v>373</v>
      </c>
      <c r="C161" s="279">
        <f>65000-65000</f>
        <v>0</v>
      </c>
      <c r="D161" s="177">
        <f>+'ต.ค.-ธ.ค.'!E164+'ต.ค.-ธ.ค.'!F164+'ต.ค.-ธ.ค.'!H164+'ต.ค.-ธ.ค.'!I164+'ต.ค.-ธ.ค.'!M164+'ต.ค.-ธ.ค.'!Q164+'ต.ค.-ธ.ค.'!S164</f>
        <v>0</v>
      </c>
      <c r="E161" s="177">
        <f>+'ม.ค.-มี.ค.'!D163+'ม.ค.-มี.ค.'!E163+'ม.ค.-มี.ค.'!F163+'ม.ค.-มี.ค.'!G163+'ม.ค.-มี.ค.'!H163+'ม.ค.-มี.ค.'!I163+'ม.ค.-มี.ค.'!J163+'ม.ค.-มี.ค.'!K163+'ม.ค.-มี.ค.'!L163+'ม.ค.-มี.ค.'!M163+'ม.ค.-มี.ค.'!N163+'ม.ค.-มี.ค.'!O163+'ม.ค.-มี.ค.'!P163+'ม.ค.-มี.ค.'!Q163+'ม.ค.-มี.ค.'!R163+'ม.ค.-มี.ค.'!S163+'ม.ค.-มี.ค.'!U163+'ม.ค.-มี.ค.'!V163</f>
        <v>0</v>
      </c>
      <c r="F161" s="177">
        <f>+เม.ย.!D162+เม.ย.!E162+เม.ย.!F162+เม.ย.!H162+เม.ย.!I162+เม.ย.!M162+เม.ย.!N162+เม.ย.!P162+เม.ย.!R162</f>
        <v>0</v>
      </c>
      <c r="G161" s="199"/>
      <c r="H161" s="179">
        <f t="shared" si="14"/>
        <v>0</v>
      </c>
      <c r="I161" s="208">
        <f t="shared" si="13"/>
        <v>0</v>
      </c>
      <c r="J161" s="233"/>
      <c r="K161" s="329"/>
      <c r="L161" s="330"/>
      <c r="M161" s="330"/>
    </row>
    <row r="162" spans="1:13" s="172" customFormat="1" ht="21.75" customHeight="1">
      <c r="A162" s="9"/>
      <c r="B162" s="187" t="s">
        <v>374</v>
      </c>
      <c r="C162" s="279">
        <v>20000</v>
      </c>
      <c r="D162" s="177">
        <f>+'ต.ค.-ธ.ค.'!E165+'ต.ค.-ธ.ค.'!F165+'ต.ค.-ธ.ค.'!H165+'ต.ค.-ธ.ค.'!I165+'ต.ค.-ธ.ค.'!M165+'ต.ค.-ธ.ค.'!Q165+'ต.ค.-ธ.ค.'!S165</f>
        <v>0</v>
      </c>
      <c r="E162" s="177">
        <f>+'ม.ค.-มี.ค.'!D164+'ม.ค.-มี.ค.'!E164+'ม.ค.-มี.ค.'!F164+'ม.ค.-มี.ค.'!G164+'ม.ค.-มี.ค.'!H164+'ม.ค.-มี.ค.'!I164+'ม.ค.-มี.ค.'!J164+'ม.ค.-มี.ค.'!K164+'ม.ค.-มี.ค.'!L164+'ม.ค.-มี.ค.'!M164+'ม.ค.-มี.ค.'!N164+'ม.ค.-มี.ค.'!O164+'ม.ค.-มี.ค.'!P164+'ม.ค.-มี.ค.'!Q164+'ม.ค.-มี.ค.'!R164+'ม.ค.-มี.ค.'!S164+'ม.ค.-มี.ค.'!U164+'ม.ค.-มี.ค.'!V164</f>
        <v>0</v>
      </c>
      <c r="F162" s="177">
        <f>+เม.ย.!D163+เม.ย.!E163+เม.ย.!F163+เม.ย.!H163+เม.ย.!I163+เม.ย.!M163+เม.ย.!N163+เม.ย.!P163+เม.ย.!R163</f>
        <v>0</v>
      </c>
      <c r="G162" s="199"/>
      <c r="H162" s="179">
        <f t="shared" si="14"/>
        <v>0</v>
      </c>
      <c r="I162" s="208">
        <f t="shared" si="13"/>
        <v>20000</v>
      </c>
      <c r="J162" s="233"/>
      <c r="K162" s="329"/>
      <c r="L162" s="330"/>
      <c r="M162" s="330"/>
    </row>
    <row r="163" spans="1:13" s="172" customFormat="1" ht="21.75" customHeight="1">
      <c r="A163" s="9"/>
      <c r="B163" s="187" t="s">
        <v>375</v>
      </c>
      <c r="C163" s="279">
        <v>20000</v>
      </c>
      <c r="D163" s="177">
        <f>+'ต.ค.-ธ.ค.'!E166+'ต.ค.-ธ.ค.'!F166+'ต.ค.-ธ.ค.'!H166+'ต.ค.-ธ.ค.'!I166+'ต.ค.-ธ.ค.'!M166+'ต.ค.-ธ.ค.'!Q166+'ต.ค.-ธ.ค.'!S166</f>
        <v>0</v>
      </c>
      <c r="E163" s="177">
        <f>+'ม.ค.-มี.ค.'!D165+'ม.ค.-มี.ค.'!E165+'ม.ค.-มี.ค.'!F165+'ม.ค.-มี.ค.'!G165+'ม.ค.-มี.ค.'!H165+'ม.ค.-มี.ค.'!I165+'ม.ค.-มี.ค.'!J165+'ม.ค.-มี.ค.'!K165+'ม.ค.-มี.ค.'!L165+'ม.ค.-มี.ค.'!M165+'ม.ค.-มี.ค.'!N165+'ม.ค.-มี.ค.'!O165+'ม.ค.-มี.ค.'!P165+'ม.ค.-มี.ค.'!Q165+'ม.ค.-มี.ค.'!R165+'ม.ค.-มี.ค.'!S165+'ม.ค.-มี.ค.'!U165+'ม.ค.-มี.ค.'!V165</f>
        <v>0</v>
      </c>
      <c r="F163" s="177">
        <f>+เม.ย.!D164+เม.ย.!E164+เม.ย.!F164+เม.ย.!H164+เม.ย.!I164+เม.ย.!M164+เม.ย.!N164+เม.ย.!P164+เม.ย.!R164</f>
        <v>0</v>
      </c>
      <c r="G163" s="199"/>
      <c r="H163" s="179">
        <f t="shared" si="14"/>
        <v>0</v>
      </c>
      <c r="I163" s="208">
        <f t="shared" si="13"/>
        <v>20000</v>
      </c>
      <c r="J163" s="233"/>
      <c r="K163" s="329"/>
      <c r="L163" s="330"/>
      <c r="M163" s="330"/>
    </row>
    <row r="164" spans="1:13" s="172" customFormat="1" ht="21.75" customHeight="1">
      <c r="A164" s="9"/>
      <c r="B164" s="187" t="s">
        <v>376</v>
      </c>
      <c r="C164" s="279">
        <v>25000</v>
      </c>
      <c r="D164" s="177">
        <f>+'ต.ค.-ธ.ค.'!E167+'ต.ค.-ธ.ค.'!F167+'ต.ค.-ธ.ค.'!H167+'ต.ค.-ธ.ค.'!I167+'ต.ค.-ธ.ค.'!M167+'ต.ค.-ธ.ค.'!Q167+'ต.ค.-ธ.ค.'!S167</f>
        <v>0</v>
      </c>
      <c r="E164" s="177">
        <f>+'ม.ค.-มี.ค.'!D166+'ม.ค.-มี.ค.'!E166+'ม.ค.-มี.ค.'!F166+'ม.ค.-มี.ค.'!G166+'ม.ค.-มี.ค.'!H166+'ม.ค.-มี.ค.'!I166+'ม.ค.-มี.ค.'!J166+'ม.ค.-มี.ค.'!K166+'ม.ค.-มี.ค.'!L166+'ม.ค.-มี.ค.'!M166+'ม.ค.-มี.ค.'!N166+'ม.ค.-มี.ค.'!O166+'ม.ค.-มี.ค.'!P166+'ม.ค.-มี.ค.'!Q166+'ม.ค.-มี.ค.'!R166+'ม.ค.-มี.ค.'!S166+'ม.ค.-มี.ค.'!U166+'ม.ค.-มี.ค.'!V166</f>
        <v>0</v>
      </c>
      <c r="F164" s="177">
        <f>+เม.ย.!D165+เม.ย.!E165+เม.ย.!F165+เม.ย.!H165+เม.ย.!I165+เม.ย.!M165+เม.ย.!N165+เม.ย.!P165+เม.ย.!R165</f>
        <v>0</v>
      </c>
      <c r="G164" s="199"/>
      <c r="H164" s="179">
        <f t="shared" si="14"/>
        <v>0</v>
      </c>
      <c r="I164" s="208">
        <f t="shared" si="13"/>
        <v>25000</v>
      </c>
      <c r="J164" s="233"/>
      <c r="K164" s="329"/>
      <c r="L164" s="330"/>
      <c r="M164" s="330"/>
    </row>
    <row r="165" spans="1:13" s="172" customFormat="1" ht="21.75" customHeight="1">
      <c r="A165" s="9"/>
      <c r="B165" s="187" t="s">
        <v>377</v>
      </c>
      <c r="C165" s="279">
        <v>20000</v>
      </c>
      <c r="D165" s="177">
        <f>+'ต.ค.-ธ.ค.'!E168+'ต.ค.-ธ.ค.'!F168+'ต.ค.-ธ.ค.'!H168+'ต.ค.-ธ.ค.'!I168+'ต.ค.-ธ.ค.'!M168+'ต.ค.-ธ.ค.'!Q168+'ต.ค.-ธ.ค.'!S168</f>
        <v>0</v>
      </c>
      <c r="E165" s="177">
        <f>+'ม.ค.-มี.ค.'!D167+'ม.ค.-มี.ค.'!E167+'ม.ค.-มี.ค.'!F167+'ม.ค.-มี.ค.'!G167+'ม.ค.-มี.ค.'!H167+'ม.ค.-มี.ค.'!I167+'ม.ค.-มี.ค.'!J167+'ม.ค.-มี.ค.'!K167+'ม.ค.-มี.ค.'!L167+'ม.ค.-มี.ค.'!M167+'ม.ค.-มี.ค.'!N167+'ม.ค.-มี.ค.'!O167+'ม.ค.-มี.ค.'!P167+'ม.ค.-มี.ค.'!Q167+'ม.ค.-มี.ค.'!R167+'ม.ค.-มี.ค.'!S167+'ม.ค.-มี.ค.'!U167+'ม.ค.-มี.ค.'!V167</f>
        <v>0</v>
      </c>
      <c r="F165" s="177">
        <f>+เม.ย.!D166+เม.ย.!E166+เม.ย.!F166+เม.ย.!H166+เม.ย.!I166+เม.ย.!M166+เม.ย.!N166+เม.ย.!P166+เม.ย.!R166</f>
        <v>0</v>
      </c>
      <c r="G165" s="199"/>
      <c r="H165" s="179">
        <f t="shared" si="14"/>
        <v>0</v>
      </c>
      <c r="I165" s="208">
        <f t="shared" si="13"/>
        <v>20000</v>
      </c>
      <c r="J165" s="233"/>
      <c r="K165" s="329"/>
      <c r="L165" s="330"/>
      <c r="M165" s="330"/>
    </row>
    <row r="166" spans="1:13" s="172" customFormat="1" ht="21.75" customHeight="1">
      <c r="A166" s="9"/>
      <c r="B166" s="187" t="s">
        <v>267</v>
      </c>
      <c r="C166" s="279">
        <v>15000</v>
      </c>
      <c r="D166" s="177">
        <f>+'ต.ค.-ธ.ค.'!E169+'ต.ค.-ธ.ค.'!F169+'ต.ค.-ธ.ค.'!H169+'ต.ค.-ธ.ค.'!I169+'ต.ค.-ธ.ค.'!M169+'ต.ค.-ธ.ค.'!Q169+'ต.ค.-ธ.ค.'!S169</f>
        <v>0</v>
      </c>
      <c r="E166" s="177">
        <f>+'ม.ค.-มี.ค.'!D168+'ม.ค.-มี.ค.'!E168+'ม.ค.-มี.ค.'!F168+'ม.ค.-มี.ค.'!G168+'ม.ค.-มี.ค.'!H168+'ม.ค.-มี.ค.'!I168+'ม.ค.-มี.ค.'!J168+'ม.ค.-มี.ค.'!K168+'ม.ค.-มี.ค.'!L168+'ม.ค.-มี.ค.'!M168+'ม.ค.-มี.ค.'!N168+'ม.ค.-มี.ค.'!O168+'ม.ค.-มี.ค.'!P168+'ม.ค.-มี.ค.'!Q168+'ม.ค.-มี.ค.'!R168+'ม.ค.-มี.ค.'!S168+'ม.ค.-มี.ค.'!U168+'ม.ค.-มี.ค.'!V168</f>
        <v>0</v>
      </c>
      <c r="F166" s="177">
        <f>+เม.ย.!D167+เม.ย.!E167+เม.ย.!F167+เม.ย.!H167+เม.ย.!I167+เม.ย.!M167+เม.ย.!N167+เม.ย.!P167+เม.ย.!R167</f>
        <v>0</v>
      </c>
      <c r="G166" s="199"/>
      <c r="H166" s="179">
        <f t="shared" si="14"/>
        <v>0</v>
      </c>
      <c r="I166" s="208">
        <f t="shared" si="13"/>
        <v>15000</v>
      </c>
      <c r="J166" s="233"/>
      <c r="K166" s="329"/>
      <c r="L166" s="330"/>
      <c r="M166" s="330"/>
    </row>
    <row r="167" spans="1:13" s="172" customFormat="1" ht="21.75" customHeight="1">
      <c r="A167" s="9"/>
      <c r="B167" s="187" t="s">
        <v>215</v>
      </c>
      <c r="C167" s="279">
        <v>10000</v>
      </c>
      <c r="D167" s="177">
        <f>+'ต.ค.-ธ.ค.'!E170+'ต.ค.-ธ.ค.'!F170+'ต.ค.-ธ.ค.'!H170+'ต.ค.-ธ.ค.'!I170+'ต.ค.-ธ.ค.'!M170+'ต.ค.-ธ.ค.'!Q170+'ต.ค.-ธ.ค.'!S170</f>
        <v>0</v>
      </c>
      <c r="E167" s="177">
        <f>+'ม.ค.-มี.ค.'!D169+'ม.ค.-มี.ค.'!E169+'ม.ค.-มี.ค.'!F169+'ม.ค.-มี.ค.'!G169+'ม.ค.-มี.ค.'!H169+'ม.ค.-มี.ค.'!I169+'ม.ค.-มี.ค.'!J169+'ม.ค.-มี.ค.'!K169+'ม.ค.-มี.ค.'!L169+'ม.ค.-มี.ค.'!M169+'ม.ค.-มี.ค.'!N169+'ม.ค.-มี.ค.'!O169+'ม.ค.-มี.ค.'!P169+'ม.ค.-มี.ค.'!Q169+'ม.ค.-มี.ค.'!R169+'ม.ค.-มี.ค.'!S169+'ม.ค.-มี.ค.'!U169+'ม.ค.-มี.ค.'!V169</f>
        <v>0</v>
      </c>
      <c r="F167" s="177">
        <f>+เม.ย.!D168+เม.ย.!E168+เม.ย.!F168+เม.ย.!H168+เม.ย.!I168+เม.ย.!M168+เม.ย.!N168+เม.ย.!P168+เม.ย.!R168</f>
        <v>0</v>
      </c>
      <c r="G167" s="199"/>
      <c r="H167" s="179">
        <f t="shared" si="14"/>
        <v>0</v>
      </c>
      <c r="I167" s="208">
        <f t="shared" si="13"/>
        <v>10000</v>
      </c>
      <c r="J167" s="233"/>
      <c r="K167" s="329"/>
      <c r="L167" s="330"/>
      <c r="M167" s="330"/>
    </row>
    <row r="168" spans="1:13" s="172" customFormat="1" ht="21.75" customHeight="1">
      <c r="A168" s="9"/>
      <c r="B168" s="187" t="s">
        <v>268</v>
      </c>
      <c r="C168" s="279">
        <v>5000</v>
      </c>
      <c r="D168" s="177">
        <f>+'ต.ค.-ธ.ค.'!E171+'ต.ค.-ธ.ค.'!F171+'ต.ค.-ธ.ค.'!H171+'ต.ค.-ธ.ค.'!I171+'ต.ค.-ธ.ค.'!M171+'ต.ค.-ธ.ค.'!Q171+'ต.ค.-ธ.ค.'!S171</f>
        <v>0</v>
      </c>
      <c r="E168" s="177">
        <f>+'ม.ค.-มี.ค.'!D170+'ม.ค.-มี.ค.'!E170+'ม.ค.-มี.ค.'!F170+'ม.ค.-มี.ค.'!G170+'ม.ค.-มี.ค.'!H170+'ม.ค.-มี.ค.'!I170+'ม.ค.-มี.ค.'!J170+'ม.ค.-มี.ค.'!K170+'ม.ค.-มี.ค.'!L170+'ม.ค.-มี.ค.'!M170+'ม.ค.-มี.ค.'!N170+'ม.ค.-มี.ค.'!O170+'ม.ค.-มี.ค.'!P170+'ม.ค.-มี.ค.'!Q170+'ม.ค.-มี.ค.'!R170+'ม.ค.-มี.ค.'!S170+'ม.ค.-มี.ค.'!U170+'ม.ค.-มี.ค.'!V170</f>
        <v>4715</v>
      </c>
      <c r="F168" s="177">
        <f>+เม.ย.!D169+เม.ย.!E169+เม.ย.!F169+เม.ย.!H169+เม.ย.!I169+เม.ย.!M169+เม.ย.!N169+เม.ย.!P169+เม.ย.!R169</f>
        <v>0</v>
      </c>
      <c r="G168" s="199"/>
      <c r="H168" s="179">
        <f t="shared" si="14"/>
        <v>4715</v>
      </c>
      <c r="I168" s="208">
        <f t="shared" si="13"/>
        <v>285</v>
      </c>
      <c r="J168" s="233"/>
      <c r="K168" s="329"/>
      <c r="L168" s="330"/>
      <c r="M168" s="330"/>
    </row>
    <row r="169" spans="1:13" s="172" customFormat="1" ht="21.75" customHeight="1">
      <c r="A169" s="9"/>
      <c r="B169" s="187" t="s">
        <v>413</v>
      </c>
      <c r="C169" s="279">
        <v>140000</v>
      </c>
      <c r="D169" s="177"/>
      <c r="E169" s="177">
        <f>+'ม.ค.-มี.ค.'!D171+'ม.ค.-มี.ค.'!E171+'ม.ค.-มี.ค.'!F171+'ม.ค.-มี.ค.'!G171+'ม.ค.-มี.ค.'!H171+'ม.ค.-มี.ค.'!I171+'ม.ค.-มี.ค.'!J171+'ม.ค.-มี.ค.'!K171+'ม.ค.-มี.ค.'!L171+'ม.ค.-มี.ค.'!M171+'ม.ค.-มี.ค.'!N171+'ม.ค.-มี.ค.'!O171+'ม.ค.-มี.ค.'!P171+'ม.ค.-มี.ค.'!Q171+'ม.ค.-มี.ค.'!R171+'ม.ค.-มี.ค.'!S171+'ม.ค.-มี.ค.'!U171+'ม.ค.-มี.ค.'!V171</f>
        <v>27080</v>
      </c>
      <c r="F169" s="177">
        <f>+เม.ย.!D170+เม.ย.!E170+เม.ย.!F170+เม.ย.!H170+เม.ย.!I170+เม.ย.!M170+เม.ย.!N170+เม.ย.!P170+เม.ย.!R170</f>
        <v>112880</v>
      </c>
      <c r="G169" s="199"/>
      <c r="H169" s="179">
        <f t="shared" si="14"/>
        <v>139960</v>
      </c>
      <c r="I169" s="208">
        <f t="shared" si="13"/>
        <v>40</v>
      </c>
      <c r="J169" s="233"/>
      <c r="K169" s="329"/>
      <c r="L169" s="330"/>
      <c r="M169" s="330"/>
    </row>
    <row r="170" spans="1:13" s="172" customFormat="1" ht="21.75" customHeight="1">
      <c r="A170" s="9"/>
      <c r="B170" s="187" t="s">
        <v>414</v>
      </c>
      <c r="C170" s="279">
        <v>40000</v>
      </c>
      <c r="D170" s="177"/>
      <c r="E170" s="177">
        <f>+'ม.ค.-มี.ค.'!D172+'ม.ค.-มี.ค.'!E172+'ม.ค.-มี.ค.'!F172+'ม.ค.-มี.ค.'!G172+'ม.ค.-มี.ค.'!H172+'ม.ค.-มี.ค.'!I172+'ม.ค.-มี.ค.'!J172+'ม.ค.-มี.ค.'!K172+'ม.ค.-มี.ค.'!L172+'ม.ค.-มี.ค.'!M172+'ม.ค.-มี.ค.'!N172+'ม.ค.-มี.ค.'!O172+'ม.ค.-มี.ค.'!P172+'ม.ค.-มี.ค.'!Q172+'ม.ค.-มี.ค.'!R172+'ม.ค.-มี.ค.'!S172+'ม.ค.-มี.ค.'!U172+'ม.ค.-มี.ค.'!V172</f>
        <v>37080</v>
      </c>
      <c r="F170" s="177">
        <f>+เม.ย.!D171+เม.ย.!E171+เม.ย.!F171+เม.ย.!H171+เม.ย.!I171+เม.ย.!M171+เม.ย.!N171+เม.ย.!P171+เม.ย.!R171</f>
        <v>0</v>
      </c>
      <c r="G170" s="199"/>
      <c r="H170" s="179">
        <f t="shared" si="14"/>
        <v>37080</v>
      </c>
      <c r="I170" s="208">
        <f t="shared" si="13"/>
        <v>2920</v>
      </c>
      <c r="J170" s="233"/>
      <c r="K170" s="329"/>
      <c r="L170" s="330"/>
      <c r="M170" s="330"/>
    </row>
    <row r="171" spans="1:13" s="172" customFormat="1" ht="21.75" customHeight="1">
      <c r="A171" s="9"/>
      <c r="B171" s="187" t="s">
        <v>415</v>
      </c>
      <c r="C171" s="279">
        <v>20000</v>
      </c>
      <c r="D171" s="177"/>
      <c r="E171" s="177">
        <f>+'ม.ค.-มี.ค.'!D173+'ม.ค.-มี.ค.'!E173+'ม.ค.-มี.ค.'!F173+'ม.ค.-มี.ค.'!G173+'ม.ค.-มี.ค.'!H173+'ม.ค.-มี.ค.'!I173+'ม.ค.-มี.ค.'!J173+'ม.ค.-มี.ค.'!K173+'ม.ค.-มี.ค.'!L173+'ม.ค.-มี.ค.'!M173+'ม.ค.-มี.ค.'!N173+'ม.ค.-มี.ค.'!O173+'ม.ค.-มี.ค.'!P173+'ม.ค.-มี.ค.'!Q173+'ม.ค.-มี.ค.'!R173+'ม.ค.-มี.ค.'!S173+'ม.ค.-มี.ค.'!U173+'ม.ค.-มี.ค.'!V173</f>
        <v>1200</v>
      </c>
      <c r="F171" s="177">
        <f>+เม.ย.!D172+เม.ย.!E172+เม.ย.!F172+เม.ย.!H172+เม.ย.!I172+เม.ย.!M172+เม.ย.!N172+เม.ย.!P172+เม.ย.!R172</f>
        <v>18800</v>
      </c>
      <c r="G171" s="199"/>
      <c r="H171" s="179">
        <f t="shared" si="14"/>
        <v>20000</v>
      </c>
      <c r="I171" s="208">
        <f t="shared" si="13"/>
        <v>0</v>
      </c>
      <c r="J171" s="233"/>
      <c r="K171" s="329"/>
      <c r="L171" s="330"/>
      <c r="M171" s="330"/>
    </row>
    <row r="172" spans="1:13" s="172" customFormat="1" ht="21.75" customHeight="1">
      <c r="A172" s="9"/>
      <c r="B172" s="187" t="s">
        <v>330</v>
      </c>
      <c r="C172" s="279"/>
      <c r="D172" s="177"/>
      <c r="E172" s="177">
        <f>+'ม.ค.-มี.ค.'!E174+'ม.ค.-มี.ค.'!F174+'ม.ค.-มี.ค.'!H174+'ม.ค.-มี.ค.'!I174+'ม.ค.-มี.ค.'!K174+'ม.ค.-มี.ค.'!M174+'ม.ค.-มี.ค.'!N174+'ม.ค.-มี.ค.'!V174</f>
        <v>0</v>
      </c>
      <c r="F172" s="177">
        <f>+เม.ย.!D173+เม.ย.!E173+เม.ย.!F173+เม.ย.!H173+เม.ย.!I173+เม.ย.!M173+เม.ย.!N173+เม.ย.!P173+เม.ย.!R173</f>
        <v>0</v>
      </c>
      <c r="G172" s="199"/>
      <c r="H172" s="179">
        <f t="shared" si="14"/>
        <v>0</v>
      </c>
      <c r="I172" s="208">
        <f t="shared" si="13"/>
        <v>0</v>
      </c>
      <c r="J172" s="233"/>
      <c r="K172" s="329"/>
      <c r="L172" s="330"/>
      <c r="M172" s="330"/>
    </row>
    <row r="173" spans="1:13" s="172" customFormat="1" ht="21.75" customHeight="1">
      <c r="A173" s="9"/>
      <c r="B173" s="187"/>
      <c r="C173" s="279"/>
      <c r="D173" s="177"/>
      <c r="E173" s="177"/>
      <c r="F173" s="177"/>
      <c r="G173" s="199"/>
      <c r="H173" s="179"/>
      <c r="I173" s="209"/>
      <c r="J173" s="233"/>
      <c r="K173" s="329"/>
      <c r="L173" s="330"/>
      <c r="M173" s="330"/>
    </row>
    <row r="174" spans="1:13" s="221" customFormat="1" ht="21.75" customHeight="1" thickBot="1">
      <c r="A174" s="15"/>
      <c r="B174" s="14" t="s">
        <v>5</v>
      </c>
      <c r="C174" s="170">
        <f>SUM(C49:C173)</f>
        <v>6047700</v>
      </c>
      <c r="D174" s="26">
        <f>SUM(D49:D173)</f>
        <v>1392690</v>
      </c>
      <c r="E174" s="26">
        <f>SUM(E49:E173)</f>
        <v>1541883</v>
      </c>
      <c r="F174" s="235">
        <f>SUM(F49:F173)</f>
        <v>599317</v>
      </c>
      <c r="G174" s="26">
        <f>SUM(G49:G173)</f>
        <v>0</v>
      </c>
      <c r="H174" s="26">
        <f t="shared" si="14"/>
        <v>3533890</v>
      </c>
      <c r="I174" s="223">
        <f>+C174-H174</f>
        <v>2513810</v>
      </c>
      <c r="J174" s="244"/>
      <c r="K174" s="329"/>
      <c r="L174" s="330"/>
      <c r="M174" s="330"/>
    </row>
    <row r="175" spans="1:13" ht="21.75" customHeight="1" thickTop="1">
      <c r="A175" s="3" t="s">
        <v>113</v>
      </c>
      <c r="B175" s="4"/>
      <c r="C175" s="287"/>
      <c r="D175" s="201"/>
      <c r="E175" s="201"/>
      <c r="F175" s="231"/>
      <c r="G175" s="201"/>
      <c r="H175" s="201"/>
      <c r="I175" s="211"/>
    </row>
    <row r="176" spans="1:13" ht="21.75" customHeight="1">
      <c r="A176" s="9"/>
      <c r="B176" s="130" t="s">
        <v>111</v>
      </c>
      <c r="C176" s="216">
        <f>50000+25000+5000+25000+10000+10000-8000</f>
        <v>117000</v>
      </c>
      <c r="D176" s="240">
        <f>+'ต.ค.-ธ.ค.'!D179+'ต.ค.-ธ.ค.'!E179+'ต.ค.-ธ.ค.'!F179+'ต.ค.-ธ.ค.'!H179+'ต.ค.-ธ.ค.'!I179+'ต.ค.-ธ.ค.'!M179+'ต.ค.-ธ.ค.'!S179</f>
        <v>15519</v>
      </c>
      <c r="E176" s="240">
        <f>+'ม.ค.-มี.ค.'!E178+'ม.ค.-มี.ค.'!F178+'ม.ค.-มี.ค.'!H178+'ม.ค.-มี.ค.'!I178+'ม.ค.-มี.ค.'!K178+'ม.ค.-มี.ค.'!M178+'ม.ค.-มี.ค.'!N178+'ม.ค.-มี.ค.'!V178</f>
        <v>50661.8</v>
      </c>
      <c r="F176" s="177">
        <f>+เม.ย.!D177+เม.ย.!E177+เม.ย.!F177+เม.ย.!H177+เม.ย.!I177+เม.ย.!M177+เม.ย.!N177+เม.ย.!P177+เม.ย.!R177</f>
        <v>6649</v>
      </c>
      <c r="G176" s="224"/>
      <c r="H176" s="224">
        <f>SUM(D176:G176)</f>
        <v>72829.8</v>
      </c>
      <c r="I176" s="205">
        <f>+C176-H176</f>
        <v>44170.2</v>
      </c>
      <c r="J176" s="244"/>
    </row>
    <row r="177" spans="1:13" ht="21.75" customHeight="1">
      <c r="A177" s="9"/>
      <c r="B177" s="130" t="s">
        <v>302</v>
      </c>
      <c r="C177" s="216">
        <v>10000</v>
      </c>
      <c r="D177" s="240">
        <f>+'ต.ค.-ธ.ค.'!D180+'ต.ค.-ธ.ค.'!E180+'ต.ค.-ธ.ค.'!F180+'ต.ค.-ธ.ค.'!H180+'ต.ค.-ธ.ค.'!I180+'ต.ค.-ธ.ค.'!M180+'ต.ค.-ธ.ค.'!S180</f>
        <v>500</v>
      </c>
      <c r="E177" s="240">
        <f>+'ม.ค.-มี.ค.'!E179+'ม.ค.-มี.ค.'!F179+'ม.ค.-มี.ค.'!H179+'ม.ค.-มี.ค.'!I179+'ม.ค.-มี.ค.'!K179+'ม.ค.-มี.ค.'!M179+'ม.ค.-มี.ค.'!N179+'ม.ค.-มี.ค.'!V179</f>
        <v>0</v>
      </c>
      <c r="F177" s="177">
        <f>+เม.ย.!D178+เม.ย.!E178+เม.ย.!F178+เม.ย.!H178+เม.ย.!I178+เม.ย.!M178+เม.ย.!N178+เม.ย.!P178+เม.ย.!R178</f>
        <v>0</v>
      </c>
      <c r="G177" s="224"/>
      <c r="H177" s="224"/>
      <c r="I177" s="205"/>
      <c r="J177" s="244"/>
    </row>
    <row r="178" spans="1:13" s="168" customFormat="1" ht="21.75" customHeight="1">
      <c r="A178" s="9"/>
      <c r="B178" s="130" t="s">
        <v>16</v>
      </c>
      <c r="C178" s="216">
        <f>8000+200000+5000</f>
        <v>213000</v>
      </c>
      <c r="D178" s="240">
        <f>+'ต.ค.-ธ.ค.'!D181+'ต.ค.-ธ.ค.'!E181+'ต.ค.-ธ.ค.'!F181+'ต.ค.-ธ.ค.'!H181+'ต.ค.-ธ.ค.'!I181+'ต.ค.-ธ.ค.'!M181+'ต.ค.-ธ.ค.'!S181</f>
        <v>1039</v>
      </c>
      <c r="E178" s="240">
        <f>+'ม.ค.-มี.ค.'!E180+'ม.ค.-มี.ค.'!F180+'ม.ค.-มี.ค.'!H180+'ม.ค.-มี.ค.'!I180+'ม.ค.-มี.ค.'!K180+'ม.ค.-มี.ค.'!M180+'ม.ค.-มี.ค.'!N180+'ม.ค.-มี.ค.'!V180</f>
        <v>79750</v>
      </c>
      <c r="F178" s="177">
        <f>+เม.ย.!D179+เม.ย.!E179+เม.ย.!F179+เม.ย.!H179+เม.ย.!I179+เม.ย.!M179+เม.ย.!N179+เม.ย.!P179+เม.ย.!R179</f>
        <v>0</v>
      </c>
      <c r="G178" s="177"/>
      <c r="H178" s="224">
        <f t="shared" ref="H178:H201" si="15">SUM(D178:G178)</f>
        <v>80789</v>
      </c>
      <c r="I178" s="205">
        <f t="shared" ref="I178:I201" si="16">+C178-H178</f>
        <v>132211</v>
      </c>
      <c r="J178" s="233"/>
      <c r="K178" s="331"/>
      <c r="L178" s="247"/>
      <c r="M178" s="247"/>
    </row>
    <row r="179" spans="1:13" s="172" customFormat="1" ht="21.75" customHeight="1">
      <c r="A179" s="9"/>
      <c r="B179" s="130" t="s">
        <v>12</v>
      </c>
      <c r="C179" s="216">
        <f>15000+10000</f>
        <v>25000</v>
      </c>
      <c r="D179" s="240">
        <f>+'ต.ค.-ธ.ค.'!D182+'ต.ค.-ธ.ค.'!E182+'ต.ค.-ธ.ค.'!F182+'ต.ค.-ธ.ค.'!H182+'ต.ค.-ธ.ค.'!I182+'ต.ค.-ธ.ค.'!M182+'ต.ค.-ธ.ค.'!S182</f>
        <v>9570</v>
      </c>
      <c r="E179" s="240">
        <f>+'ม.ค.-มี.ค.'!E181+'ม.ค.-มี.ค.'!F181+'ม.ค.-มี.ค.'!H181+'ม.ค.-มี.ค.'!I181+'ม.ค.-มี.ค.'!K181+'ม.ค.-มี.ค.'!M181+'ม.ค.-มี.ค.'!N181+'ม.ค.-มี.ค.'!V181</f>
        <v>8703</v>
      </c>
      <c r="F179" s="177">
        <f>+เม.ย.!D180+เม.ย.!E180+เม.ย.!F180+เม.ย.!H180+เม.ย.!I180+เม.ย.!M180+เม.ย.!N180+เม.ย.!P180+เม.ย.!R180</f>
        <v>0</v>
      </c>
      <c r="G179" s="177"/>
      <c r="H179" s="224">
        <f t="shared" si="15"/>
        <v>18273</v>
      </c>
      <c r="I179" s="205">
        <f t="shared" si="16"/>
        <v>6727</v>
      </c>
      <c r="J179" s="244"/>
      <c r="K179" s="329"/>
      <c r="L179" s="330"/>
      <c r="M179" s="330"/>
    </row>
    <row r="180" spans="1:13" ht="21.75" customHeight="1">
      <c r="A180" s="9"/>
      <c r="B180" s="130" t="s">
        <v>17</v>
      </c>
      <c r="C180" s="216">
        <f>15000+25000+20000-10000+8000</f>
        <v>58000</v>
      </c>
      <c r="D180" s="240">
        <f>+'ต.ค.-ธ.ค.'!D183+'ต.ค.-ธ.ค.'!E183+'ต.ค.-ธ.ค.'!F183+'ต.ค.-ธ.ค.'!H183+'ต.ค.-ธ.ค.'!I183+'ต.ค.-ธ.ค.'!M183+'ต.ค.-ธ.ค.'!S183</f>
        <v>4320</v>
      </c>
      <c r="E180" s="240">
        <f>+'ม.ค.-มี.ค.'!E182+'ม.ค.-มี.ค.'!F182+'ม.ค.-มี.ค.'!H182+'ม.ค.-มี.ค.'!I182+'ม.ค.-มี.ค.'!K182+'ม.ค.-มี.ค.'!M182+'ม.ค.-มี.ค.'!N182+'ม.ค.-มี.ค.'!V182</f>
        <v>11271</v>
      </c>
      <c r="F180" s="177">
        <f>+เม.ย.!D181+เม.ย.!E181+เม.ย.!F181+เม.ย.!H181+เม.ย.!I181+เม.ย.!M181+เม.ย.!N181+เม.ย.!P181+เม.ย.!R181</f>
        <v>0</v>
      </c>
      <c r="G180" s="180"/>
      <c r="H180" s="224">
        <f t="shared" si="15"/>
        <v>15591</v>
      </c>
      <c r="I180" s="205">
        <f t="shared" si="16"/>
        <v>42409</v>
      </c>
      <c r="J180" s="244"/>
    </row>
    <row r="181" spans="1:13" s="168" customFormat="1" ht="21.75" customHeight="1">
      <c r="A181" s="9"/>
      <c r="B181" s="130" t="s">
        <v>13</v>
      </c>
      <c r="C181" s="216">
        <v>15000</v>
      </c>
      <c r="D181" s="240">
        <f>+'ต.ค.-ธ.ค.'!D184+'ต.ค.-ธ.ค.'!E184+'ต.ค.-ธ.ค.'!F184+'ต.ค.-ธ.ค.'!H184+'ต.ค.-ธ.ค.'!I184+'ต.ค.-ธ.ค.'!M184+'ต.ค.-ธ.ค.'!S184</f>
        <v>0</v>
      </c>
      <c r="E181" s="240">
        <f>+'ม.ค.-มี.ค.'!E183+'ม.ค.-มี.ค.'!F183+'ม.ค.-มี.ค.'!H183+'ม.ค.-มี.ค.'!I183+'ม.ค.-มี.ค.'!K183+'ม.ค.-มี.ค.'!M183+'ม.ค.-มี.ค.'!N183+'ม.ค.-มี.ค.'!V183</f>
        <v>0</v>
      </c>
      <c r="F181" s="177">
        <f>+เม.ย.!D182+เม.ย.!E182+เม.ย.!F182+เม.ย.!H182+เม.ย.!I182+เม.ย.!M182+เม.ย.!N182+เม.ย.!P182+เม.ย.!R182</f>
        <v>0</v>
      </c>
      <c r="G181" s="179"/>
      <c r="H181" s="224">
        <f t="shared" si="15"/>
        <v>0</v>
      </c>
      <c r="I181" s="205">
        <f t="shared" si="16"/>
        <v>15000</v>
      </c>
      <c r="J181" s="244"/>
      <c r="K181" s="331"/>
      <c r="L181" s="247"/>
      <c r="M181" s="247"/>
    </row>
    <row r="182" spans="1:13" s="168" customFormat="1" ht="21.75" customHeight="1">
      <c r="A182" s="9"/>
      <c r="B182" s="130" t="s">
        <v>14</v>
      </c>
      <c r="C182" s="216">
        <f>240000+5000+20000+5000</f>
        <v>270000</v>
      </c>
      <c r="D182" s="240">
        <f>+'ต.ค.-ธ.ค.'!D185+'ต.ค.-ธ.ค.'!E185+'ต.ค.-ธ.ค.'!F185+'ต.ค.-ธ.ค.'!H185+'ต.ค.-ธ.ค.'!I185+'ต.ค.-ธ.ค.'!M185+'ต.ค.-ธ.ค.'!S185</f>
        <v>40588.5</v>
      </c>
      <c r="E182" s="240">
        <f>+'ม.ค.-มี.ค.'!E184+'ม.ค.-มี.ค.'!F184+'ม.ค.-มี.ค.'!H184+'ม.ค.-มี.ค.'!I184+'ม.ค.-มี.ค.'!K184+'ม.ค.-มี.ค.'!M184+'ม.ค.-มี.ค.'!N184+'ม.ค.-มี.ค.'!V184</f>
        <v>67289.3</v>
      </c>
      <c r="F182" s="177">
        <f>+เม.ย.!D183+เม.ย.!E183+เม.ย.!F183+เม.ย.!H183+เม.ย.!I183+เม.ย.!M183+เม.ย.!N183+เม.ย.!P183+เม.ย.!R183</f>
        <v>20323.599999999999</v>
      </c>
      <c r="G182" s="179"/>
      <c r="H182" s="224">
        <f t="shared" si="15"/>
        <v>128201.4</v>
      </c>
      <c r="I182" s="205">
        <f t="shared" si="16"/>
        <v>141798.6</v>
      </c>
      <c r="J182" s="244"/>
      <c r="K182" s="331"/>
      <c r="L182" s="247"/>
      <c r="M182" s="247"/>
    </row>
    <row r="183" spans="1:13" ht="21.75" customHeight="1">
      <c r="A183" s="9"/>
      <c r="B183" s="130" t="s">
        <v>112</v>
      </c>
      <c r="C183" s="216">
        <f>5000+5000+5000</f>
        <v>15000</v>
      </c>
      <c r="D183" s="240">
        <f>+'ต.ค.-ธ.ค.'!D186+'ต.ค.-ธ.ค.'!E186+'ต.ค.-ธ.ค.'!F186+'ต.ค.-ธ.ค.'!H186+'ต.ค.-ธ.ค.'!I186+'ต.ค.-ธ.ค.'!M186+'ต.ค.-ธ.ค.'!S186</f>
        <v>0</v>
      </c>
      <c r="E183" s="240">
        <f>+'ม.ค.-มี.ค.'!E185+'ม.ค.-มี.ค.'!F185+'ม.ค.-มี.ค.'!H185+'ม.ค.-มี.ค.'!I185+'ม.ค.-มี.ค.'!K185+'ม.ค.-มี.ค.'!M185+'ม.ค.-มี.ค.'!N185+'ม.ค.-มี.ค.'!V185</f>
        <v>0</v>
      </c>
      <c r="F183" s="177">
        <f>+เม.ย.!D184+เม.ย.!E184+เม.ย.!F184+เม.ย.!H184+เม.ย.!I184+เม.ย.!M184+เม.ย.!N184+เม.ย.!P184+เม.ย.!R184</f>
        <v>0</v>
      </c>
      <c r="G183" s="179"/>
      <c r="H183" s="224">
        <f t="shared" si="15"/>
        <v>0</v>
      </c>
      <c r="I183" s="205">
        <f t="shared" si="16"/>
        <v>15000</v>
      </c>
      <c r="J183" s="244"/>
    </row>
    <row r="184" spans="1:13" ht="21.75" customHeight="1">
      <c r="A184" s="9"/>
      <c r="B184" s="130" t="s">
        <v>208</v>
      </c>
      <c r="C184" s="216">
        <v>5000</v>
      </c>
      <c r="D184" s="240">
        <f>+'ต.ค.-ธ.ค.'!D187+'ต.ค.-ธ.ค.'!E187+'ต.ค.-ธ.ค.'!F187+'ต.ค.-ธ.ค.'!H187+'ต.ค.-ธ.ค.'!I187+'ต.ค.-ธ.ค.'!M187+'ต.ค.-ธ.ค.'!S187</f>
        <v>0</v>
      </c>
      <c r="E184" s="240">
        <f>+'ม.ค.-มี.ค.'!E186+'ม.ค.-มี.ค.'!F186+'ม.ค.-มี.ค.'!H186+'ม.ค.-มี.ค.'!I186+'ม.ค.-มี.ค.'!K186+'ม.ค.-มี.ค.'!M186+'ม.ค.-มี.ค.'!N186+'ม.ค.-มี.ค.'!V186</f>
        <v>540</v>
      </c>
      <c r="F184" s="177">
        <f>+เม.ย.!D185+เม.ย.!E185+เม.ย.!F185+เม.ย.!H185+เม.ย.!I185+เม.ย.!M185+เม.ย.!N185+เม.ย.!P185+เม.ย.!R185</f>
        <v>0</v>
      </c>
      <c r="G184" s="179"/>
      <c r="H184" s="224">
        <f t="shared" si="15"/>
        <v>540</v>
      </c>
      <c r="I184" s="205">
        <f t="shared" si="16"/>
        <v>4460</v>
      </c>
      <c r="J184" s="244"/>
    </row>
    <row r="185" spans="1:13" ht="21.75" customHeight="1">
      <c r="A185" s="9"/>
      <c r="B185" s="130" t="s">
        <v>15</v>
      </c>
      <c r="C185" s="216">
        <f>40000+15000+15000+40000</f>
        <v>110000</v>
      </c>
      <c r="D185" s="240">
        <f>+'ต.ค.-ธ.ค.'!D188+'ต.ค.-ธ.ค.'!E188+'ต.ค.-ธ.ค.'!F188+'ต.ค.-ธ.ค.'!H188+'ต.ค.-ธ.ค.'!I188+'ต.ค.-ธ.ค.'!M188+'ต.ค.-ธ.ค.'!S188</f>
        <v>33367</v>
      </c>
      <c r="E185" s="240">
        <f>+'ม.ค.-มี.ค.'!E187+'ม.ค.-มี.ค.'!F187+'ม.ค.-มี.ค.'!H187+'ม.ค.-มี.ค.'!I187+'ม.ค.-มี.ค.'!K187+'ม.ค.-มี.ค.'!M187+'ม.ค.-มี.ค.'!N187+'ม.ค.-มี.ค.'!V187</f>
        <v>10111</v>
      </c>
      <c r="F185" s="177">
        <f>+เม.ย.!D186+เม.ย.!E186+เม.ย.!F186+เม.ย.!H186+เม.ย.!I186+เม.ย.!M186+เม.ย.!N186+เม.ย.!P186+เม.ย.!R186</f>
        <v>0</v>
      </c>
      <c r="G185" s="179"/>
      <c r="H185" s="224">
        <f t="shared" si="15"/>
        <v>43478</v>
      </c>
      <c r="I185" s="205">
        <f t="shared" si="16"/>
        <v>66522</v>
      </c>
      <c r="J185" s="244"/>
    </row>
    <row r="186" spans="1:13" s="172" customFormat="1" ht="21.75" customHeight="1">
      <c r="A186" s="9"/>
      <c r="B186" s="130" t="s">
        <v>303</v>
      </c>
      <c r="C186" s="216">
        <v>10000</v>
      </c>
      <c r="D186" s="240">
        <f>+'ต.ค.-ธ.ค.'!D189+'ต.ค.-ธ.ค.'!E189+'ต.ค.-ธ.ค.'!F189+'ต.ค.-ธ.ค.'!H189+'ต.ค.-ธ.ค.'!I189+'ต.ค.-ธ.ค.'!M189+'ต.ค.-ธ.ค.'!S189</f>
        <v>0</v>
      </c>
      <c r="E186" s="240">
        <f>+'ม.ค.-มี.ค.'!E188+'ม.ค.-มี.ค.'!F188+'ม.ค.-มี.ค.'!H188+'ม.ค.-มี.ค.'!I188+'ม.ค.-มี.ค.'!K188+'ม.ค.-มี.ค.'!M188+'ม.ค.-มี.ค.'!N188+'ม.ค.-มี.ค.'!V188</f>
        <v>0</v>
      </c>
      <c r="F186" s="177">
        <f>+เม.ย.!D187+เม.ย.!E187+เม.ย.!F187+เม.ย.!H187+เม.ย.!I187+เม.ย.!M187+เม.ย.!N187+เม.ย.!P187+เม.ย.!R187</f>
        <v>0</v>
      </c>
      <c r="G186" s="177"/>
      <c r="H186" s="224">
        <f t="shared" si="15"/>
        <v>0</v>
      </c>
      <c r="I186" s="205">
        <f t="shared" si="16"/>
        <v>10000</v>
      </c>
      <c r="J186" s="244"/>
      <c r="K186" s="329"/>
      <c r="L186" s="330"/>
      <c r="M186" s="330"/>
    </row>
    <row r="187" spans="1:13" s="67" customFormat="1" ht="21" customHeight="1">
      <c r="A187" s="9"/>
      <c r="B187" s="130" t="s">
        <v>304</v>
      </c>
      <c r="C187" s="216">
        <f>5000+20000</f>
        <v>25000</v>
      </c>
      <c r="D187" s="240">
        <f>+'ต.ค.-ธ.ค.'!D190+'ต.ค.-ธ.ค.'!E190+'ต.ค.-ธ.ค.'!F190+'ต.ค.-ธ.ค.'!H190+'ต.ค.-ธ.ค.'!I190+'ต.ค.-ธ.ค.'!M190+'ต.ค.-ธ.ค.'!S190</f>
        <v>1758</v>
      </c>
      <c r="E187" s="240">
        <f>+'ม.ค.-มี.ค.'!E189+'ม.ค.-มี.ค.'!F189+'ม.ค.-มี.ค.'!H189+'ม.ค.-มี.ค.'!I189+'ม.ค.-มี.ค.'!K189+'ม.ค.-มี.ค.'!M189+'ม.ค.-มี.ค.'!N189+'ม.ค.-มี.ค.'!V189</f>
        <v>4640</v>
      </c>
      <c r="F187" s="177">
        <f>+เม.ย.!D188+เม.ย.!E188+เม.ย.!F188+เม.ย.!H188+เม.ย.!I188+เม.ย.!M188+เม.ย.!N188+เม.ย.!P188+เม.ย.!R188</f>
        <v>0</v>
      </c>
      <c r="G187" s="180"/>
      <c r="H187" s="224">
        <f t="shared" si="15"/>
        <v>6398</v>
      </c>
      <c r="I187" s="205">
        <f t="shared" si="16"/>
        <v>18602</v>
      </c>
      <c r="J187" s="245"/>
      <c r="K187" s="329"/>
      <c r="L187" s="330"/>
      <c r="M187" s="330"/>
    </row>
    <row r="188" spans="1:13" s="67" customFormat="1" ht="21" customHeight="1">
      <c r="A188" s="9"/>
      <c r="B188" s="130" t="s">
        <v>332</v>
      </c>
      <c r="C188" s="216">
        <v>10000</v>
      </c>
      <c r="D188" s="240">
        <f>+'ต.ค.-ธ.ค.'!D191+'ต.ค.-ธ.ค.'!E191+'ต.ค.-ธ.ค.'!F191+'ต.ค.-ธ.ค.'!H191+'ต.ค.-ธ.ค.'!I191+'ต.ค.-ธ.ค.'!M191+'ต.ค.-ธ.ค.'!S191</f>
        <v>0</v>
      </c>
      <c r="E188" s="240">
        <f>+'ม.ค.-มี.ค.'!E190+'ม.ค.-มี.ค.'!F190+'ม.ค.-มี.ค.'!H190+'ม.ค.-มี.ค.'!I190+'ม.ค.-มี.ค.'!K190+'ม.ค.-มี.ค.'!M190+'ม.ค.-มี.ค.'!N190+'ม.ค.-มี.ค.'!V190</f>
        <v>0</v>
      </c>
      <c r="F188" s="177">
        <f>+เม.ย.!D189+เม.ย.!E189+เม.ย.!F189+เม.ย.!H189+เม.ย.!I189+เม.ย.!M189+เม.ย.!N189+เม.ย.!P189+เม.ย.!R189</f>
        <v>0</v>
      </c>
      <c r="G188" s="180"/>
      <c r="H188" s="224">
        <f>SUM(D188:G188)</f>
        <v>0</v>
      </c>
      <c r="I188" s="205">
        <f t="shared" si="16"/>
        <v>10000</v>
      </c>
      <c r="J188" s="245"/>
      <c r="K188" s="329"/>
      <c r="L188" s="330"/>
      <c r="M188" s="330"/>
    </row>
    <row r="189" spans="1:13" s="67" customFormat="1" ht="21" customHeight="1">
      <c r="A189" s="9"/>
      <c r="B189" s="130" t="s">
        <v>46</v>
      </c>
      <c r="C189" s="216">
        <v>80000</v>
      </c>
      <c r="D189" s="240">
        <f>+'ต.ค.-ธ.ค.'!D192+'ต.ค.-ธ.ค.'!E192+'ต.ค.-ธ.ค.'!F192+'ต.ค.-ธ.ค.'!H192+'ต.ค.-ธ.ค.'!I192+'ต.ค.-ธ.ค.'!M192+'ต.ค.-ธ.ค.'!S192</f>
        <v>0</v>
      </c>
      <c r="E189" s="240">
        <f>+'ม.ค.-มี.ค.'!E191+'ม.ค.-มี.ค.'!F191+'ม.ค.-มี.ค.'!H191+'ม.ค.-มี.ค.'!I191+'ม.ค.-มี.ค.'!K191+'ม.ค.-มี.ค.'!M191+'ม.ค.-มี.ค.'!N191+'ม.ค.-มี.ค.'!V191</f>
        <v>0</v>
      </c>
      <c r="F189" s="177">
        <f>+เม.ย.!D190+เม.ย.!E190+เม.ย.!F190+เม.ย.!H190+เม.ย.!I190+เม.ย.!M190+เม.ย.!N190+เม.ย.!P190+เม.ย.!R190</f>
        <v>65658</v>
      </c>
      <c r="G189" s="180"/>
      <c r="H189" s="224">
        <f>SUM(D189:G189)</f>
        <v>65658</v>
      </c>
      <c r="I189" s="205">
        <f t="shared" si="16"/>
        <v>14342</v>
      </c>
      <c r="J189" s="245"/>
      <c r="K189" s="329"/>
      <c r="L189" s="330"/>
      <c r="M189" s="330"/>
    </row>
    <row r="190" spans="1:13" s="67" customFormat="1" ht="21" customHeight="1">
      <c r="A190" s="9"/>
      <c r="B190" s="130" t="s">
        <v>316</v>
      </c>
      <c r="C190" s="216">
        <v>413900</v>
      </c>
      <c r="D190" s="240">
        <f>+'ต.ค.-ธ.ค.'!D193+'ต.ค.-ธ.ค.'!E193+'ต.ค.-ธ.ค.'!F193+'ต.ค.-ธ.ค.'!H193+'ต.ค.-ธ.ค.'!I193+'ต.ค.-ธ.ค.'!M193+'ต.ค.-ธ.ค.'!S193</f>
        <v>0</v>
      </c>
      <c r="E190" s="240">
        <f>+'ม.ค.-มี.ค.'!E192+'ม.ค.-มี.ค.'!F192+'ม.ค.-มี.ค.'!H192+'ม.ค.-มี.ค.'!I192+'ม.ค.-มี.ค.'!K192+'ม.ค.-มี.ค.'!M192+'ม.ค.-มี.ค.'!N192+'ม.ค.-มี.ค.'!V192</f>
        <v>171612.98</v>
      </c>
      <c r="F190" s="177">
        <f>+เม.ย.!D191+เม.ย.!E191+เม.ย.!F191+เม.ย.!H191+เม.ย.!I191+เม.ย.!M191+เม.ย.!N191+เม.ย.!P191+เม.ย.!R191</f>
        <v>0</v>
      </c>
      <c r="G190" s="180"/>
      <c r="H190" s="224">
        <f t="shared" si="15"/>
        <v>171612.98</v>
      </c>
      <c r="I190" s="205">
        <f t="shared" si="16"/>
        <v>242287.02</v>
      </c>
      <c r="J190" s="245"/>
      <c r="K190" s="329"/>
      <c r="L190" s="330"/>
      <c r="M190" s="330"/>
    </row>
    <row r="191" spans="1:13" s="67" customFormat="1" ht="21" customHeight="1">
      <c r="A191" s="9"/>
      <c r="B191" s="130" t="s">
        <v>317</v>
      </c>
      <c r="C191" s="290">
        <v>525039</v>
      </c>
      <c r="D191" s="240">
        <f>+'ต.ค.-ธ.ค.'!D194+'ต.ค.-ธ.ค.'!E194+'ต.ค.-ธ.ค.'!F194+'ต.ค.-ธ.ค.'!H194+'ต.ค.-ธ.ค.'!I194+'ต.ค.-ธ.ค.'!M194+'ต.ค.-ธ.ค.'!S194</f>
        <v>0</v>
      </c>
      <c r="E191" s="240">
        <f>+'ม.ค.-มี.ค.'!E193+'ม.ค.-มี.ค.'!F193+'ม.ค.-มี.ค.'!H193+'ม.ค.-มี.ค.'!I193+'ม.ค.-มี.ค.'!K193+'ม.ค.-มี.ค.'!M193+'ม.ค.-มี.ค.'!N193+'ม.ค.-มี.ค.'!V193</f>
        <v>0</v>
      </c>
      <c r="F191" s="177">
        <f>+เม.ย.!D192+เม.ย.!E192+เม.ย.!F192+เม.ย.!H192+เม.ย.!I192+เม.ย.!M192+เม.ย.!N192+เม.ย.!P192+เม.ย.!R192</f>
        <v>0</v>
      </c>
      <c r="G191" s="180"/>
      <c r="H191" s="224">
        <f t="shared" si="15"/>
        <v>0</v>
      </c>
      <c r="I191" s="205">
        <f t="shared" si="16"/>
        <v>525039</v>
      </c>
      <c r="J191" s="244"/>
      <c r="K191" s="329"/>
      <c r="L191" s="330"/>
      <c r="M191" s="330"/>
    </row>
    <row r="192" spans="1:13" ht="21.75" customHeight="1">
      <c r="A192" s="9"/>
      <c r="B192" s="130" t="s">
        <v>318</v>
      </c>
      <c r="C192" s="216">
        <v>277849</v>
      </c>
      <c r="D192" s="326">
        <f>+'ต.ค.-ธ.ค.'!D195+'ต.ค.-ธ.ค.'!E195+'ต.ค.-ธ.ค.'!F195+'ต.ค.-ธ.ค.'!H195+'ต.ค.-ธ.ค.'!I195+'ต.ค.-ธ.ค.'!M195+'ต.ค.-ธ.ค.'!S195</f>
        <v>-8000</v>
      </c>
      <c r="E192" s="240">
        <f>+'ม.ค.-มี.ค.'!E194+'ม.ค.-มี.ค.'!F194+'ม.ค.-มี.ค.'!H194+'ม.ค.-มี.ค.'!I194+'ม.ค.-มี.ค.'!K194+'ม.ค.-มี.ค.'!M194+'ม.ค.-มี.ค.'!N194+'ม.ค.-มี.ค.'!V194</f>
        <v>0</v>
      </c>
      <c r="F192" s="177">
        <f>+เม.ย.!D193+เม.ย.!E193+เม.ย.!F193+เม.ย.!H193+เม.ย.!I193+เม.ย.!M193+เม.ย.!N193+เม.ย.!P193+เม.ย.!R193</f>
        <v>0</v>
      </c>
      <c r="G192" s="180"/>
      <c r="H192" s="327">
        <f t="shared" si="15"/>
        <v>-8000</v>
      </c>
      <c r="I192" s="205">
        <f t="shared" si="16"/>
        <v>285849</v>
      </c>
    </row>
    <row r="193" spans="1:13" ht="21.75" customHeight="1">
      <c r="A193" s="9"/>
      <c r="B193" s="185" t="s">
        <v>319</v>
      </c>
      <c r="C193" s="216">
        <v>153296</v>
      </c>
      <c r="D193" s="240">
        <f>+'ต.ค.-ธ.ค.'!D196+'ต.ค.-ธ.ค.'!E196+'ต.ค.-ธ.ค.'!F196+'ต.ค.-ธ.ค.'!H196+'ต.ค.-ธ.ค.'!I196+'ต.ค.-ธ.ค.'!M196+'ต.ค.-ธ.ค.'!S196</f>
        <v>0</v>
      </c>
      <c r="E193" s="240">
        <f>+'ม.ค.-มี.ค.'!E195+'ม.ค.-มี.ค.'!F195+'ม.ค.-มี.ค.'!H195+'ม.ค.-มี.ค.'!I195+'ม.ค.-มี.ค.'!K195+'ม.ค.-มี.ค.'!M195+'ม.ค.-มี.ค.'!N195+'ม.ค.-มี.ค.'!V195</f>
        <v>54614</v>
      </c>
      <c r="F193" s="177">
        <f>+เม.ย.!D194+เม.ย.!E194+เม.ย.!F194+เม.ย.!H194+เม.ย.!I194+เม.ย.!M194+เม.ย.!N194+เม.ย.!P194+เม.ย.!R194</f>
        <v>0</v>
      </c>
      <c r="G193" s="177"/>
      <c r="H193" s="224">
        <f t="shared" si="15"/>
        <v>54614</v>
      </c>
      <c r="I193" s="205">
        <f t="shared" si="16"/>
        <v>98682</v>
      </c>
      <c r="J193" s="244"/>
    </row>
    <row r="194" spans="1:13" ht="21.75" customHeight="1">
      <c r="A194" s="9"/>
      <c r="B194" s="185" t="s">
        <v>320</v>
      </c>
      <c r="C194" s="216">
        <v>78565</v>
      </c>
      <c r="D194" s="240">
        <f>+'ต.ค.-ธ.ค.'!D197+'ต.ค.-ธ.ค.'!E197+'ต.ค.-ธ.ค.'!F197+'ต.ค.-ธ.ค.'!H197+'ต.ค.-ธ.ค.'!I197+'ต.ค.-ธ.ค.'!M197+'ต.ค.-ธ.ค.'!S197</f>
        <v>0</v>
      </c>
      <c r="E194" s="240">
        <f>+'ม.ค.-มี.ค.'!E196+'ม.ค.-มี.ค.'!F196+'ม.ค.-มี.ค.'!H196+'ม.ค.-มี.ค.'!I196+'ม.ค.-มี.ค.'!K196+'ม.ค.-มี.ค.'!M196+'ม.ค.-มี.ค.'!N196+'ม.ค.-มี.ค.'!V196</f>
        <v>0</v>
      </c>
      <c r="F194" s="177">
        <f>+เม.ย.!D195+เม.ย.!E195+เม.ย.!F195+เม.ย.!H195+เม.ย.!I195+เม.ย.!M195+เม.ย.!N195+เม.ย.!P195+เม.ย.!R195</f>
        <v>0</v>
      </c>
      <c r="G194" s="177"/>
      <c r="H194" s="224">
        <f t="shared" si="15"/>
        <v>0</v>
      </c>
      <c r="I194" s="205">
        <f t="shared" si="16"/>
        <v>78565</v>
      </c>
    </row>
    <row r="195" spans="1:13" ht="21.75" customHeight="1">
      <c r="A195" s="9"/>
      <c r="B195" s="185" t="s">
        <v>321</v>
      </c>
      <c r="C195" s="216">
        <v>90062</v>
      </c>
      <c r="D195" s="240">
        <f>+'ต.ค.-ธ.ค.'!D198+'ต.ค.-ธ.ค.'!E198+'ต.ค.-ธ.ค.'!F198+'ต.ค.-ธ.ค.'!H198+'ต.ค.-ธ.ค.'!I198+'ต.ค.-ธ.ค.'!M198+'ต.ค.-ธ.ค.'!S198</f>
        <v>0</v>
      </c>
      <c r="E195" s="240">
        <f>+'ม.ค.-มี.ค.'!E197+'ม.ค.-มี.ค.'!F197+'ม.ค.-มี.ค.'!H197+'ม.ค.-มี.ค.'!I197+'ม.ค.-มี.ค.'!K197+'ม.ค.-มี.ค.'!M197+'ม.ค.-มี.ค.'!N197+'ม.ค.-มี.ค.'!V197</f>
        <v>0</v>
      </c>
      <c r="F195" s="177">
        <f>+เม.ย.!D196+เม.ย.!E196+เม.ย.!F196+เม.ย.!H196+เม.ย.!I196+เม.ย.!M196+เม.ย.!N196+เม.ย.!P196+เม.ย.!R196</f>
        <v>0</v>
      </c>
      <c r="G195" s="177"/>
      <c r="H195" s="224">
        <f t="shared" si="15"/>
        <v>0</v>
      </c>
      <c r="I195" s="205">
        <f t="shared" si="16"/>
        <v>90062</v>
      </c>
    </row>
    <row r="196" spans="1:13" s="168" customFormat="1" ht="21.75" customHeight="1">
      <c r="A196" s="165"/>
      <c r="B196" s="185" t="s">
        <v>322</v>
      </c>
      <c r="C196" s="216">
        <v>67067</v>
      </c>
      <c r="D196" s="240">
        <f>+'ต.ค.-ธ.ค.'!D199+'ต.ค.-ธ.ค.'!E199+'ต.ค.-ธ.ค.'!F199+'ต.ค.-ธ.ค.'!H199+'ต.ค.-ธ.ค.'!I199+'ต.ค.-ธ.ค.'!M199+'ต.ค.-ธ.ค.'!S199</f>
        <v>0</v>
      </c>
      <c r="E196" s="240">
        <f>+'ม.ค.-มี.ค.'!E198+'ม.ค.-มี.ค.'!F198+'ม.ค.-มี.ค.'!H198+'ม.ค.-มี.ค.'!I198+'ม.ค.-มี.ค.'!K198+'ม.ค.-มี.ค.'!M198+'ม.ค.-มี.ค.'!N198+'ม.ค.-มี.ค.'!V198</f>
        <v>0</v>
      </c>
      <c r="F196" s="177">
        <f>+เม.ย.!D197+เม.ย.!E197+เม.ย.!F197+เม.ย.!H197+เม.ย.!I197+เม.ย.!M197+เม.ย.!N197+เม.ย.!P197+เม.ย.!R197</f>
        <v>0</v>
      </c>
      <c r="G196" s="179"/>
      <c r="H196" s="224">
        <f t="shared" si="15"/>
        <v>0</v>
      </c>
      <c r="I196" s="205">
        <f t="shared" si="16"/>
        <v>67067</v>
      </c>
      <c r="J196" s="233"/>
      <c r="K196" s="331"/>
      <c r="L196" s="247"/>
      <c r="M196" s="247"/>
    </row>
    <row r="197" spans="1:13" ht="21.75" customHeight="1">
      <c r="A197" s="9"/>
      <c r="B197" s="185"/>
      <c r="C197" s="216"/>
      <c r="D197" s="240"/>
      <c r="E197" s="224"/>
      <c r="F197" s="177"/>
      <c r="G197" s="177"/>
      <c r="H197" s="224">
        <f t="shared" si="15"/>
        <v>0</v>
      </c>
      <c r="I197" s="205">
        <f t="shared" si="16"/>
        <v>0</v>
      </c>
    </row>
    <row r="198" spans="1:13" s="183" customFormat="1" ht="20.25" customHeight="1">
      <c r="A198" s="9"/>
      <c r="B198" s="185"/>
      <c r="C198" s="216"/>
      <c r="D198" s="240"/>
      <c r="E198" s="224"/>
      <c r="F198" s="177"/>
      <c r="G198" s="177"/>
      <c r="H198" s="224">
        <f t="shared" si="15"/>
        <v>0</v>
      </c>
      <c r="I198" s="205">
        <f t="shared" si="16"/>
        <v>0</v>
      </c>
      <c r="J198" s="241"/>
      <c r="K198" s="339"/>
      <c r="L198" s="340"/>
      <c r="M198" s="340"/>
    </row>
    <row r="199" spans="1:13" ht="21.75" customHeight="1">
      <c r="A199" s="9"/>
      <c r="B199" s="185"/>
      <c r="C199" s="216"/>
      <c r="D199" s="240"/>
      <c r="E199" s="224"/>
      <c r="F199" s="177"/>
      <c r="G199" s="177"/>
      <c r="H199" s="224">
        <f t="shared" si="15"/>
        <v>0</v>
      </c>
      <c r="I199" s="205">
        <f t="shared" si="16"/>
        <v>0</v>
      </c>
    </row>
    <row r="200" spans="1:13" ht="21.75" customHeight="1">
      <c r="A200" s="9"/>
      <c r="B200" s="130"/>
      <c r="C200" s="216"/>
      <c r="D200" s="240"/>
      <c r="E200" s="224"/>
      <c r="F200" s="177"/>
      <c r="G200" s="177"/>
      <c r="H200" s="224">
        <f t="shared" si="15"/>
        <v>0</v>
      </c>
      <c r="I200" s="205">
        <f t="shared" si="16"/>
        <v>0</v>
      </c>
      <c r="J200" s="244"/>
    </row>
    <row r="201" spans="1:13" s="168" customFormat="1" ht="21.75" customHeight="1">
      <c r="A201" s="197"/>
      <c r="B201" s="198"/>
      <c r="C201" s="216"/>
      <c r="D201" s="240"/>
      <c r="E201" s="224"/>
      <c r="F201" s="177"/>
      <c r="G201" s="177"/>
      <c r="H201" s="224">
        <f t="shared" si="15"/>
        <v>0</v>
      </c>
      <c r="I201" s="205">
        <f t="shared" si="16"/>
        <v>0</v>
      </c>
      <c r="J201" s="244"/>
      <c r="K201" s="331"/>
      <c r="L201" s="247"/>
      <c r="M201" s="247"/>
    </row>
    <row r="202" spans="1:13" s="234" customFormat="1" ht="21.75" customHeight="1" thickBot="1">
      <c r="A202" s="46"/>
      <c r="B202" s="47" t="s">
        <v>5</v>
      </c>
      <c r="C202" s="170">
        <f t="shared" ref="C202:I202" si="17">SUM(C176:C201)</f>
        <v>2568778</v>
      </c>
      <c r="D202" s="26">
        <f t="shared" si="17"/>
        <v>98661.5</v>
      </c>
      <c r="E202" s="26">
        <f>SUM(E176:E201)</f>
        <v>459193.07999999996</v>
      </c>
      <c r="F202" s="26">
        <f>SUM(F176:F201)</f>
        <v>92630.6</v>
      </c>
      <c r="G202" s="26">
        <f t="shared" si="17"/>
        <v>0</v>
      </c>
      <c r="H202" s="26">
        <f t="shared" si="17"/>
        <v>649985.17999999993</v>
      </c>
      <c r="I202" s="139">
        <f t="shared" si="17"/>
        <v>1908792.82</v>
      </c>
      <c r="J202" s="233"/>
      <c r="K202" s="331"/>
      <c r="L202" s="247"/>
      <c r="M202" s="247"/>
    </row>
    <row r="203" spans="1:13" s="168" customFormat="1" ht="21.75" customHeight="1" thickTop="1">
      <c r="A203" s="5" t="s">
        <v>114</v>
      </c>
      <c r="B203" s="6"/>
      <c r="C203" s="190"/>
      <c r="D203" s="203"/>
      <c r="E203" s="203"/>
      <c r="F203" s="203"/>
      <c r="G203" s="201"/>
      <c r="H203" s="201"/>
      <c r="I203" s="212"/>
      <c r="J203" s="233"/>
      <c r="K203" s="331"/>
      <c r="L203" s="247"/>
      <c r="M203" s="247"/>
    </row>
    <row r="204" spans="1:13" s="168" customFormat="1" ht="21.75" customHeight="1">
      <c r="A204" s="9"/>
      <c r="B204" s="130" t="s">
        <v>20</v>
      </c>
      <c r="C204" s="216">
        <f>240000+35000</f>
        <v>275000</v>
      </c>
      <c r="D204" s="225">
        <f>+'ต.ค.-ธ.ค.'!E207+'ต.ค.-ธ.ค.'!H207</f>
        <v>46787.21</v>
      </c>
      <c r="E204" s="225">
        <f>+'ม.ค.-มี.ค.'!E206+'ม.ค.-มี.ค.'!H206</f>
        <v>65192.31</v>
      </c>
      <c r="F204" s="225">
        <f>+เม.ย.!E205+เม.ย.!H205</f>
        <v>27557.49</v>
      </c>
      <c r="G204" s="225"/>
      <c r="H204" s="225">
        <f>SUM(D204:G204)</f>
        <v>139537.00999999998</v>
      </c>
      <c r="I204" s="205">
        <f>+C204-H204</f>
        <v>135462.99000000002</v>
      </c>
      <c r="J204" s="244"/>
      <c r="K204" s="331"/>
      <c r="L204" s="247"/>
      <c r="M204" s="247"/>
    </row>
    <row r="205" spans="1:13" s="172" customFormat="1" ht="21.75" customHeight="1">
      <c r="A205" s="9"/>
      <c r="B205" s="130" t="s">
        <v>283</v>
      </c>
      <c r="C205" s="216">
        <f>100000+12000</f>
        <v>112000</v>
      </c>
      <c r="D205" s="225">
        <f>+'ต.ค.-ธ.ค.'!E208+'ต.ค.-ธ.ค.'!H208</f>
        <v>15013.61</v>
      </c>
      <c r="E205" s="225">
        <f>+'ม.ค.-มี.ค.'!E207+'ม.ค.-มี.ค.'!H207</f>
        <v>24370.48</v>
      </c>
      <c r="F205" s="225">
        <f>+เม.ย.!E206+เม.ย.!H206</f>
        <v>8397.5600000000013</v>
      </c>
      <c r="G205" s="225"/>
      <c r="H205" s="225">
        <f>SUM(D205:G205)</f>
        <v>47781.649999999994</v>
      </c>
      <c r="I205" s="205">
        <f>+C205-H205</f>
        <v>64218.350000000006</v>
      </c>
      <c r="J205" s="244"/>
      <c r="K205" s="329"/>
      <c r="L205" s="330"/>
      <c r="M205" s="330"/>
    </row>
    <row r="206" spans="1:13" ht="21.75" customHeight="1">
      <c r="A206" s="9"/>
      <c r="B206" s="130" t="s">
        <v>284</v>
      </c>
      <c r="C206" s="216">
        <v>15000</v>
      </c>
      <c r="D206" s="225">
        <f>+'ต.ค.-ธ.ค.'!E209+'ต.ค.-ธ.ค.'!H209</f>
        <v>3685</v>
      </c>
      <c r="E206" s="225">
        <f>+'ม.ค.-มี.ค.'!E208+'ม.ค.-มี.ค.'!H208</f>
        <v>10790</v>
      </c>
      <c r="F206" s="225">
        <f>+เม.ย.!E207+เม.ย.!H207</f>
        <v>137</v>
      </c>
      <c r="G206" s="225"/>
      <c r="H206" s="225">
        <f>SUM(D206:G206)</f>
        <v>14612</v>
      </c>
      <c r="I206" s="205">
        <f>+C206-H206</f>
        <v>388</v>
      </c>
      <c r="J206" s="244"/>
    </row>
    <row r="207" spans="1:13" ht="21.75" customHeight="1">
      <c r="A207" s="9"/>
      <c r="B207" s="130" t="s">
        <v>285</v>
      </c>
      <c r="C207" s="216">
        <f>72000+32000+16100</f>
        <v>120100</v>
      </c>
      <c r="D207" s="225">
        <f>+'ต.ค.-ธ.ค.'!E210+'ต.ค.-ธ.ค.'!H210</f>
        <v>41681.85</v>
      </c>
      <c r="E207" s="225">
        <f>+'ม.ค.-มี.ค.'!E209+'ม.ค.-มี.ค.'!H209</f>
        <v>18981.8</v>
      </c>
      <c r="F207" s="225">
        <f>+เม.ย.!E208+เม.ย.!H208</f>
        <v>15194</v>
      </c>
      <c r="G207" s="225"/>
      <c r="H207" s="225">
        <f>SUM(D207:G207)</f>
        <v>75857.649999999994</v>
      </c>
      <c r="I207" s="205">
        <f>+C207-H207</f>
        <v>44242.350000000006</v>
      </c>
      <c r="J207" s="244"/>
    </row>
    <row r="208" spans="1:13" s="221" customFormat="1" ht="21.75" customHeight="1" thickBot="1">
      <c r="A208" s="15"/>
      <c r="B208" s="14" t="s">
        <v>5</v>
      </c>
      <c r="C208" s="170">
        <f t="shared" ref="C208:I208" si="18">SUM(C204:C207)</f>
        <v>522100</v>
      </c>
      <c r="D208" s="26">
        <f>SUM(D204:D207)</f>
        <v>107167.67</v>
      </c>
      <c r="E208" s="26">
        <f>SUM(E204:E207)</f>
        <v>119334.59</v>
      </c>
      <c r="F208" s="26">
        <f>SUM(F204:F207)</f>
        <v>51286.05</v>
      </c>
      <c r="G208" s="26">
        <f t="shared" si="18"/>
        <v>0</v>
      </c>
      <c r="H208" s="26">
        <f t="shared" si="18"/>
        <v>277788.30999999994</v>
      </c>
      <c r="I208" s="139">
        <f t="shared" si="18"/>
        <v>244311.69000000003</v>
      </c>
      <c r="J208" s="233"/>
      <c r="K208" s="329"/>
      <c r="L208" s="330"/>
      <c r="M208" s="330"/>
    </row>
    <row r="209" spans="1:13" ht="21.75" customHeight="1" thickTop="1">
      <c r="A209" s="3" t="s">
        <v>122</v>
      </c>
      <c r="B209" s="4"/>
      <c r="C209" s="287"/>
      <c r="D209" s="177"/>
      <c r="E209" s="177"/>
      <c r="F209" s="177"/>
      <c r="G209" s="177"/>
      <c r="H209" s="177"/>
      <c r="I209" s="208"/>
    </row>
    <row r="210" spans="1:13" ht="21.75" customHeight="1">
      <c r="A210" s="169"/>
      <c r="B210" s="185" t="s">
        <v>323</v>
      </c>
      <c r="C210" s="190">
        <v>864000</v>
      </c>
      <c r="D210" s="177">
        <f>+'ต.ค.-ธ.ค.'!E213+'ต.ค.-ธ.ค.'!F213+'ต.ค.-ธ.ค.'!H213+'ต.ค.-ธ.ค.'!I213</f>
        <v>216000</v>
      </c>
      <c r="E210" s="177">
        <f>+'ม.ค.-มี.ค.'!I212</f>
        <v>236000</v>
      </c>
      <c r="F210" s="177">
        <v>0</v>
      </c>
      <c r="G210" s="177"/>
      <c r="H210" s="177">
        <f>SUM(D210:G210)</f>
        <v>452000</v>
      </c>
      <c r="I210" s="208">
        <f>+C210-H210</f>
        <v>412000</v>
      </c>
    </row>
    <row r="211" spans="1:13" ht="21.75" customHeight="1">
      <c r="A211" s="169"/>
      <c r="B211" s="185" t="s">
        <v>324</v>
      </c>
      <c r="C211" s="190">
        <v>1096000</v>
      </c>
      <c r="D211" s="177">
        <f>+'ต.ค.-ธ.ค.'!E214+'ต.ค.-ธ.ค.'!F214+'ต.ค.-ธ.ค.'!H214+'ต.ค.-ธ.ค.'!I214</f>
        <v>274000</v>
      </c>
      <c r="E211" s="177">
        <f>+'ม.ค.-มี.ค.'!I213</f>
        <v>282000</v>
      </c>
      <c r="F211" s="177">
        <v>0</v>
      </c>
      <c r="G211" s="177"/>
      <c r="H211" s="177">
        <f t="shared" ref="H211:H218" si="19">SUM(D211:G211)</f>
        <v>556000</v>
      </c>
      <c r="I211" s="208">
        <f t="shared" ref="I211:I218" si="20">+C211-H211</f>
        <v>540000</v>
      </c>
    </row>
    <row r="212" spans="1:13" ht="21.75" customHeight="1">
      <c r="A212" s="169"/>
      <c r="B212" s="185" t="s">
        <v>325</v>
      </c>
      <c r="C212" s="190">
        <v>580000</v>
      </c>
      <c r="D212" s="177">
        <f>+'ต.ค.-ธ.ค.'!E215+'ต.ค.-ธ.ค.'!F215+'ต.ค.-ธ.ค.'!H215+'ต.ค.-ธ.ค.'!I215</f>
        <v>145000</v>
      </c>
      <c r="E212" s="177">
        <f>+'ม.ค.-มี.ค.'!I214</f>
        <v>140000</v>
      </c>
      <c r="F212" s="177">
        <v>0</v>
      </c>
      <c r="G212" s="177"/>
      <c r="H212" s="177">
        <f t="shared" si="19"/>
        <v>285000</v>
      </c>
      <c r="I212" s="208">
        <f t="shared" si="20"/>
        <v>295000</v>
      </c>
    </row>
    <row r="213" spans="1:13" ht="21.75" customHeight="1">
      <c r="A213" s="169"/>
      <c r="B213" s="185" t="s">
        <v>351</v>
      </c>
      <c r="C213" s="190">
        <v>223000</v>
      </c>
      <c r="D213" s="177">
        <f>+'ต.ค.-ธ.ค.'!E216+'ต.ค.-ธ.ค.'!F216+'ต.ค.-ธ.ค.'!H216+'ต.ค.-ธ.ค.'!I216</f>
        <v>0</v>
      </c>
      <c r="E213" s="177">
        <f>+'ม.ค.-มี.ค.'!I215</f>
        <v>0</v>
      </c>
      <c r="F213" s="177">
        <v>0</v>
      </c>
      <c r="G213" s="177"/>
      <c r="H213" s="177">
        <f t="shared" si="19"/>
        <v>0</v>
      </c>
      <c r="I213" s="208">
        <f t="shared" si="20"/>
        <v>223000</v>
      </c>
    </row>
    <row r="214" spans="1:13" ht="21.75" customHeight="1">
      <c r="A214" s="169"/>
      <c r="B214" s="185"/>
      <c r="C214" s="190"/>
      <c r="D214" s="177"/>
      <c r="E214" s="177"/>
      <c r="F214" s="177"/>
      <c r="G214" s="177"/>
      <c r="H214" s="177">
        <f t="shared" si="19"/>
        <v>0</v>
      </c>
      <c r="I214" s="208">
        <f t="shared" si="20"/>
        <v>0</v>
      </c>
    </row>
    <row r="215" spans="1:13" ht="21.75" customHeight="1">
      <c r="A215" s="169"/>
      <c r="B215" s="185"/>
      <c r="C215" s="190"/>
      <c r="D215" s="177"/>
      <c r="E215" s="177"/>
      <c r="F215" s="177"/>
      <c r="G215" s="177"/>
      <c r="H215" s="177">
        <f t="shared" si="19"/>
        <v>0</v>
      </c>
      <c r="I215" s="208">
        <f t="shared" si="20"/>
        <v>0</v>
      </c>
    </row>
    <row r="216" spans="1:13" ht="21.75" customHeight="1">
      <c r="A216" s="169"/>
      <c r="B216" s="185"/>
      <c r="C216" s="190"/>
      <c r="D216" s="177"/>
      <c r="E216" s="177"/>
      <c r="F216" s="177"/>
      <c r="G216" s="177"/>
      <c r="H216" s="177">
        <f t="shared" si="19"/>
        <v>0</v>
      </c>
      <c r="I216" s="208">
        <f t="shared" si="20"/>
        <v>0</v>
      </c>
    </row>
    <row r="217" spans="1:13" ht="21.75" customHeight="1">
      <c r="A217" s="5"/>
      <c r="B217" s="185"/>
      <c r="C217" s="216"/>
      <c r="D217" s="177"/>
      <c r="E217" s="177"/>
      <c r="F217" s="177"/>
      <c r="G217" s="177"/>
      <c r="H217" s="177">
        <f t="shared" si="19"/>
        <v>0</v>
      </c>
      <c r="I217" s="208">
        <f t="shared" si="20"/>
        <v>0</v>
      </c>
    </row>
    <row r="218" spans="1:13" ht="21.75" customHeight="1">
      <c r="A218" s="5"/>
      <c r="B218" s="130"/>
      <c r="C218" s="285"/>
      <c r="D218" s="177"/>
      <c r="E218" s="177"/>
      <c r="F218" s="177"/>
      <c r="G218" s="177"/>
      <c r="H218" s="177">
        <f t="shared" si="19"/>
        <v>0</v>
      </c>
      <c r="I218" s="208">
        <f t="shared" si="20"/>
        <v>0</v>
      </c>
    </row>
    <row r="219" spans="1:13" s="221" customFormat="1" ht="21.75" customHeight="1" thickBot="1">
      <c r="A219" s="15"/>
      <c r="B219" s="14" t="s">
        <v>5</v>
      </c>
      <c r="C219" s="170">
        <f>SUM(C210:C218)</f>
        <v>2763000</v>
      </c>
      <c r="D219" s="26">
        <f>SUM(D210:D218)</f>
        <v>635000</v>
      </c>
      <c r="E219" s="26">
        <f>SUM(E210:E218)</f>
        <v>658000</v>
      </c>
      <c r="F219" s="26">
        <f>SUM(F210:F218)</f>
        <v>0</v>
      </c>
      <c r="G219" s="26"/>
      <c r="H219" s="26">
        <f>SUM(H210:H218)</f>
        <v>1293000</v>
      </c>
      <c r="I219" s="139">
        <f>SUM(I210:I218)</f>
        <v>1470000</v>
      </c>
      <c r="J219" s="233"/>
      <c r="K219" s="329"/>
      <c r="L219" s="330"/>
      <c r="M219" s="330"/>
    </row>
    <row r="220" spans="1:13" ht="21.75" customHeight="1" thickTop="1">
      <c r="A220" s="20" t="s">
        <v>71</v>
      </c>
      <c r="B220" s="82"/>
      <c r="C220" s="291"/>
      <c r="D220" s="177"/>
      <c r="E220" s="177"/>
      <c r="F220" s="177"/>
      <c r="G220" s="177"/>
      <c r="H220" s="177"/>
      <c r="I220" s="208"/>
    </row>
    <row r="221" spans="1:13" ht="21.75" customHeight="1">
      <c r="A221" s="66"/>
      <c r="B221" s="96"/>
      <c r="C221" s="216"/>
      <c r="D221" s="177"/>
      <c r="E221" s="177"/>
      <c r="F221" s="177"/>
      <c r="G221" s="177"/>
      <c r="H221" s="177"/>
      <c r="I221" s="208"/>
    </row>
    <row r="222" spans="1:13" s="168" customFormat="1" ht="21.75" customHeight="1" thickBot="1">
      <c r="A222" s="167"/>
      <c r="B222" s="95" t="s">
        <v>5</v>
      </c>
      <c r="C222" s="292">
        <f>SUM(C220:C221)</f>
        <v>0</v>
      </c>
      <c r="D222" s="191">
        <f t="shared" ref="D222:I222" si="21">SUM(D221)</f>
        <v>0</v>
      </c>
      <c r="E222" s="191">
        <f t="shared" si="21"/>
        <v>0</v>
      </c>
      <c r="F222" s="191">
        <f t="shared" si="21"/>
        <v>0</v>
      </c>
      <c r="G222" s="191">
        <f t="shared" si="21"/>
        <v>0</v>
      </c>
      <c r="H222" s="191">
        <f t="shared" si="21"/>
        <v>0</v>
      </c>
      <c r="I222" s="214">
        <f t="shared" si="21"/>
        <v>0</v>
      </c>
      <c r="J222" s="233"/>
      <c r="K222" s="331"/>
      <c r="L222" s="247"/>
      <c r="M222" s="247"/>
    </row>
    <row r="223" spans="1:13" s="172" customFormat="1" ht="21.75" customHeight="1" thickTop="1">
      <c r="A223" s="20" t="s">
        <v>115</v>
      </c>
      <c r="B223" s="284"/>
      <c r="C223" s="293"/>
      <c r="D223" s="204"/>
      <c r="E223" s="204"/>
      <c r="F223" s="204"/>
      <c r="G223" s="204"/>
      <c r="H223" s="204"/>
      <c r="I223" s="211"/>
      <c r="J223" s="233"/>
      <c r="K223" s="329"/>
      <c r="L223" s="330"/>
      <c r="M223" s="330"/>
    </row>
    <row r="224" spans="1:13" s="172" customFormat="1" ht="21.75" customHeight="1">
      <c r="A224" s="20"/>
      <c r="B224" s="252" t="s">
        <v>291</v>
      </c>
      <c r="C224" s="293"/>
      <c r="D224" s="250"/>
      <c r="E224" s="250"/>
      <c r="F224" s="250"/>
      <c r="G224" s="250"/>
      <c r="H224" s="250"/>
      <c r="I224" s="251"/>
      <c r="J224" s="233"/>
      <c r="K224" s="329"/>
      <c r="L224" s="330"/>
      <c r="M224" s="330"/>
    </row>
    <row r="225" spans="1:9" ht="21.75" customHeight="1">
      <c r="A225" s="20"/>
      <c r="B225" s="186" t="s">
        <v>286</v>
      </c>
      <c r="C225" s="294">
        <v>10000</v>
      </c>
      <c r="D225" s="177"/>
      <c r="E225" s="177">
        <f>+'ม.ค.-มี.ค.'!E227+'ม.ค.-มี.ค.'!F227+'ม.ค.-มี.ค.'!H227+'ม.ค.-มี.ค.'!I227+'ม.ค.-มี.ค.'!K227+'ม.ค.-มี.ค.'!M227+'ม.ค.-มี.ค.'!N227+'ม.ค.-มี.ค.'!V227</f>
        <v>0</v>
      </c>
      <c r="F225" s="177"/>
      <c r="G225" s="177"/>
      <c r="H225" s="177">
        <f>SUM(D225:G225)</f>
        <v>0</v>
      </c>
      <c r="I225" s="208">
        <f>+C225-H225</f>
        <v>10000</v>
      </c>
    </row>
    <row r="226" spans="1:9" ht="21.75" customHeight="1">
      <c r="A226" s="20"/>
      <c r="B226" s="186" t="s">
        <v>287</v>
      </c>
      <c r="C226" s="294">
        <v>4500</v>
      </c>
      <c r="D226" s="177"/>
      <c r="E226" s="177">
        <f>+'ม.ค.-มี.ค.'!E228+'ม.ค.-มี.ค.'!F228+'ม.ค.-มี.ค.'!H228+'ม.ค.-มี.ค.'!I228+'ม.ค.-มี.ค.'!K228+'ม.ค.-มี.ค.'!M228+'ม.ค.-มี.ค.'!N228+'ม.ค.-มี.ค.'!V228</f>
        <v>0</v>
      </c>
      <c r="F226" s="177"/>
      <c r="G226" s="177"/>
      <c r="H226" s="177">
        <f t="shared" ref="H226:H232" si="22">SUM(D226:G226)</f>
        <v>0</v>
      </c>
      <c r="I226" s="208">
        <f t="shared" ref="I226:I232" si="23">+C226-H226</f>
        <v>4500</v>
      </c>
    </row>
    <row r="227" spans="1:9" ht="21.75" customHeight="1">
      <c r="A227" s="20"/>
      <c r="B227" s="186" t="s">
        <v>288</v>
      </c>
      <c r="C227" s="294">
        <v>3000</v>
      </c>
      <c r="D227" s="177"/>
      <c r="E227" s="177">
        <f>+'ม.ค.-มี.ค.'!E229+'ม.ค.-มี.ค.'!F229+'ม.ค.-มี.ค.'!H229+'ม.ค.-มี.ค.'!I229+'ม.ค.-มี.ค.'!K229+'ม.ค.-มี.ค.'!M229+'ม.ค.-มี.ค.'!N229+'ม.ค.-มี.ค.'!V229</f>
        <v>1600</v>
      </c>
      <c r="F227" s="177"/>
      <c r="G227" s="177"/>
      <c r="H227" s="177">
        <f t="shared" si="22"/>
        <v>1600</v>
      </c>
      <c r="I227" s="208">
        <f t="shared" si="23"/>
        <v>1400</v>
      </c>
    </row>
    <row r="228" spans="1:9" ht="21.75" customHeight="1">
      <c r="A228" s="20"/>
      <c r="B228" s="186" t="s">
        <v>289</v>
      </c>
      <c r="C228" s="294">
        <v>20000</v>
      </c>
      <c r="D228" s="177"/>
      <c r="E228" s="177">
        <f>+'ม.ค.-มี.ค.'!E230+'ม.ค.-มี.ค.'!F230+'ม.ค.-มี.ค.'!H230+'ม.ค.-มี.ค.'!I230+'ม.ค.-มี.ค.'!K230+'ม.ค.-มี.ค.'!M230+'ม.ค.-มี.ค.'!N230+'ม.ค.-มี.ค.'!V230</f>
        <v>0</v>
      </c>
      <c r="F228" s="177"/>
      <c r="G228" s="177"/>
      <c r="H228" s="177">
        <f t="shared" si="22"/>
        <v>0</v>
      </c>
      <c r="I228" s="208">
        <f t="shared" si="23"/>
        <v>20000</v>
      </c>
    </row>
    <row r="229" spans="1:9" ht="21.75" customHeight="1">
      <c r="A229" s="20"/>
      <c r="B229" s="186" t="s">
        <v>290</v>
      </c>
      <c r="C229" s="295">
        <f>5500+5500</f>
        <v>11000</v>
      </c>
      <c r="D229" s="177"/>
      <c r="E229" s="177">
        <f>+'ม.ค.-มี.ค.'!E231+'ม.ค.-มี.ค.'!F231+'ม.ค.-มี.ค.'!H231+'ม.ค.-มี.ค.'!I231+'ม.ค.-มี.ค.'!K231+'ม.ค.-มี.ค.'!M231+'ม.ค.-มี.ค.'!N231+'ม.ค.-มี.ค.'!V231</f>
        <v>0</v>
      </c>
      <c r="F229" s="177"/>
      <c r="G229" s="177"/>
      <c r="H229" s="177">
        <f t="shared" si="22"/>
        <v>0</v>
      </c>
      <c r="I229" s="208">
        <f t="shared" si="23"/>
        <v>11000</v>
      </c>
    </row>
    <row r="230" spans="1:9" ht="21.75" customHeight="1">
      <c r="A230" s="20"/>
      <c r="B230" s="186" t="s">
        <v>305</v>
      </c>
      <c r="C230" s="295">
        <v>16000</v>
      </c>
      <c r="D230" s="177"/>
      <c r="E230" s="177">
        <f>+'ม.ค.-มี.ค.'!E232+'ม.ค.-มี.ค.'!F232+'ม.ค.-มี.ค.'!H232+'ม.ค.-มี.ค.'!I232+'ม.ค.-มี.ค.'!K232+'ม.ค.-มี.ค.'!M232+'ม.ค.-มี.ค.'!N232+'ม.ค.-มี.ค.'!V232</f>
        <v>0</v>
      </c>
      <c r="F230" s="177"/>
      <c r="G230" s="177"/>
      <c r="H230" s="177">
        <f t="shared" si="22"/>
        <v>0</v>
      </c>
      <c r="I230" s="208">
        <f t="shared" si="23"/>
        <v>16000</v>
      </c>
    </row>
    <row r="231" spans="1:9" ht="21.75" customHeight="1">
      <c r="A231" s="20"/>
      <c r="B231" s="186" t="s">
        <v>334</v>
      </c>
      <c r="C231" s="295">
        <v>4500</v>
      </c>
      <c r="D231" s="177"/>
      <c r="E231" s="177">
        <f>+'ม.ค.-มี.ค.'!E233+'ม.ค.-มี.ค.'!F233+'ม.ค.-มี.ค.'!H233+'ม.ค.-มี.ค.'!I233+'ม.ค.-มี.ค.'!K233+'ม.ค.-มี.ค.'!M233+'ม.ค.-มี.ค.'!N233+'ม.ค.-มี.ค.'!V233</f>
        <v>0</v>
      </c>
      <c r="F231" s="177"/>
      <c r="G231" s="177"/>
      <c r="H231" s="177">
        <f t="shared" si="22"/>
        <v>0</v>
      </c>
      <c r="I231" s="208">
        <f t="shared" si="23"/>
        <v>4500</v>
      </c>
    </row>
    <row r="232" spans="1:9" ht="21.75" customHeight="1">
      <c r="A232" s="20"/>
      <c r="B232" s="186" t="s">
        <v>335</v>
      </c>
      <c r="C232" s="295">
        <v>4500</v>
      </c>
      <c r="D232" s="177"/>
      <c r="E232" s="177">
        <f>+'ม.ค.-มี.ค.'!E234+'ม.ค.-มี.ค.'!F234+'ม.ค.-มี.ค.'!H234+'ม.ค.-มี.ค.'!I234+'ม.ค.-มี.ค.'!K234+'ม.ค.-มี.ค.'!M234+'ม.ค.-มี.ค.'!N234+'ม.ค.-มี.ค.'!V234</f>
        <v>0</v>
      </c>
      <c r="F232" s="177"/>
      <c r="G232" s="177"/>
      <c r="H232" s="177">
        <f t="shared" si="22"/>
        <v>0</v>
      </c>
      <c r="I232" s="208">
        <f t="shared" si="23"/>
        <v>4500</v>
      </c>
    </row>
    <row r="233" spans="1:9" ht="21.75" customHeight="1">
      <c r="A233" s="20"/>
      <c r="B233" s="252" t="s">
        <v>292</v>
      </c>
      <c r="C233" s="295"/>
      <c r="D233" s="177"/>
      <c r="E233" s="177"/>
      <c r="F233" s="177"/>
      <c r="G233" s="177"/>
      <c r="H233" s="177"/>
      <c r="I233" s="208"/>
    </row>
    <row r="234" spans="1:9" ht="21.75" customHeight="1">
      <c r="A234" s="20"/>
      <c r="B234" s="186" t="s">
        <v>293</v>
      </c>
      <c r="C234" s="295">
        <v>32000</v>
      </c>
      <c r="D234" s="177"/>
      <c r="E234" s="177">
        <f>+'ม.ค.-มี.ค.'!F237</f>
        <v>0</v>
      </c>
      <c r="F234" s="177"/>
      <c r="G234" s="177"/>
      <c r="H234" s="177">
        <f>SUM(D234:G234)</f>
        <v>0</v>
      </c>
      <c r="I234" s="208">
        <f>+C234-H234</f>
        <v>32000</v>
      </c>
    </row>
    <row r="235" spans="1:9" ht="21.75" customHeight="1">
      <c r="A235" s="20"/>
      <c r="B235" s="186" t="s">
        <v>125</v>
      </c>
      <c r="C235" s="295">
        <f>2800+2800+2300</f>
        <v>7900</v>
      </c>
      <c r="D235" s="177"/>
      <c r="E235" s="177">
        <f>+'ม.ค.-มี.ค.'!F238</f>
        <v>2800</v>
      </c>
      <c r="F235" s="177"/>
      <c r="G235" s="177"/>
      <c r="H235" s="177">
        <f>SUM(D235:G235)</f>
        <v>2800</v>
      </c>
      <c r="I235" s="208">
        <f>+C235-H235</f>
        <v>5100</v>
      </c>
    </row>
    <row r="236" spans="1:9" ht="21.75" customHeight="1">
      <c r="A236" s="20"/>
      <c r="B236" s="186" t="s">
        <v>294</v>
      </c>
      <c r="C236" s="295">
        <v>21000</v>
      </c>
      <c r="D236" s="177"/>
      <c r="E236" s="177">
        <f>+'ม.ค.-มี.ค.'!F239</f>
        <v>21000</v>
      </c>
      <c r="F236" s="177"/>
      <c r="G236" s="177"/>
      <c r="H236" s="177">
        <f>SUM(D236:G236)</f>
        <v>21000</v>
      </c>
      <c r="I236" s="208">
        <f>+C236-H236</f>
        <v>0</v>
      </c>
    </row>
    <row r="237" spans="1:9" ht="21.75" customHeight="1">
      <c r="A237" s="20"/>
      <c r="B237" s="186" t="s">
        <v>293</v>
      </c>
      <c r="C237" s="295">
        <v>16000</v>
      </c>
      <c r="D237" s="177"/>
      <c r="E237" s="177">
        <f>+'ม.ค.-มี.ค.'!F240</f>
        <v>0</v>
      </c>
      <c r="F237" s="177"/>
      <c r="G237" s="177"/>
      <c r="H237" s="177">
        <f>SUM(D237:G237)</f>
        <v>0</v>
      </c>
      <c r="I237" s="208">
        <f>+C237-H237</f>
        <v>16000</v>
      </c>
    </row>
    <row r="238" spans="1:9" ht="21.75" customHeight="1">
      <c r="A238" s="20"/>
      <c r="B238" s="186" t="s">
        <v>306</v>
      </c>
      <c r="C238" s="295">
        <v>7700</v>
      </c>
      <c r="D238" s="177"/>
      <c r="E238" s="177">
        <f>+'ม.ค.-มี.ค.'!F241</f>
        <v>0</v>
      </c>
      <c r="F238" s="177"/>
      <c r="G238" s="177"/>
      <c r="H238" s="177">
        <f>SUM(D238:G238)</f>
        <v>0</v>
      </c>
      <c r="I238" s="208">
        <f>+C238-H238</f>
        <v>7700</v>
      </c>
    </row>
    <row r="239" spans="1:9" ht="21.75" customHeight="1">
      <c r="A239" s="20"/>
      <c r="B239" s="252" t="s">
        <v>336</v>
      </c>
      <c r="C239" s="295"/>
      <c r="D239" s="177"/>
      <c r="E239" s="177"/>
      <c r="F239" s="177"/>
      <c r="G239" s="177"/>
      <c r="H239" s="177"/>
      <c r="I239" s="208"/>
    </row>
    <row r="240" spans="1:9" ht="21.75" customHeight="1">
      <c r="A240" s="20"/>
      <c r="B240" s="186" t="s">
        <v>337</v>
      </c>
      <c r="C240" s="295">
        <v>9000</v>
      </c>
      <c r="D240" s="177"/>
      <c r="E240" s="177">
        <f>+'ม.ค.-มี.ค.'!F244</f>
        <v>0</v>
      </c>
      <c r="F240" s="177"/>
      <c r="G240" s="177"/>
      <c r="H240" s="177">
        <f>SUM(D240:G240)</f>
        <v>0</v>
      </c>
      <c r="I240" s="208">
        <f>+C240-H240</f>
        <v>9000</v>
      </c>
    </row>
    <row r="241" spans="1:13" ht="21.75" customHeight="1">
      <c r="A241" s="20"/>
      <c r="B241" s="252" t="s">
        <v>338</v>
      </c>
      <c r="C241" s="295"/>
      <c r="D241" s="177"/>
      <c r="E241" s="177"/>
      <c r="F241" s="177"/>
      <c r="G241" s="177"/>
      <c r="H241" s="177"/>
      <c r="I241" s="208"/>
    </row>
    <row r="242" spans="1:13" ht="21.75" customHeight="1">
      <c r="A242" s="20"/>
      <c r="B242" s="186" t="s">
        <v>339</v>
      </c>
      <c r="C242" s="295">
        <v>8000</v>
      </c>
      <c r="D242" s="177"/>
      <c r="E242" s="177">
        <f>+'ม.ค.-มี.ค.'!F247</f>
        <v>0</v>
      </c>
      <c r="F242" s="177"/>
      <c r="G242" s="177"/>
      <c r="H242" s="177">
        <f>SUM(D242:G242)</f>
        <v>0</v>
      </c>
      <c r="I242" s="208">
        <f>+C242-H242</f>
        <v>8000</v>
      </c>
    </row>
    <row r="243" spans="1:13" ht="21.75" customHeight="1">
      <c r="A243" s="20"/>
      <c r="B243" s="186" t="s">
        <v>340</v>
      </c>
      <c r="C243" s="295">
        <v>6000</v>
      </c>
      <c r="D243" s="177"/>
      <c r="E243" s="177">
        <f>+'ม.ค.-มี.ค.'!F248</f>
        <v>0</v>
      </c>
      <c r="F243" s="177"/>
      <c r="G243" s="177"/>
      <c r="H243" s="177">
        <f>SUM(D243:G243)</f>
        <v>0</v>
      </c>
      <c r="I243" s="208">
        <f>+C243-H243</f>
        <v>6000</v>
      </c>
    </row>
    <row r="244" spans="1:13" ht="21.75" customHeight="1">
      <c r="A244" s="20"/>
      <c r="B244" s="252" t="s">
        <v>341</v>
      </c>
      <c r="C244" s="295"/>
      <c r="D244" s="177"/>
      <c r="E244" s="177"/>
      <c r="F244" s="177"/>
      <c r="G244" s="177"/>
      <c r="H244" s="177"/>
      <c r="I244" s="208"/>
    </row>
    <row r="245" spans="1:13" ht="21.75" customHeight="1">
      <c r="A245" s="20"/>
      <c r="B245" s="186" t="s">
        <v>342</v>
      </c>
      <c r="C245" s="295">
        <v>45300</v>
      </c>
      <c r="D245" s="177"/>
      <c r="E245" s="177">
        <f>+'ม.ค.-มี.ค.'!E251+'ม.ค.-มี.ค.'!F251+'ม.ค.-มี.ค.'!H251+'ม.ค.-มี.ค.'!I251+'ม.ค.-มี.ค.'!K251+'ม.ค.-มี.ค.'!M251+'ม.ค.-มี.ค.'!N251+'ม.ค.-มี.ค.'!V251</f>
        <v>0</v>
      </c>
      <c r="F245" s="177">
        <f>+เม.ย.!E246+เม.ย.!F246+เม.ย.!H246+เม.ย.!I246+เม.ย.!M246+เม.ย.!N246+เม.ย.!P246+เม.ย.!R246</f>
        <v>0</v>
      </c>
      <c r="G245" s="177"/>
      <c r="H245" s="177">
        <f>SUM(D245:G245)</f>
        <v>0</v>
      </c>
      <c r="I245" s="208"/>
    </row>
    <row r="246" spans="1:13" ht="21.75" customHeight="1">
      <c r="A246" s="20"/>
      <c r="B246" s="186" t="s">
        <v>343</v>
      </c>
      <c r="C246" s="295">
        <v>128000</v>
      </c>
      <c r="D246" s="177"/>
      <c r="E246" s="177">
        <f>+'ม.ค.-มี.ค.'!E252+'ม.ค.-มี.ค.'!F252+'ม.ค.-มี.ค.'!H252+'ม.ค.-มี.ค.'!I252+'ม.ค.-มี.ค.'!K252+'ม.ค.-มี.ค.'!M252+'ม.ค.-มี.ค.'!N252+'ม.ค.-มี.ค.'!V252</f>
        <v>0</v>
      </c>
      <c r="F246" s="177">
        <f>+เม.ย.!E247+เม.ย.!F247+เม.ย.!H247+เม.ย.!I247+เม.ย.!M247+เม.ย.!N247+เม.ย.!P247+เม.ย.!R247</f>
        <v>0</v>
      </c>
      <c r="G246" s="177"/>
      <c r="H246" s="177"/>
      <c r="I246" s="208"/>
    </row>
    <row r="247" spans="1:13" ht="21.75" customHeight="1">
      <c r="A247" s="20"/>
      <c r="B247" s="186" t="s">
        <v>264</v>
      </c>
      <c r="C247" s="295">
        <v>204000</v>
      </c>
      <c r="D247" s="177"/>
      <c r="E247" s="177">
        <f>+'ม.ค.-มี.ค.'!E253+'ม.ค.-มี.ค.'!F253+'ม.ค.-มี.ค.'!H253+'ม.ค.-มี.ค.'!I253+'ม.ค.-มี.ค.'!K253+'ม.ค.-มี.ค.'!M253+'ม.ค.-มี.ค.'!N253+'ม.ค.-มี.ค.'!V253</f>
        <v>200000</v>
      </c>
      <c r="F247" s="177">
        <f>+เม.ย.!E248+เม.ย.!F248+เม.ย.!H248+เม.ย.!I248+เม.ย.!M248+เม.ย.!N248+เม.ย.!P248+เม.ย.!R248</f>
        <v>0</v>
      </c>
      <c r="G247" s="177"/>
      <c r="H247" s="177"/>
      <c r="I247" s="208"/>
    </row>
    <row r="248" spans="1:13" ht="21.75" customHeight="1">
      <c r="A248" s="20"/>
      <c r="B248" s="186" t="s">
        <v>381</v>
      </c>
      <c r="C248" s="295">
        <v>204000</v>
      </c>
      <c r="D248" s="177"/>
      <c r="E248" s="177">
        <f>+'ม.ค.-มี.ค.'!E254+'ม.ค.-มี.ค.'!F254+'ม.ค.-มี.ค.'!H254+'ม.ค.-มี.ค.'!I254+'ม.ค.-มี.ค.'!K254+'ม.ค.-มี.ค.'!M254+'ม.ค.-มี.ค.'!N254+'ม.ค.-มี.ค.'!V254</f>
        <v>0</v>
      </c>
      <c r="F248" s="177">
        <f>+เม.ย.!E249+เม.ย.!F249+เม.ย.!H249+เม.ย.!I249+เม.ย.!M249+เม.ย.!N249+เม.ย.!P249+เม.ย.!R249</f>
        <v>0</v>
      </c>
      <c r="G248" s="177"/>
      <c r="H248" s="177"/>
      <c r="I248" s="208"/>
    </row>
    <row r="249" spans="1:13" ht="21.75" customHeight="1">
      <c r="A249" s="20"/>
      <c r="B249" s="186" t="s">
        <v>344</v>
      </c>
      <c r="C249" s="295">
        <v>204000</v>
      </c>
      <c r="D249" s="177"/>
      <c r="E249" s="177">
        <f>+'ม.ค.-มี.ค.'!E255+'ม.ค.-มี.ค.'!F255+'ม.ค.-มี.ค.'!H255+'ม.ค.-มี.ค.'!I255+'ม.ค.-มี.ค.'!K255+'ม.ค.-มี.ค.'!M255+'ม.ค.-มี.ค.'!N255+'ม.ค.-มี.ค.'!V255</f>
        <v>0</v>
      </c>
      <c r="F249" s="177">
        <f>+เม.ย.!E250+เม.ย.!F250+เม.ย.!H250+เม.ย.!I250+เม.ย.!M250+เม.ย.!N250+เม.ย.!P250+เม.ย.!R250</f>
        <v>0</v>
      </c>
      <c r="G249" s="177"/>
      <c r="H249" s="177"/>
      <c r="I249" s="208"/>
    </row>
    <row r="250" spans="1:13" ht="21.75" customHeight="1">
      <c r="A250" s="20"/>
      <c r="B250" s="186" t="s">
        <v>345</v>
      </c>
      <c r="C250" s="295">
        <v>217000</v>
      </c>
      <c r="D250" s="177"/>
      <c r="E250" s="177">
        <f>+'ม.ค.-มี.ค.'!E256+'ม.ค.-มี.ค.'!F256+'ม.ค.-มี.ค.'!H256+'ม.ค.-มี.ค.'!I256+'ม.ค.-มี.ค.'!K256+'ม.ค.-มี.ค.'!M256+'ม.ค.-มี.ค.'!N256+'ม.ค.-มี.ค.'!V256</f>
        <v>0</v>
      </c>
      <c r="F250" s="177">
        <f>+เม.ย.!E251+เม.ย.!F251+เม.ย.!H251+เม.ย.!I251+เม.ย.!M251+เม.ย.!N251+เม.ย.!P251+เม.ย.!R251</f>
        <v>216000</v>
      </c>
      <c r="G250" s="177"/>
      <c r="H250" s="177"/>
      <c r="I250" s="208"/>
    </row>
    <row r="251" spans="1:13" ht="21.75" customHeight="1">
      <c r="A251" s="20"/>
      <c r="B251" s="186" t="s">
        <v>346</v>
      </c>
      <c r="C251" s="295">
        <v>27000</v>
      </c>
      <c r="D251" s="177"/>
      <c r="E251" s="177">
        <f>+'ม.ค.-มี.ค.'!E257+'ม.ค.-มี.ค.'!F257+'ม.ค.-มี.ค.'!H257+'ม.ค.-มี.ค.'!I257+'ม.ค.-มี.ค.'!K257+'ม.ค.-มี.ค.'!M257+'ม.ค.-มี.ค.'!N257+'ม.ค.-มี.ค.'!V257</f>
        <v>0</v>
      </c>
      <c r="F251" s="177">
        <f>+เม.ย.!E252+เม.ย.!F252+เม.ย.!H252+เม.ย.!I252+เม.ย.!M252+เม.ย.!N252+เม.ย.!P252+เม.ย.!R252</f>
        <v>0</v>
      </c>
      <c r="G251" s="177"/>
      <c r="H251" s="177"/>
      <c r="I251" s="208"/>
    </row>
    <row r="252" spans="1:13" ht="21.75" customHeight="1">
      <c r="A252" s="20"/>
      <c r="B252" s="186" t="s">
        <v>347</v>
      </c>
      <c r="C252" s="295">
        <v>211000</v>
      </c>
      <c r="D252" s="177"/>
      <c r="E252" s="177">
        <f>+'ม.ค.-มี.ค.'!E258+'ม.ค.-มี.ค.'!F258+'ม.ค.-มี.ค.'!H258+'ม.ค.-มี.ค.'!I258+'ม.ค.-มี.ค.'!K258+'ม.ค.-มี.ค.'!M258+'ม.ค.-มี.ค.'!N258+'ม.ค.-มี.ค.'!V258</f>
        <v>0</v>
      </c>
      <c r="F252" s="177">
        <f>+เม.ย.!E253+เม.ย.!F253+เม.ย.!H253+เม.ย.!I253+เม.ย.!M253+เม.ย.!N253+เม.ย.!P253+เม.ย.!R253</f>
        <v>0</v>
      </c>
      <c r="G252" s="177"/>
      <c r="H252" s="177"/>
      <c r="I252" s="208"/>
    </row>
    <row r="253" spans="1:13" ht="21.75" customHeight="1">
      <c r="A253" s="20"/>
      <c r="B253" s="186" t="s">
        <v>348</v>
      </c>
      <c r="C253" s="295">
        <v>211000</v>
      </c>
      <c r="D253" s="177"/>
      <c r="E253" s="177">
        <f>+'ม.ค.-มี.ค.'!E259+'ม.ค.-มี.ค.'!F259+'ม.ค.-มี.ค.'!H259+'ม.ค.-มี.ค.'!I259+'ม.ค.-มี.ค.'!K259+'ม.ค.-มี.ค.'!M259+'ม.ค.-มี.ค.'!N259+'ม.ค.-มี.ค.'!V259</f>
        <v>210000</v>
      </c>
      <c r="F253" s="177">
        <f>+เม.ย.!E254+เม.ย.!F254+เม.ย.!H254+เม.ย.!I254+เม.ย.!M254+เม.ย.!N254+เม.ย.!P254+เม.ย.!R254</f>
        <v>0</v>
      </c>
      <c r="G253" s="177"/>
      <c r="H253" s="177"/>
      <c r="I253" s="208"/>
    </row>
    <row r="254" spans="1:13" ht="21.75" customHeight="1">
      <c r="A254" s="20"/>
      <c r="B254" s="186" t="s">
        <v>349</v>
      </c>
      <c r="C254" s="296">
        <v>688700</v>
      </c>
      <c r="D254" s="177"/>
      <c r="E254" s="177">
        <f>+'ม.ค.-มี.ค.'!E260+'ม.ค.-มี.ค.'!F260+'ม.ค.-มี.ค.'!H260+'ม.ค.-มี.ค.'!I260+'ม.ค.-มี.ค.'!K260+'ม.ค.-มี.ค.'!M260+'ม.ค.-มี.ค.'!N260+'ม.ค.-มี.ค.'!V260</f>
        <v>0</v>
      </c>
      <c r="F254" s="177">
        <f>+เม.ย.!E255+เม.ย.!F255+เม.ย.!H255+เม.ย.!I255+เม.ย.!M255+เม.ย.!N255+เม.ย.!P255+เม.ย.!R255</f>
        <v>0</v>
      </c>
      <c r="G254" s="177"/>
      <c r="H254" s="177"/>
      <c r="I254" s="208"/>
    </row>
    <row r="255" spans="1:13" ht="21.75" customHeight="1">
      <c r="A255" s="20"/>
      <c r="B255" s="186" t="s">
        <v>350</v>
      </c>
      <c r="C255" s="297">
        <v>62000</v>
      </c>
      <c r="D255" s="222"/>
      <c r="E255" s="177">
        <f>+'ม.ค.-มี.ค.'!E261+'ม.ค.-มี.ค.'!F261+'ม.ค.-มี.ค.'!H261+'ม.ค.-มี.ค.'!I261+'ม.ค.-มี.ค.'!K261+'ม.ค.-มี.ค.'!M261+'ม.ค.-มี.ค.'!N261+'ม.ค.-มี.ค.'!V261</f>
        <v>0</v>
      </c>
      <c r="F255" s="177">
        <f>+เม.ย.!E256+เม.ย.!F256+เม.ย.!H256+เม.ย.!I256+เม.ย.!M256+เม.ย.!N256+เม.ย.!P256+เม.ย.!R256</f>
        <v>0</v>
      </c>
      <c r="G255" s="222"/>
      <c r="H255" s="177"/>
      <c r="I255" s="223"/>
    </row>
    <row r="256" spans="1:13" s="221" customFormat="1" ht="21.75" customHeight="1" thickBot="1">
      <c r="A256" s="24"/>
      <c r="B256" s="45" t="s">
        <v>5</v>
      </c>
      <c r="C256" s="170">
        <f>SUM(C225:C255)</f>
        <v>2383100</v>
      </c>
      <c r="D256" s="26">
        <f>SUM(D225:D254)</f>
        <v>0</v>
      </c>
      <c r="E256" s="26">
        <f>SUM(E225:E255)</f>
        <v>435400</v>
      </c>
      <c r="F256" s="26">
        <f>SUM(F225:F255)</f>
        <v>216000</v>
      </c>
      <c r="G256" s="26">
        <f>SUM(G225:G254)</f>
        <v>0</v>
      </c>
      <c r="H256" s="26">
        <f>SUM(H225:H255)</f>
        <v>25400</v>
      </c>
      <c r="I256" s="139">
        <f>SUM(I225:I255)</f>
        <v>155700</v>
      </c>
      <c r="J256" s="233"/>
      <c r="K256" s="329"/>
      <c r="L256" s="330"/>
      <c r="M256" s="330"/>
    </row>
    <row r="257" spans="1:13" ht="21.75" customHeight="1" thickTop="1">
      <c r="A257" s="50" t="s">
        <v>149</v>
      </c>
      <c r="B257" s="4"/>
      <c r="C257" s="193"/>
      <c r="D257" s="180"/>
      <c r="E257" s="180"/>
      <c r="F257" s="177"/>
      <c r="G257" s="177"/>
      <c r="H257" s="177"/>
      <c r="I257" s="208"/>
    </row>
    <row r="258" spans="1:13" ht="21.75" customHeight="1">
      <c r="A258" s="9"/>
      <c r="B258" s="186"/>
      <c r="C258" s="296"/>
      <c r="D258" s="177"/>
      <c r="E258" s="177"/>
      <c r="F258" s="177"/>
      <c r="G258" s="177"/>
      <c r="H258" s="177"/>
      <c r="I258" s="208"/>
    </row>
    <row r="259" spans="1:13" ht="21.75" customHeight="1">
      <c r="A259" s="9"/>
      <c r="B259" s="186"/>
      <c r="C259" s="296"/>
      <c r="D259" s="177"/>
      <c r="E259" s="177"/>
      <c r="F259" s="177"/>
      <c r="G259" s="177"/>
      <c r="H259" s="177"/>
      <c r="I259" s="208"/>
    </row>
    <row r="260" spans="1:13" ht="21.75" customHeight="1">
      <c r="A260" s="9"/>
      <c r="B260" s="186"/>
      <c r="C260" s="296"/>
      <c r="D260" s="177"/>
      <c r="E260" s="177"/>
      <c r="F260" s="177"/>
      <c r="G260" s="177"/>
      <c r="H260" s="177"/>
      <c r="I260" s="208"/>
    </row>
    <row r="261" spans="1:13" ht="21.75" customHeight="1">
      <c r="A261" s="9"/>
      <c r="B261" s="186"/>
      <c r="C261" s="296"/>
      <c r="D261" s="177"/>
      <c r="E261" s="177"/>
      <c r="F261" s="177"/>
      <c r="G261" s="177"/>
      <c r="H261" s="177"/>
      <c r="I261" s="208"/>
    </row>
    <row r="262" spans="1:13" s="172" customFormat="1" ht="21.75" customHeight="1">
      <c r="A262" s="9"/>
      <c r="B262" s="186"/>
      <c r="C262" s="296"/>
      <c r="D262" s="177"/>
      <c r="E262" s="177"/>
      <c r="F262" s="177"/>
      <c r="G262" s="199"/>
      <c r="H262" s="177"/>
      <c r="I262" s="208"/>
      <c r="J262" s="233"/>
      <c r="K262" s="331"/>
      <c r="L262" s="330"/>
      <c r="M262" s="330"/>
    </row>
    <row r="263" spans="1:13" ht="21.75" customHeight="1">
      <c r="A263" s="9"/>
      <c r="B263" s="186"/>
      <c r="C263" s="296"/>
      <c r="D263" s="177"/>
      <c r="E263" s="177"/>
      <c r="F263" s="177"/>
      <c r="G263" s="180"/>
      <c r="H263" s="177"/>
      <c r="I263" s="208"/>
    </row>
    <row r="264" spans="1:13" ht="21.75" customHeight="1">
      <c r="A264" s="9"/>
      <c r="B264" s="186"/>
      <c r="C264" s="296"/>
      <c r="D264" s="177"/>
      <c r="E264" s="177"/>
      <c r="F264" s="177"/>
      <c r="G264" s="177"/>
      <c r="H264" s="177"/>
      <c r="I264" s="208"/>
      <c r="J264" s="242"/>
    </row>
    <row r="265" spans="1:13" ht="21.75" customHeight="1">
      <c r="A265" s="9"/>
      <c r="B265" s="186"/>
      <c r="C265" s="296"/>
      <c r="D265" s="177"/>
      <c r="E265" s="177"/>
      <c r="F265" s="177"/>
      <c r="G265" s="177"/>
      <c r="H265" s="177"/>
      <c r="I265" s="208"/>
    </row>
    <row r="266" spans="1:13" s="221" customFormat="1" ht="21.75" customHeight="1" thickBot="1">
      <c r="A266" s="15"/>
      <c r="B266" s="14" t="s">
        <v>5</v>
      </c>
      <c r="C266" s="170">
        <f>SUM(C258:C265)</f>
        <v>0</v>
      </c>
      <c r="D266" s="26">
        <f t="shared" ref="D266:I266" si="24">SUM(D258:D265)</f>
        <v>0</v>
      </c>
      <c r="E266" s="26">
        <f t="shared" si="24"/>
        <v>0</v>
      </c>
      <c r="F266" s="26">
        <f>SUM(F258:F265)</f>
        <v>0</v>
      </c>
      <c r="G266" s="26">
        <f t="shared" si="24"/>
        <v>0</v>
      </c>
      <c r="H266" s="26">
        <f t="shared" si="24"/>
        <v>0</v>
      </c>
      <c r="I266" s="139">
        <f t="shared" si="24"/>
        <v>0</v>
      </c>
      <c r="J266" s="233"/>
      <c r="K266" s="329"/>
      <c r="L266" s="330"/>
      <c r="M266" s="330"/>
    </row>
    <row r="267" spans="1:13" ht="21.75" customHeight="1" thickTop="1">
      <c r="A267" s="20" t="s">
        <v>24</v>
      </c>
      <c r="B267" s="23"/>
      <c r="C267" s="190"/>
      <c r="D267" s="177"/>
      <c r="E267" s="177"/>
      <c r="F267" s="177"/>
      <c r="G267" s="177"/>
      <c r="H267" s="177"/>
      <c r="I267" s="208"/>
    </row>
    <row r="268" spans="1:13" ht="21.75" customHeight="1">
      <c r="A268" s="20"/>
      <c r="B268" s="130" t="s">
        <v>406</v>
      </c>
      <c r="C268" s="192">
        <v>121500</v>
      </c>
      <c r="D268" s="177"/>
      <c r="E268" s="177">
        <f>+'ม.ค.-มี.ค.'!D274</f>
        <v>121500</v>
      </c>
      <c r="F268" s="177"/>
      <c r="G268" s="177"/>
      <c r="H268" s="177">
        <f>SUM(D268:G268)</f>
        <v>121500</v>
      </c>
      <c r="I268" s="208">
        <f>+C268-H268</f>
        <v>0</v>
      </c>
    </row>
    <row r="269" spans="1:13" ht="21.75" customHeight="1">
      <c r="A269" s="20"/>
      <c r="B269" s="130" t="s">
        <v>405</v>
      </c>
      <c r="C269" s="192">
        <v>105000</v>
      </c>
      <c r="D269" s="177"/>
      <c r="E269" s="177">
        <f>+'ม.ค.-มี.ค.'!D275</f>
        <v>105000</v>
      </c>
      <c r="F269" s="177"/>
      <c r="G269" s="177"/>
      <c r="H269" s="177">
        <f>SUM(D269:G269)</f>
        <v>105000</v>
      </c>
      <c r="I269" s="208">
        <f>+C269-H269</f>
        <v>0</v>
      </c>
    </row>
    <row r="270" spans="1:13" ht="21.75" customHeight="1" thickBot="1">
      <c r="A270" s="15"/>
      <c r="B270" s="14" t="s">
        <v>5</v>
      </c>
      <c r="C270" s="298">
        <f>SUM(C268:C269)</f>
        <v>226500</v>
      </c>
      <c r="D270" s="189">
        <f>SUM(D268:D269)</f>
        <v>0</v>
      </c>
      <c r="E270" s="189">
        <f>SUM(E268:E269)</f>
        <v>226500</v>
      </c>
      <c r="F270" s="189">
        <f>SUM(F268:F268)</f>
        <v>0</v>
      </c>
      <c r="G270" s="189">
        <f>SUM(G268:G268)</f>
        <v>0</v>
      </c>
      <c r="H270" s="189">
        <f>SUM(H268:H269)</f>
        <v>226500</v>
      </c>
      <c r="I270" s="200">
        <f>SUM(I268:I269)</f>
        <v>0</v>
      </c>
    </row>
    <row r="271" spans="1:13" s="172" customFormat="1" ht="21" customHeight="1" thickTop="1">
      <c r="A271" s="20" t="s">
        <v>44</v>
      </c>
      <c r="B271" s="23"/>
      <c r="C271" s="193"/>
      <c r="D271" s="204"/>
      <c r="E271" s="204"/>
      <c r="F271" s="204"/>
      <c r="G271" s="204"/>
      <c r="H271" s="204"/>
      <c r="I271" s="211"/>
      <c r="J271" s="233"/>
      <c r="K271" s="329"/>
      <c r="L271" s="330"/>
      <c r="M271" s="330"/>
    </row>
    <row r="272" spans="1:13" ht="24" customHeight="1">
      <c r="A272" s="20"/>
      <c r="B272" s="185" t="s">
        <v>420</v>
      </c>
      <c r="C272" s="192">
        <f>+เม.ย.!C273</f>
        <v>20000</v>
      </c>
      <c r="D272" s="180"/>
      <c r="E272" s="180"/>
      <c r="F272" s="177">
        <f>+เม.ย.!D273</f>
        <v>20000</v>
      </c>
      <c r="G272" s="180"/>
      <c r="H272" s="180"/>
      <c r="I272" s="215"/>
    </row>
    <row r="273" spans="1:13" ht="24" customHeight="1">
      <c r="A273" s="20"/>
      <c r="B273" s="185"/>
      <c r="C273" s="190"/>
      <c r="D273" s="177"/>
      <c r="E273" s="177"/>
      <c r="F273" s="177"/>
      <c r="G273" s="177"/>
      <c r="H273" s="177"/>
      <c r="I273" s="208"/>
    </row>
    <row r="274" spans="1:13" s="221" customFormat="1" ht="24" customHeight="1" thickBot="1">
      <c r="A274" s="15"/>
      <c r="B274" s="53" t="s">
        <v>5</v>
      </c>
      <c r="C274" s="105">
        <f t="shared" ref="C274:I274" si="25">SUM(C272:C273)</f>
        <v>20000</v>
      </c>
      <c r="D274" s="105">
        <f t="shared" si="25"/>
        <v>0</v>
      </c>
      <c r="E274" s="105">
        <f t="shared" si="25"/>
        <v>0</v>
      </c>
      <c r="F274" s="105">
        <f t="shared" si="25"/>
        <v>20000</v>
      </c>
      <c r="G274" s="105">
        <f t="shared" si="25"/>
        <v>0</v>
      </c>
      <c r="H274" s="105">
        <f t="shared" si="25"/>
        <v>0</v>
      </c>
      <c r="I274" s="39">
        <f t="shared" si="25"/>
        <v>0</v>
      </c>
      <c r="J274" s="233"/>
      <c r="K274" s="329"/>
      <c r="L274" s="330"/>
      <c r="M274" s="330"/>
    </row>
    <row r="275" spans="1:13" ht="24" customHeight="1" thickTop="1">
      <c r="A275" s="20" t="s">
        <v>276</v>
      </c>
      <c r="B275" s="23"/>
      <c r="C275" s="193"/>
      <c r="D275" s="177"/>
      <c r="E275" s="177"/>
      <c r="F275" s="177"/>
      <c r="G275" s="177"/>
      <c r="H275" s="177"/>
      <c r="I275" s="208"/>
    </row>
    <row r="276" spans="1:13" ht="24" customHeight="1">
      <c r="A276" s="20"/>
      <c r="B276" s="185" t="s">
        <v>226</v>
      </c>
      <c r="C276" s="192">
        <f>+'ต.ค. '!E284+'ต.ค. '!F284+'ต.ค. '!H284+'ต.ค. '!M284</f>
        <v>37500</v>
      </c>
      <c r="D276" s="177">
        <f>+'ต.ค.-ธ.ค.'!E283+'ต.ค.-ธ.ค.'!F283+'ต.ค.-ธ.ค.'!H283+'ต.ค.-ธ.ค.'!I283+'ต.ค.-ธ.ค.'!M283+'ต.ค.-ธ.ค.'!Q283</f>
        <v>236250</v>
      </c>
      <c r="E276" s="177">
        <f>+'ม.ค.-มี.ค.'!E282+'ม.ค.-มี.ค.'!F282+'ม.ค.-มี.ค.'!H282+'ม.ค.-มี.ค.'!I282+'ม.ค.-มี.ค.'!K282+'ม.ค.-มี.ค.'!M282+'ม.ค.-มี.ค.'!N282+'ม.ค.-มี.ค.'!V282</f>
        <v>0</v>
      </c>
      <c r="F276" s="177"/>
      <c r="G276" s="177"/>
      <c r="H276" s="177"/>
      <c r="I276" s="208"/>
    </row>
    <row r="277" spans="1:13" ht="24" customHeight="1">
      <c r="A277" s="20"/>
      <c r="B277" s="185" t="s">
        <v>233</v>
      </c>
      <c r="C277" s="299">
        <v>7500</v>
      </c>
      <c r="D277" s="177">
        <f>+'ต.ค.-ธ.ค.'!E284+'ต.ค.-ธ.ค.'!F284+'ต.ค.-ธ.ค.'!H284+'ต.ค.-ธ.ค.'!I284+'ต.ค.-ธ.ค.'!M284+'ต.ค.-ธ.ค.'!Q284</f>
        <v>7500</v>
      </c>
      <c r="E277" s="177">
        <f>+'ม.ค.-มี.ค.'!E283+'ม.ค.-มี.ค.'!F283+'ม.ค.-มี.ค.'!H283+'ม.ค.-มี.ค.'!I283+'ม.ค.-มี.ค.'!K283+'ม.ค.-มี.ค.'!M283+'ม.ค.-มี.ค.'!N283+'ม.ค.-มี.ค.'!V283</f>
        <v>0</v>
      </c>
      <c r="F277" s="177"/>
      <c r="G277" s="177"/>
      <c r="H277" s="177"/>
      <c r="I277" s="208"/>
    </row>
    <row r="278" spans="1:13" ht="24" customHeight="1">
      <c r="A278" s="20"/>
      <c r="B278" s="274" t="s">
        <v>378</v>
      </c>
      <c r="C278" s="299">
        <v>37500</v>
      </c>
      <c r="D278" s="177">
        <f>+'ต.ค.-ธ.ค.'!E285+'ต.ค.-ธ.ค.'!F285+'ต.ค.-ธ.ค.'!H285+'ต.ค.-ธ.ค.'!I285+'ต.ค.-ธ.ค.'!M285+'ต.ค.-ธ.ค.'!Q285</f>
        <v>37500</v>
      </c>
      <c r="E278" s="177">
        <f>+'ม.ค.-มี.ค.'!E284+'ม.ค.-มี.ค.'!F284+'ม.ค.-มี.ค.'!H284+'ม.ค.-มี.ค.'!I284+'ม.ค.-มี.ค.'!K284+'ม.ค.-มี.ค.'!M284+'ม.ค.-มี.ค.'!N284+'ม.ค.-มี.ค.'!V284</f>
        <v>0</v>
      </c>
      <c r="F278" s="177"/>
      <c r="G278" s="177"/>
      <c r="H278" s="177"/>
      <c r="I278" s="208"/>
    </row>
    <row r="279" spans="1:13" ht="24" customHeight="1">
      <c r="A279" s="20"/>
      <c r="B279" s="185" t="s">
        <v>379</v>
      </c>
      <c r="C279" s="299">
        <v>10000</v>
      </c>
      <c r="D279" s="177">
        <f>+'ต.ค.-ธ.ค.'!E286+'ต.ค.-ธ.ค.'!F286+'ต.ค.-ธ.ค.'!H286+'ต.ค.-ธ.ค.'!I286+'ต.ค.-ธ.ค.'!M286+'ต.ค.-ธ.ค.'!Q286</f>
        <v>10000</v>
      </c>
      <c r="E279" s="177">
        <f>+'ม.ค.-มี.ค.'!E285+'ม.ค.-มี.ค.'!F285+'ม.ค.-มี.ค.'!H285+'ม.ค.-มี.ค.'!I285+'ม.ค.-มี.ค.'!K285+'ม.ค.-มี.ค.'!M285+'ม.ค.-มี.ค.'!N285+'ม.ค.-มี.ค.'!V285</f>
        <v>0</v>
      </c>
      <c r="F279" s="177"/>
      <c r="G279" s="177"/>
      <c r="H279" s="177"/>
      <c r="I279" s="208"/>
    </row>
    <row r="280" spans="1:13" ht="24" customHeight="1">
      <c r="A280" s="20"/>
      <c r="B280" s="185" t="s">
        <v>382</v>
      </c>
      <c r="C280" s="299">
        <v>1950</v>
      </c>
      <c r="D280" s="177">
        <f>+'ต.ค.-ธ.ค.'!E287+'ต.ค.-ธ.ค.'!F287+'ต.ค.-ธ.ค.'!H287+'ต.ค.-ธ.ค.'!I287+'ต.ค.-ธ.ค.'!M287+'ต.ค.-ธ.ค.'!Q287</f>
        <v>1950</v>
      </c>
      <c r="E280" s="177">
        <f>+'ม.ค.-มี.ค.'!E286+'ม.ค.-มี.ค.'!F286+'ม.ค.-มี.ค.'!H286+'ม.ค.-มี.ค.'!I286+'ม.ค.-มี.ค.'!K286+'ม.ค.-มี.ค.'!M286+'ม.ค.-มี.ค.'!N286+'ม.ค.-มี.ค.'!V286</f>
        <v>0</v>
      </c>
      <c r="F280" s="177"/>
      <c r="G280" s="177"/>
      <c r="H280" s="177"/>
      <c r="I280" s="208"/>
      <c r="J280" s="243"/>
    </row>
    <row r="281" spans="1:13" ht="24" customHeight="1">
      <c r="A281" s="20"/>
      <c r="B281" s="185" t="s">
        <v>380</v>
      </c>
      <c r="C281" s="299">
        <v>4550</v>
      </c>
      <c r="D281" s="177">
        <f>+'ต.ค.-ธ.ค.'!E288+'ต.ค.-ธ.ค.'!F288+'ต.ค.-ธ.ค.'!H288+'ต.ค.-ธ.ค.'!I288+'ต.ค.-ธ.ค.'!M288+'ต.ค.-ธ.ค.'!Q288</f>
        <v>13125</v>
      </c>
      <c r="E281" s="177">
        <f>+'ม.ค.-มี.ค.'!E287+'ม.ค.-มี.ค.'!F287+'ม.ค.-มี.ค.'!H287+'ม.ค.-มี.ค.'!I287+'ม.ค.-มี.ค.'!K287+'ม.ค.-มี.ค.'!M287+'ม.ค.-มี.ค.'!N287+'ม.ค.-มี.ค.'!V287</f>
        <v>0</v>
      </c>
      <c r="F281" s="177"/>
      <c r="G281" s="177"/>
      <c r="H281" s="177"/>
      <c r="I281" s="208"/>
      <c r="J281" s="243"/>
    </row>
    <row r="282" spans="1:13" ht="24" customHeight="1">
      <c r="A282" s="20"/>
      <c r="B282" s="185" t="s">
        <v>386</v>
      </c>
      <c r="C282" s="192">
        <v>409940.96</v>
      </c>
      <c r="D282" s="177">
        <f>+'ต.ค.-ธ.ค.'!E289+'ต.ค.-ธ.ค.'!F289+'ต.ค.-ธ.ค.'!H289+'ต.ค.-ธ.ค.'!I289+'ต.ค.-ธ.ค.'!M289+'ต.ค.-ธ.ค.'!Q289</f>
        <v>409940.96</v>
      </c>
      <c r="E282" s="177">
        <f>+'ม.ค.-มี.ค.'!E288+'ม.ค.-มี.ค.'!F288+'ม.ค.-มี.ค.'!H288+'ม.ค.-มี.ค.'!I288+'ม.ค.-มี.ค.'!K288+'ม.ค.-มี.ค.'!M288+'ม.ค.-มี.ค.'!N288+'ม.ค.-มี.ค.'!V288</f>
        <v>0</v>
      </c>
      <c r="F282" s="177"/>
      <c r="G282" s="177"/>
      <c r="H282" s="177"/>
      <c r="I282" s="208"/>
      <c r="J282" s="243"/>
    </row>
    <row r="283" spans="1:13" ht="24" customHeight="1">
      <c r="A283" s="20"/>
      <c r="B283" s="185" t="s">
        <v>387</v>
      </c>
      <c r="C283" s="192">
        <v>40000</v>
      </c>
      <c r="D283" s="177">
        <f>+'ต.ค.-ธ.ค.'!E290+'ต.ค.-ธ.ค.'!F290+'ต.ค.-ธ.ค.'!H290+'ต.ค.-ธ.ค.'!I290+'ต.ค.-ธ.ค.'!M290+'ต.ค.-ธ.ค.'!Q290</f>
        <v>40000</v>
      </c>
      <c r="E283" s="177">
        <f>+'ม.ค.-มี.ค.'!E289+'ม.ค.-มี.ค.'!F289+'ม.ค.-มี.ค.'!H289+'ม.ค.-มี.ค.'!I289+'ม.ค.-มี.ค.'!K289+'ม.ค.-มี.ค.'!M289+'ม.ค.-มี.ค.'!N289+'ม.ค.-มี.ค.'!V289</f>
        <v>0</v>
      </c>
      <c r="F283" s="177"/>
      <c r="G283" s="177"/>
      <c r="H283" s="177"/>
      <c r="I283" s="208"/>
      <c r="J283" s="243"/>
    </row>
    <row r="284" spans="1:13" ht="24" customHeight="1">
      <c r="A284" s="20"/>
      <c r="B284" s="347" t="s">
        <v>409</v>
      </c>
      <c r="C284" s="192">
        <v>175000</v>
      </c>
      <c r="D284" s="349"/>
      <c r="E284" s="177">
        <f>+'ม.ค.-มี.ค.'!E290+'ม.ค.-มี.ค.'!F290+'ม.ค.-มี.ค.'!H290+'ม.ค.-มี.ค.'!I290+'ม.ค.-มี.ค.'!K290+'ม.ค.-มี.ค.'!M290+'ม.ค.-มี.ค.'!N290+'ม.ค.-มี.ค.'!V290</f>
        <v>174000</v>
      </c>
      <c r="F284" s="349"/>
      <c r="G284" s="349"/>
      <c r="H284" s="349"/>
      <c r="I284" s="208"/>
      <c r="J284" s="243"/>
    </row>
    <row r="285" spans="1:13" ht="24" customHeight="1">
      <c r="A285" s="20"/>
      <c r="B285" s="348"/>
      <c r="C285" s="350"/>
      <c r="D285" s="351"/>
      <c r="E285" s="351"/>
      <c r="F285" s="351"/>
      <c r="G285" s="351"/>
      <c r="H285" s="351"/>
      <c r="I285" s="209"/>
      <c r="J285" s="243"/>
    </row>
    <row r="286" spans="1:13" ht="25.5" customHeight="1" thickBot="1">
      <c r="A286" s="15"/>
      <c r="B286" s="53" t="s">
        <v>5</v>
      </c>
      <c r="C286" s="105">
        <f t="shared" ref="C286:I286" si="26">SUM(C276:C285)</f>
        <v>723940.96</v>
      </c>
      <c r="D286" s="105">
        <f t="shared" si="26"/>
        <v>756265.96</v>
      </c>
      <c r="E286" s="105">
        <f t="shared" si="26"/>
        <v>174000</v>
      </c>
      <c r="F286" s="105">
        <f t="shared" si="26"/>
        <v>0</v>
      </c>
      <c r="G286" s="105">
        <f t="shared" si="26"/>
        <v>0</v>
      </c>
      <c r="H286" s="105">
        <f t="shared" si="26"/>
        <v>0</v>
      </c>
      <c r="I286" s="39">
        <f t="shared" si="26"/>
        <v>0</v>
      </c>
      <c r="J286" s="243"/>
      <c r="K286" s="331"/>
      <c r="L286" s="247"/>
      <c r="M286" s="247"/>
    </row>
    <row r="287" spans="1:13" ht="25.5" customHeight="1" thickTop="1" thickBot="1">
      <c r="A287" s="16"/>
      <c r="B287" s="52" t="s">
        <v>49</v>
      </c>
      <c r="C287" s="229">
        <f>+C266+C256+C219+C208+C202++C47+C37+C20+C174+C27+C222</f>
        <v>39148280</v>
      </c>
      <c r="D287" s="229">
        <f>+D266+D256+D219+D208+D202++D47+D37+D20+D174+D27+D222</f>
        <v>8114439.4499999993</v>
      </c>
      <c r="E287" s="229">
        <f>+E266+E256+E219+E208+E202++E47+E37+E20+E174+E27+E222</f>
        <v>9074602.6699999999</v>
      </c>
      <c r="F287" s="229">
        <f>+F266+F256+F219+F208+F202++F47+F37+F20+F174+F27+F222</f>
        <v>3071543.65</v>
      </c>
      <c r="G287" s="229">
        <f>+G266+G256+G219+G208+G202++G47+G37+G20+G174+G27+G222</f>
        <v>0</v>
      </c>
      <c r="H287" s="229">
        <f>+H20+H27+H37+H47+H174+H202+H208+H219+H256+H266</f>
        <v>19634085.77</v>
      </c>
      <c r="I287" s="51">
        <f>+C287-H287</f>
        <v>19514194.23</v>
      </c>
      <c r="J287" s="243"/>
      <c r="K287" s="331"/>
      <c r="L287" s="247"/>
      <c r="M287" s="247"/>
    </row>
    <row r="288" spans="1:13" ht="25.5" customHeight="1" thickTop="1" thickBot="1">
      <c r="A288" s="16"/>
      <c r="B288" s="41" t="s">
        <v>25</v>
      </c>
      <c r="C288" s="260">
        <f>+C286+C274+C270+C266+C256+C222+C219+C208+C174+C47+C27+C20+C37++C202</f>
        <v>40118720.960000001</v>
      </c>
      <c r="D288" s="232">
        <f>+D286+D274+D270+D266+D256+D222+D219+D208+D174+D47+D27+D20+D37++D202</f>
        <v>8870705.4100000001</v>
      </c>
      <c r="E288" s="232">
        <f>+E286+E274+E270+E266+E256+E222+E219+E208+E174+E47+E27+E20+E37++E202</f>
        <v>9475102.6699999999</v>
      </c>
      <c r="F288" s="232">
        <f>+F286+F274+F270+F266+F256+F222+F219+F208+F174+F47+F27+F20+F37++F202</f>
        <v>3091543.65</v>
      </c>
      <c r="G288" s="232">
        <f>+G286+G274+G270+G266+G256+G222+G219+G208+G174+G47+G27+G20+G37++G202</f>
        <v>0</v>
      </c>
      <c r="H288" s="232">
        <f>SUM(D288:G288)</f>
        <v>21437351.729999997</v>
      </c>
      <c r="I288" s="51">
        <f>+C288-H288</f>
        <v>18681369.230000004</v>
      </c>
      <c r="J288" s="243"/>
      <c r="K288" s="331"/>
      <c r="L288" s="338"/>
      <c r="M288" s="247"/>
    </row>
    <row r="289" spans="2:13" ht="30" customHeight="1" thickTop="1">
      <c r="B289" s="246" t="s">
        <v>273</v>
      </c>
      <c r="D289" s="60"/>
      <c r="E289" s="60"/>
      <c r="F289" s="60"/>
      <c r="G289" s="60"/>
      <c r="H289" s="60"/>
      <c r="I289" s="213"/>
      <c r="J289" s="243"/>
      <c r="K289" s="331"/>
      <c r="L289" s="247"/>
      <c r="M289" s="247"/>
    </row>
    <row r="290" spans="2:13" ht="15" customHeight="1">
      <c r="D290" s="60"/>
      <c r="E290" s="60"/>
      <c r="F290" s="60"/>
      <c r="G290" s="60"/>
      <c r="H290" s="60"/>
      <c r="I290" s="213"/>
      <c r="J290" s="243"/>
      <c r="K290" s="331"/>
      <c r="L290" s="247"/>
      <c r="M290" s="247"/>
    </row>
    <row r="291" spans="2:13" ht="15" customHeight="1">
      <c r="D291" s="60"/>
      <c r="E291" s="60"/>
      <c r="F291" s="60"/>
      <c r="G291" s="60"/>
      <c r="H291" s="60"/>
      <c r="I291" s="213"/>
      <c r="J291" s="243"/>
    </row>
    <row r="292" spans="2:13" ht="22.5" customHeight="1">
      <c r="B292" s="253">
        <f>39148280-C287</f>
        <v>0</v>
      </c>
      <c r="D292" s="60"/>
      <c r="E292" s="60"/>
      <c r="F292" s="60"/>
      <c r="G292" s="60"/>
      <c r="H292" s="60"/>
      <c r="I292" s="213"/>
    </row>
    <row r="293" spans="2:13" ht="15" customHeight="1">
      <c r="D293" s="60"/>
      <c r="E293" s="60"/>
      <c r="F293" s="60"/>
      <c r="G293" s="60"/>
      <c r="H293" s="60"/>
      <c r="I293" s="213"/>
    </row>
    <row r="294" spans="2:13" ht="15" customHeight="1">
      <c r="D294" s="60"/>
      <c r="E294" s="60"/>
      <c r="F294" s="60"/>
      <c r="G294" s="60"/>
      <c r="H294" s="60"/>
      <c r="I294" s="213"/>
    </row>
    <row r="295" spans="2:13" ht="15" customHeight="1">
      <c r="D295" s="60"/>
      <c r="E295" s="60"/>
      <c r="F295" s="60"/>
      <c r="G295" s="60"/>
      <c r="H295" s="60"/>
      <c r="I295" s="213"/>
    </row>
    <row r="296" spans="2:13" ht="27.75" customHeight="1">
      <c r="D296" s="60"/>
      <c r="E296" s="60"/>
      <c r="F296" s="60"/>
      <c r="G296" s="60"/>
      <c r="H296" s="60"/>
      <c r="I296" s="213"/>
    </row>
    <row r="297" spans="2:13" ht="15" customHeight="1">
      <c r="D297" s="60"/>
      <c r="E297" s="60"/>
      <c r="F297" s="60"/>
      <c r="G297" s="60"/>
      <c r="H297" s="60"/>
      <c r="I297" s="213"/>
    </row>
    <row r="298" spans="2:13" ht="15" customHeight="1">
      <c r="D298" s="60"/>
      <c r="E298" s="60"/>
      <c r="F298" s="60"/>
      <c r="G298" s="60"/>
      <c r="H298" s="60"/>
      <c r="I298" s="213"/>
    </row>
    <row r="299" spans="2:13" ht="15" customHeight="1">
      <c r="D299" s="60"/>
      <c r="E299" s="60"/>
      <c r="F299" s="60"/>
      <c r="G299" s="60"/>
      <c r="H299" s="60"/>
      <c r="I299" s="213"/>
    </row>
    <row r="300" spans="2:13" ht="15" customHeight="1">
      <c r="D300" s="60"/>
      <c r="E300" s="60"/>
      <c r="F300" s="60"/>
      <c r="G300" s="60"/>
      <c r="H300" s="60"/>
      <c r="I300" s="213"/>
    </row>
    <row r="301" spans="2:13" ht="15" customHeight="1">
      <c r="D301" s="60"/>
      <c r="E301" s="60"/>
      <c r="F301" s="60"/>
      <c r="G301" s="60"/>
      <c r="H301" s="60"/>
      <c r="I301" s="213"/>
    </row>
    <row r="302" spans="2:13" ht="15" customHeight="1">
      <c r="D302" s="60"/>
      <c r="E302" s="60"/>
      <c r="F302" s="60"/>
      <c r="G302" s="60"/>
      <c r="H302" s="60"/>
      <c r="I302" s="213"/>
    </row>
    <row r="303" spans="2:13" ht="15" customHeight="1">
      <c r="D303" s="60"/>
      <c r="E303" s="60"/>
      <c r="F303" s="60"/>
      <c r="G303" s="60"/>
      <c r="H303" s="60"/>
      <c r="I303" s="213"/>
    </row>
    <row r="304" spans="2:13" ht="15" customHeight="1">
      <c r="D304" s="60"/>
      <c r="E304" s="60"/>
      <c r="F304" s="60"/>
      <c r="G304" s="60"/>
      <c r="H304" s="60"/>
      <c r="I304" s="213"/>
    </row>
    <row r="305" spans="4:9" ht="15" customHeight="1">
      <c r="D305" s="60"/>
      <c r="E305" s="60"/>
      <c r="F305" s="60"/>
      <c r="G305" s="60"/>
      <c r="H305" s="60"/>
      <c r="I305" s="213"/>
    </row>
    <row r="306" spans="4:9" ht="15" customHeight="1">
      <c r="D306" s="60"/>
      <c r="E306" s="60"/>
      <c r="F306" s="60"/>
      <c r="G306" s="60"/>
      <c r="H306" s="60"/>
      <c r="I306" s="213"/>
    </row>
    <row r="307" spans="4:9" ht="15" customHeight="1">
      <c r="D307" s="60"/>
      <c r="E307" s="60"/>
      <c r="F307" s="60"/>
      <c r="G307" s="60"/>
      <c r="H307" s="60"/>
      <c r="I307" s="213"/>
    </row>
    <row r="308" spans="4:9" ht="15" customHeight="1">
      <c r="D308" s="60"/>
      <c r="E308" s="60"/>
      <c r="F308" s="60"/>
      <c r="G308" s="60"/>
      <c r="H308" s="60"/>
      <c r="I308" s="213"/>
    </row>
    <row r="309" spans="4:9" ht="15" customHeight="1">
      <c r="D309" s="60"/>
      <c r="E309" s="60"/>
      <c r="F309" s="60"/>
      <c r="G309" s="60"/>
      <c r="H309" s="60"/>
      <c r="I309" s="213"/>
    </row>
    <row r="310" spans="4:9" ht="15" customHeight="1">
      <c r="D310" s="60"/>
      <c r="E310" s="60"/>
      <c r="F310" s="60"/>
      <c r="G310" s="60"/>
      <c r="H310" s="60"/>
      <c r="I310" s="213"/>
    </row>
    <row r="311" spans="4:9" ht="15" customHeight="1">
      <c r="D311" s="60"/>
      <c r="E311" s="60"/>
      <c r="F311" s="60"/>
      <c r="G311" s="60"/>
      <c r="H311" s="60"/>
      <c r="I311" s="213"/>
    </row>
    <row r="312" spans="4:9" ht="15" customHeight="1">
      <c r="D312" s="60"/>
      <c r="E312" s="60"/>
      <c r="F312" s="60"/>
      <c r="G312" s="60"/>
      <c r="H312" s="60"/>
      <c r="I312" s="213"/>
    </row>
    <row r="313" spans="4:9" ht="15" customHeight="1">
      <c r="D313" s="60"/>
      <c r="E313" s="60"/>
      <c r="F313" s="60"/>
      <c r="G313" s="60"/>
      <c r="H313" s="60"/>
      <c r="I313" s="213"/>
    </row>
    <row r="314" spans="4:9" ht="15" customHeight="1">
      <c r="D314" s="60"/>
      <c r="E314" s="60"/>
      <c r="F314" s="60"/>
      <c r="G314" s="60"/>
      <c r="H314" s="60"/>
      <c r="I314" s="213"/>
    </row>
    <row r="315" spans="4:9" ht="15" customHeight="1">
      <c r="D315" s="60"/>
      <c r="E315" s="60"/>
      <c r="F315" s="60"/>
      <c r="G315" s="60"/>
      <c r="H315" s="60"/>
      <c r="I315" s="213"/>
    </row>
    <row r="316" spans="4:9" ht="15" customHeight="1">
      <c r="D316" s="60"/>
      <c r="E316" s="60"/>
      <c r="F316" s="60"/>
      <c r="G316" s="60"/>
      <c r="H316" s="60"/>
      <c r="I316" s="213"/>
    </row>
    <row r="317" spans="4:9" ht="15" customHeight="1">
      <c r="D317" s="60"/>
      <c r="E317" s="60"/>
      <c r="F317" s="60"/>
      <c r="G317" s="60"/>
      <c r="H317" s="60"/>
      <c r="I317" s="213"/>
    </row>
    <row r="318" spans="4:9" ht="15" customHeight="1">
      <c r="D318" s="60"/>
      <c r="E318" s="60"/>
      <c r="F318" s="60"/>
      <c r="G318" s="60"/>
      <c r="H318" s="60"/>
      <c r="I318" s="213"/>
    </row>
    <row r="319" spans="4:9" ht="15" customHeight="1">
      <c r="D319" s="60"/>
      <c r="E319" s="60"/>
      <c r="F319" s="60"/>
      <c r="G319" s="60"/>
      <c r="H319" s="60"/>
      <c r="I319" s="213"/>
    </row>
    <row r="320" spans="4:9" ht="15" customHeight="1">
      <c r="D320" s="60"/>
      <c r="E320" s="60"/>
      <c r="F320" s="60"/>
      <c r="G320" s="60"/>
      <c r="H320" s="60"/>
      <c r="I320" s="213"/>
    </row>
    <row r="321" spans="4:9" ht="15" customHeight="1">
      <c r="D321" s="60"/>
      <c r="E321" s="60"/>
      <c r="F321" s="60"/>
      <c r="G321" s="60"/>
      <c r="H321" s="60"/>
      <c r="I321" s="213"/>
    </row>
    <row r="322" spans="4:9" ht="15" customHeight="1">
      <c r="D322" s="60"/>
      <c r="E322" s="60"/>
      <c r="F322" s="60"/>
      <c r="G322" s="60"/>
      <c r="H322" s="60"/>
      <c r="I322" s="213"/>
    </row>
    <row r="323" spans="4:9" ht="15" customHeight="1">
      <c r="D323" s="60"/>
      <c r="E323" s="60"/>
      <c r="F323" s="60"/>
      <c r="G323" s="60"/>
      <c r="H323" s="60"/>
      <c r="I323" s="213"/>
    </row>
    <row r="324" spans="4:9" ht="15" customHeight="1">
      <c r="D324" s="60"/>
      <c r="E324" s="60"/>
      <c r="F324" s="60"/>
      <c r="G324" s="60"/>
      <c r="H324" s="60"/>
      <c r="I324" s="213"/>
    </row>
    <row r="325" spans="4:9" ht="15" customHeight="1">
      <c r="D325" s="60"/>
      <c r="E325" s="60"/>
      <c r="F325" s="60"/>
      <c r="G325" s="60"/>
      <c r="H325" s="60"/>
      <c r="I325" s="213"/>
    </row>
    <row r="326" spans="4:9" ht="15" customHeight="1">
      <c r="D326" s="60"/>
      <c r="E326" s="60"/>
      <c r="F326" s="60"/>
      <c r="G326" s="60"/>
      <c r="H326" s="60"/>
      <c r="I326" s="213"/>
    </row>
    <row r="327" spans="4:9" ht="15" customHeight="1">
      <c r="D327" s="60"/>
      <c r="E327" s="60"/>
      <c r="F327" s="60"/>
      <c r="G327" s="60"/>
      <c r="H327" s="60"/>
      <c r="I327" s="213"/>
    </row>
    <row r="328" spans="4:9" ht="15" customHeight="1">
      <c r="D328" s="60"/>
      <c r="E328" s="60"/>
      <c r="F328" s="60"/>
      <c r="G328" s="60"/>
      <c r="H328" s="60"/>
      <c r="I328" s="213"/>
    </row>
    <row r="329" spans="4:9" ht="15" customHeight="1">
      <c r="D329" s="60"/>
      <c r="E329" s="60"/>
      <c r="F329" s="60"/>
      <c r="G329" s="60"/>
      <c r="H329" s="60"/>
      <c r="I329" s="213"/>
    </row>
    <row r="330" spans="4:9" ht="15" customHeight="1">
      <c r="D330" s="60"/>
      <c r="E330" s="60"/>
      <c r="F330" s="60"/>
      <c r="G330" s="60"/>
      <c r="H330" s="60"/>
      <c r="I330" s="213"/>
    </row>
    <row r="331" spans="4:9" ht="15" customHeight="1">
      <c r="D331" s="60"/>
      <c r="E331" s="60"/>
      <c r="F331" s="60"/>
      <c r="G331" s="60"/>
      <c r="H331" s="60"/>
      <c r="I331" s="213"/>
    </row>
    <row r="332" spans="4:9" ht="15" customHeight="1">
      <c r="D332" s="60"/>
      <c r="E332" s="60"/>
      <c r="F332" s="60"/>
      <c r="G332" s="60"/>
      <c r="H332" s="60"/>
      <c r="I332" s="213"/>
    </row>
    <row r="333" spans="4:9" ht="15" customHeight="1">
      <c r="D333" s="60"/>
      <c r="E333" s="60"/>
      <c r="F333" s="60"/>
      <c r="G333" s="60"/>
      <c r="H333" s="60"/>
      <c r="I333" s="213"/>
    </row>
    <row r="334" spans="4:9" ht="15" customHeight="1">
      <c r="D334" s="60"/>
      <c r="E334" s="60"/>
      <c r="F334" s="60"/>
      <c r="G334" s="60"/>
      <c r="H334" s="60"/>
      <c r="I334" s="213"/>
    </row>
    <row r="335" spans="4:9" ht="15" customHeight="1">
      <c r="D335" s="60"/>
      <c r="E335" s="60"/>
      <c r="F335" s="60"/>
      <c r="G335" s="60"/>
      <c r="H335" s="60"/>
      <c r="I335" s="213"/>
    </row>
    <row r="336" spans="4:9" ht="15" customHeight="1">
      <c r="D336" s="60"/>
      <c r="E336" s="60"/>
      <c r="F336" s="60"/>
      <c r="G336" s="60"/>
      <c r="H336" s="60"/>
      <c r="I336" s="213"/>
    </row>
    <row r="337" spans="4:9" ht="15" customHeight="1">
      <c r="D337" s="60"/>
      <c r="E337" s="60"/>
      <c r="F337" s="60"/>
      <c r="G337" s="60"/>
      <c r="H337" s="60"/>
      <c r="I337" s="213"/>
    </row>
    <row r="338" spans="4:9" ht="15" customHeight="1">
      <c r="D338" s="60"/>
      <c r="E338" s="60"/>
      <c r="F338" s="60"/>
      <c r="G338" s="60"/>
      <c r="H338" s="60"/>
      <c r="I338" s="213"/>
    </row>
    <row r="339" spans="4:9" ht="15" customHeight="1">
      <c r="D339" s="60"/>
      <c r="E339" s="60"/>
      <c r="F339" s="60"/>
      <c r="G339" s="60"/>
      <c r="H339" s="60"/>
      <c r="I339" s="213"/>
    </row>
    <row r="340" spans="4:9" ht="15" customHeight="1">
      <c r="D340" s="60"/>
      <c r="E340" s="60"/>
      <c r="F340" s="60"/>
      <c r="G340" s="60"/>
      <c r="H340" s="60"/>
      <c r="I340" s="213"/>
    </row>
    <row r="341" spans="4:9" ht="15" customHeight="1">
      <c r="D341" s="60"/>
      <c r="E341" s="60"/>
      <c r="F341" s="60"/>
      <c r="G341" s="60"/>
      <c r="H341" s="60"/>
      <c r="I341" s="213"/>
    </row>
    <row r="342" spans="4:9" ht="15" customHeight="1">
      <c r="D342" s="60"/>
      <c r="E342" s="60"/>
      <c r="F342" s="60"/>
      <c r="G342" s="60"/>
      <c r="H342" s="60"/>
      <c r="I342" s="213"/>
    </row>
    <row r="343" spans="4:9" ht="15" customHeight="1">
      <c r="D343" s="60"/>
      <c r="E343" s="60"/>
      <c r="F343" s="60"/>
      <c r="G343" s="60"/>
      <c r="H343" s="60"/>
      <c r="I343" s="213"/>
    </row>
    <row r="344" spans="4:9" ht="15" customHeight="1">
      <c r="D344" s="60"/>
      <c r="E344" s="60"/>
      <c r="F344" s="60"/>
      <c r="G344" s="60"/>
      <c r="H344" s="60"/>
      <c r="I344" s="213"/>
    </row>
    <row r="345" spans="4:9" ht="15" customHeight="1">
      <c r="D345" s="60"/>
      <c r="E345" s="60"/>
      <c r="F345" s="60"/>
      <c r="G345" s="60"/>
      <c r="H345" s="60"/>
      <c r="I345" s="213"/>
    </row>
    <row r="346" spans="4:9" ht="15" customHeight="1">
      <c r="D346" s="60"/>
      <c r="E346" s="60"/>
      <c r="F346" s="60"/>
      <c r="G346" s="60"/>
      <c r="H346" s="60"/>
      <c r="I346" s="213"/>
    </row>
    <row r="347" spans="4:9" ht="15" customHeight="1">
      <c r="D347" s="60"/>
      <c r="E347" s="60"/>
      <c r="F347" s="60"/>
      <c r="G347" s="60"/>
      <c r="H347" s="60"/>
      <c r="I347" s="213"/>
    </row>
    <row r="348" spans="4:9" ht="15" customHeight="1">
      <c r="D348" s="60"/>
      <c r="E348" s="60"/>
      <c r="F348" s="60"/>
      <c r="G348" s="60"/>
      <c r="H348" s="60"/>
      <c r="I348" s="213"/>
    </row>
    <row r="349" spans="4:9" ht="15" customHeight="1">
      <c r="D349" s="60"/>
      <c r="E349" s="60"/>
      <c r="F349" s="60"/>
      <c r="G349" s="60"/>
      <c r="H349" s="60"/>
      <c r="I349" s="213"/>
    </row>
    <row r="350" spans="4:9" ht="15" customHeight="1">
      <c r="D350" s="60"/>
      <c r="E350" s="60"/>
      <c r="F350" s="60"/>
      <c r="G350" s="60"/>
      <c r="H350" s="60"/>
      <c r="I350" s="213"/>
    </row>
    <row r="351" spans="4:9" ht="15" customHeight="1">
      <c r="D351" s="60"/>
      <c r="E351" s="60"/>
      <c r="F351" s="60"/>
      <c r="G351" s="60"/>
      <c r="H351" s="60"/>
      <c r="I351" s="213"/>
    </row>
    <row r="352" spans="4:9" ht="15" customHeight="1">
      <c r="D352" s="60"/>
      <c r="E352" s="60"/>
      <c r="F352" s="60"/>
      <c r="G352" s="60"/>
      <c r="H352" s="60"/>
      <c r="I352" s="213"/>
    </row>
    <row r="353" spans="4:9" ht="15" customHeight="1">
      <c r="D353" s="60"/>
      <c r="E353" s="60"/>
      <c r="F353" s="60"/>
      <c r="G353" s="60"/>
      <c r="H353" s="60"/>
      <c r="I353" s="213"/>
    </row>
    <row r="354" spans="4:9" ht="15" customHeight="1">
      <c r="D354" s="60"/>
      <c r="E354" s="60"/>
      <c r="F354" s="60"/>
      <c r="G354" s="60"/>
      <c r="H354" s="60"/>
      <c r="I354" s="213"/>
    </row>
    <row r="355" spans="4:9" ht="15" customHeight="1">
      <c r="D355" s="60"/>
      <c r="E355" s="60"/>
      <c r="F355" s="60"/>
      <c r="G355" s="60"/>
      <c r="H355" s="60"/>
      <c r="I355" s="213"/>
    </row>
    <row r="356" spans="4:9" ht="15" customHeight="1">
      <c r="D356" s="60"/>
      <c r="E356" s="60"/>
      <c r="F356" s="60"/>
      <c r="G356" s="60"/>
      <c r="H356" s="60"/>
      <c r="I356" s="213"/>
    </row>
    <row r="357" spans="4:9" ht="15" customHeight="1">
      <c r="D357" s="60"/>
      <c r="E357" s="60"/>
      <c r="F357" s="60"/>
      <c r="G357" s="60"/>
      <c r="H357" s="60"/>
      <c r="I357" s="213"/>
    </row>
    <row r="358" spans="4:9" ht="15" customHeight="1">
      <c r="D358" s="60"/>
      <c r="E358" s="60"/>
      <c r="F358" s="60"/>
      <c r="G358" s="60"/>
      <c r="H358" s="60"/>
      <c r="I358" s="213"/>
    </row>
    <row r="359" spans="4:9" ht="15" customHeight="1">
      <c r="D359" s="60"/>
      <c r="E359" s="60"/>
      <c r="F359" s="60"/>
      <c r="G359" s="60"/>
      <c r="H359" s="60"/>
      <c r="I359" s="213"/>
    </row>
    <row r="360" spans="4:9" ht="15" customHeight="1">
      <c r="D360" s="60"/>
      <c r="E360" s="60"/>
      <c r="F360" s="60"/>
      <c r="G360" s="60"/>
      <c r="H360" s="60"/>
      <c r="I360" s="213"/>
    </row>
    <row r="361" spans="4:9" ht="15" customHeight="1"/>
    <row r="362" spans="4:9" ht="15" customHeight="1"/>
    <row r="363" spans="4:9" ht="15" customHeight="1"/>
    <row r="364" spans="4:9" ht="15" customHeight="1"/>
    <row r="365" spans="4:9" ht="15" customHeight="1"/>
    <row r="366" spans="4:9" ht="15" customHeight="1"/>
    <row r="367" spans="4:9" ht="15" customHeight="1"/>
    <row r="368" spans="4:9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</sheetData>
  <mergeCells count="15">
    <mergeCell ref="D5:D6"/>
    <mergeCell ref="E5:E6"/>
    <mergeCell ref="F5:F6"/>
    <mergeCell ref="G5:G6"/>
    <mergeCell ref="H5:H8"/>
    <mergeCell ref="I5:I8"/>
    <mergeCell ref="D7:D8"/>
    <mergeCell ref="E7:E8"/>
    <mergeCell ref="F7:F8"/>
    <mergeCell ref="G7:G8"/>
    <mergeCell ref="A1:I1"/>
    <mergeCell ref="A2:I2"/>
    <mergeCell ref="A3:I3"/>
    <mergeCell ref="A5:B8"/>
    <mergeCell ref="C5:C8"/>
  </mergeCells>
  <pageMargins left="0.17" right="0.12" top="0.19685039370078741" bottom="0.23622047244094491" header="0.19685039370078741" footer="0.1574803149606299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X377"/>
  <sheetViews>
    <sheetView workbookViewId="0">
      <pane ySplit="8" topLeftCell="A282" activePane="bottomLeft" state="frozen"/>
      <selection activeCell="D177" sqref="D177"/>
      <selection pane="bottomLeft" activeCell="B293" sqref="B293"/>
    </sheetView>
  </sheetViews>
  <sheetFormatPr defaultRowHeight="25.5" customHeight="1"/>
  <cols>
    <col min="1" max="1" width="1.140625" customWidth="1"/>
    <col min="2" max="2" width="25.85546875" customWidth="1"/>
    <col min="3" max="3" width="12.85546875" style="282" customWidth="1"/>
    <col min="4" max="4" width="8.5703125" style="33" customWidth="1"/>
    <col min="5" max="5" width="8.85546875" style="273" customWidth="1"/>
    <col min="6" max="6" width="8.85546875" style="138" customWidth="1"/>
    <col min="7" max="7" width="3.85546875" style="138" customWidth="1"/>
    <col min="8" max="8" width="8.85546875" style="138" customWidth="1"/>
    <col min="9" max="9" width="10" style="33" customWidth="1"/>
    <col min="10" max="10" width="5.140625" style="33" customWidth="1"/>
    <col min="11" max="11" width="7.7109375" style="33" customWidth="1"/>
    <col min="12" max="12" width="4.140625" style="33" customWidth="1"/>
    <col min="13" max="13" width="9.140625" style="138" customWidth="1"/>
    <col min="14" max="16" width="3.85546875" style="33" customWidth="1"/>
    <col min="17" max="17" width="7" style="33" customWidth="1"/>
    <col min="18" max="18" width="3.85546875" customWidth="1"/>
    <col min="19" max="20" width="4.140625" style="168" customWidth="1"/>
    <col min="21" max="21" width="4" customWidth="1"/>
    <col min="22" max="22" width="1.140625" customWidth="1"/>
    <col min="23" max="23" width="23.42578125" style="310" customWidth="1"/>
  </cols>
  <sheetData>
    <row r="1" spans="1:24" s="1" customFormat="1" ht="18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18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18.75" customHeight="1">
      <c r="A3" s="653" t="s">
        <v>385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28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65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8922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f>6548400-20000-1000</f>
        <v>6527400</v>
      </c>
      <c r="D12" s="131">
        <v>533600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196800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>
        <v>15000</v>
      </c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2" t="s">
        <v>81</v>
      </c>
      <c r="C19" s="285">
        <v>344150</v>
      </c>
      <c r="D19" s="131"/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6"/>
      <c r="C20" s="290"/>
      <c r="D20" s="195"/>
      <c r="E20" s="270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SUM(C10:C19)</f>
        <v>10065782</v>
      </c>
      <c r="D21" s="132">
        <f>SUM(D10:D19)</f>
        <v>756962</v>
      </c>
      <c r="E21" s="268">
        <f t="shared" ref="E21:V21" si="0">SUM(E10:E19)</f>
        <v>0</v>
      </c>
      <c r="F21" s="137">
        <f t="shared" si="0"/>
        <v>0</v>
      </c>
      <c r="G21" s="132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756962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v>1283280</v>
      </c>
      <c r="D27" s="131"/>
      <c r="E27" s="267">
        <v>104880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2417520</v>
      </c>
      <c r="D28" s="132">
        <f>SUM(D23:D27)</f>
        <v>0</v>
      </c>
      <c r="E28" s="268">
        <f>SUM(E23:E27)</f>
        <v>199400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199400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3188820+1300000+884640+1648500-38470+38470</f>
        <v>7021960</v>
      </c>
      <c r="D30" s="133"/>
      <c r="E30" s="269">
        <v>226723</v>
      </c>
      <c r="F30" s="136">
        <v>80370</v>
      </c>
      <c r="G30" s="136"/>
      <c r="H30" s="136">
        <v>75090</v>
      </c>
      <c r="I30" s="133"/>
      <c r="J30" s="133"/>
      <c r="K30" s="133"/>
      <c r="L30" s="133"/>
      <c r="M30" s="136">
        <v>111700</v>
      </c>
      <c r="N30" s="133"/>
      <c r="O30" s="133"/>
      <c r="P30" s="133"/>
      <c r="Q30" s="133"/>
      <c r="R30" s="217"/>
      <c r="S30" s="219"/>
      <c r="T30" s="219"/>
      <c r="U30" s="217"/>
      <c r="V30" s="217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136">
        <v>0</v>
      </c>
      <c r="G31" s="136"/>
      <c r="H31" s="136">
        <v>159500</v>
      </c>
      <c r="I31" s="133"/>
      <c r="J31" s="133"/>
      <c r="K31" s="133"/>
      <c r="L31" s="133"/>
      <c r="M31" s="136">
        <v>0</v>
      </c>
      <c r="N31" s="133"/>
      <c r="O31" s="133"/>
      <c r="P31" s="133"/>
      <c r="Q31" s="133"/>
      <c r="R31" s="217"/>
      <c r="S31" s="219"/>
      <c r="T31" s="219"/>
      <c r="U31" s="217"/>
      <c r="V31" s="217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136">
        <v>0</v>
      </c>
      <c r="G32" s="136"/>
      <c r="H32" s="136">
        <v>0</v>
      </c>
      <c r="I32" s="133"/>
      <c r="J32" s="133"/>
      <c r="K32" s="133"/>
      <c r="L32" s="133"/>
      <c r="M32" s="136">
        <v>0</v>
      </c>
      <c r="N32" s="133"/>
      <c r="O32" s="133"/>
      <c r="P32" s="133"/>
      <c r="Q32" s="133"/>
      <c r="R32" s="217"/>
      <c r="S32" s="219"/>
      <c r="T32" s="219"/>
      <c r="U32" s="217"/>
      <c r="V32" s="217"/>
    </row>
    <row r="33" spans="1:23" ht="25.5" customHeight="1">
      <c r="A33" s="20"/>
      <c r="B33" s="130" t="s">
        <v>8</v>
      </c>
      <c r="C33" s="32">
        <f>132000+42000+42000+42000</f>
        <v>258000</v>
      </c>
      <c r="D33" s="133"/>
      <c r="E33" s="269">
        <v>11000</v>
      </c>
      <c r="F33" s="136">
        <v>0</v>
      </c>
      <c r="G33" s="136"/>
      <c r="H33" s="136">
        <v>3500</v>
      </c>
      <c r="I33" s="133"/>
      <c r="J33" s="133"/>
      <c r="K33" s="133"/>
      <c r="L33" s="133"/>
      <c r="M33" s="136">
        <v>3500</v>
      </c>
      <c r="N33" s="133"/>
      <c r="O33" s="133"/>
      <c r="P33" s="133"/>
      <c r="Q33" s="133"/>
      <c r="R33" s="217"/>
      <c r="S33" s="219"/>
      <c r="T33" s="219"/>
      <c r="U33" s="217"/>
      <c r="V33" s="217"/>
    </row>
    <row r="34" spans="1:23" ht="25.5" customHeight="1">
      <c r="A34" s="9"/>
      <c r="B34" s="130" t="s">
        <v>186</v>
      </c>
      <c r="C34" s="31">
        <f>787000+589000+559480+350880</f>
        <v>2286360</v>
      </c>
      <c r="D34" s="131"/>
      <c r="E34" s="269">
        <v>129660</v>
      </c>
      <c r="F34" s="135">
        <v>75260</v>
      </c>
      <c r="G34" s="135"/>
      <c r="H34" s="135">
        <v>82320</v>
      </c>
      <c r="I34" s="131"/>
      <c r="J34" s="131"/>
      <c r="K34" s="131"/>
      <c r="L34" s="131"/>
      <c r="M34" s="135">
        <v>58480</v>
      </c>
      <c r="N34" s="131"/>
      <c r="O34" s="131"/>
      <c r="P34" s="131"/>
      <c r="Q34" s="131"/>
      <c r="R34" s="217"/>
      <c r="S34" s="219"/>
      <c r="T34" s="219"/>
      <c r="U34" s="217"/>
      <c r="V34" s="217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7"/>
      <c r="F35" s="135">
        <v>0</v>
      </c>
      <c r="G35" s="135"/>
      <c r="H35" s="135">
        <v>41940</v>
      </c>
      <c r="I35" s="131"/>
      <c r="J35" s="131"/>
      <c r="K35" s="131"/>
      <c r="L35" s="131"/>
      <c r="M35" s="135">
        <v>0</v>
      </c>
      <c r="N35" s="131"/>
      <c r="O35" s="131"/>
      <c r="P35" s="131"/>
      <c r="Q35" s="131"/>
      <c r="R35" s="217"/>
      <c r="S35" s="219"/>
      <c r="T35" s="219"/>
      <c r="U35" s="217"/>
      <c r="V35" s="217"/>
      <c r="W35" s="315"/>
    </row>
    <row r="36" spans="1:23" ht="25.5" customHeight="1">
      <c r="A36" s="9"/>
      <c r="B36" s="130" t="s">
        <v>91</v>
      </c>
      <c r="C36" s="288">
        <f>76000+72000+84000</f>
        <v>232000</v>
      </c>
      <c r="D36" s="131"/>
      <c r="E36" s="267">
        <v>12750</v>
      </c>
      <c r="F36" s="135">
        <v>7140</v>
      </c>
      <c r="G36" s="135"/>
      <c r="H36" s="135">
        <v>11215</v>
      </c>
      <c r="I36" s="131"/>
      <c r="J36" s="131"/>
      <c r="K36" s="131"/>
      <c r="L36" s="131"/>
      <c r="M36" s="135">
        <v>0</v>
      </c>
      <c r="N36" s="131"/>
      <c r="O36" s="131"/>
      <c r="P36" s="131"/>
      <c r="Q36" s="131"/>
      <c r="R36" s="217"/>
      <c r="S36" s="219"/>
      <c r="T36" s="219"/>
      <c r="U36" s="217"/>
      <c r="V36" s="217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70">
        <v>0</v>
      </c>
      <c r="F37" s="196">
        <v>0</v>
      </c>
      <c r="G37" s="196"/>
      <c r="H37" s="196">
        <v>3660</v>
      </c>
      <c r="I37" s="195"/>
      <c r="J37" s="195"/>
      <c r="K37" s="195"/>
      <c r="L37" s="195"/>
      <c r="M37" s="196">
        <v>0</v>
      </c>
      <c r="N37" s="195"/>
      <c r="O37" s="195"/>
      <c r="P37" s="195"/>
      <c r="Q37" s="195"/>
      <c r="R37" s="218"/>
      <c r="S37" s="220"/>
      <c r="T37" s="220"/>
      <c r="U37" s="218"/>
      <c r="V37" s="218"/>
      <c r="W37" s="315"/>
    </row>
    <row r="38" spans="1:23" ht="25.5" customHeight="1" thickBot="1">
      <c r="A38" s="46"/>
      <c r="B38" s="47" t="s">
        <v>5</v>
      </c>
      <c r="C38" s="289">
        <f>SUM(C30:C37)</f>
        <v>11982100</v>
      </c>
      <c r="D38" s="255">
        <f>SUM(D30:D37)</f>
        <v>0</v>
      </c>
      <c r="E38" s="254">
        <f>SUM(E30:E37)</f>
        <v>380573</v>
      </c>
      <c r="F38" s="254">
        <f>SUM(F30:F37)</f>
        <v>162770</v>
      </c>
      <c r="G38" s="255">
        <f t="shared" ref="G38:V38" si="2">SUM(G30:G37)</f>
        <v>0</v>
      </c>
      <c r="H38" s="254">
        <f t="shared" si="2"/>
        <v>377225</v>
      </c>
      <c r="I38" s="255">
        <f t="shared" si="2"/>
        <v>0</v>
      </c>
      <c r="J38" s="255">
        <f t="shared" si="2"/>
        <v>0</v>
      </c>
      <c r="K38" s="255">
        <f t="shared" si="2"/>
        <v>0</v>
      </c>
      <c r="L38" s="255">
        <f t="shared" si="2"/>
        <v>0</v>
      </c>
      <c r="M38" s="254">
        <f t="shared" si="2"/>
        <v>173680</v>
      </c>
      <c r="N38" s="255">
        <f t="shared" si="2"/>
        <v>0</v>
      </c>
      <c r="O38" s="255">
        <f t="shared" si="2"/>
        <v>0</v>
      </c>
      <c r="P38" s="255">
        <f t="shared" si="2"/>
        <v>0</v>
      </c>
      <c r="Q38" s="255">
        <f t="shared" si="2"/>
        <v>0</v>
      </c>
      <c r="R38" s="255">
        <f t="shared" si="2"/>
        <v>0</v>
      </c>
      <c r="S38" s="255">
        <f t="shared" si="2"/>
        <v>0</v>
      </c>
      <c r="T38" s="255"/>
      <c r="U38" s="255">
        <f t="shared" si="2"/>
        <v>0</v>
      </c>
      <c r="V38" s="255">
        <f t="shared" si="2"/>
        <v>0</v>
      </c>
      <c r="W38" s="316">
        <f>SUM(D38:V38)</f>
        <v>1094248</v>
      </c>
    </row>
    <row r="39" spans="1:23" ht="25.5" customHeight="1" thickTop="1">
      <c r="A39" s="5" t="s">
        <v>98</v>
      </c>
      <c r="B39" s="6"/>
      <c r="C39" s="190"/>
      <c r="D39" s="133"/>
      <c r="E39" s="269"/>
      <c r="F39" s="136"/>
      <c r="G39" s="136"/>
      <c r="H39" s="136"/>
      <c r="I39" s="133"/>
      <c r="J39" s="133"/>
      <c r="K39" s="133"/>
      <c r="L39" s="133"/>
      <c r="M39" s="136"/>
      <c r="N39" s="133"/>
      <c r="O39" s="133"/>
      <c r="P39" s="133"/>
      <c r="Q39" s="133"/>
      <c r="R39" s="217"/>
      <c r="S39" s="219"/>
      <c r="T39" s="259"/>
      <c r="U39" s="258"/>
      <c r="V39" s="258"/>
      <c r="W39" s="317"/>
    </row>
    <row r="40" spans="1:23" ht="25.5" customHeight="1">
      <c r="A40" s="9"/>
      <c r="B40" s="130" t="s">
        <v>93</v>
      </c>
      <c r="C40" s="216">
        <v>5000</v>
      </c>
      <c r="D40" s="133"/>
      <c r="E40" s="269"/>
      <c r="F40" s="136"/>
      <c r="G40" s="136"/>
      <c r="H40" s="136"/>
      <c r="I40" s="133"/>
      <c r="J40" s="133"/>
      <c r="K40" s="133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5"/>
    </row>
    <row r="41" spans="1:23" ht="25.5" customHeight="1">
      <c r="A41" s="9"/>
      <c r="B41" s="130" t="s">
        <v>205</v>
      </c>
      <c r="C41" s="285">
        <v>10000</v>
      </c>
      <c r="D41" s="131"/>
      <c r="E41" s="267"/>
      <c r="F41" s="135"/>
      <c r="G41" s="135"/>
      <c r="H41" s="135"/>
      <c r="I41" s="131"/>
      <c r="J41" s="131"/>
      <c r="K41" s="131"/>
      <c r="L41" s="131"/>
      <c r="M41" s="135"/>
      <c r="N41" s="131"/>
      <c r="O41" s="131"/>
      <c r="P41" s="131"/>
      <c r="Q41" s="131"/>
      <c r="R41" s="217"/>
      <c r="S41" s="219"/>
      <c r="T41" s="219"/>
      <c r="U41" s="217"/>
      <c r="V41" s="217"/>
      <c r="W41" s="315"/>
    </row>
    <row r="42" spans="1:23" ht="25.5" customHeight="1">
      <c r="A42" s="9"/>
      <c r="B42" s="130" t="s">
        <v>94</v>
      </c>
      <c r="C42" s="285">
        <v>10000</v>
      </c>
      <c r="D42" s="131"/>
      <c r="E42" s="267"/>
      <c r="F42" s="135"/>
      <c r="G42" s="135"/>
      <c r="H42" s="135"/>
      <c r="I42" s="131"/>
      <c r="J42" s="131"/>
      <c r="K42" s="131"/>
      <c r="L42" s="131"/>
      <c r="M42" s="135"/>
      <c r="N42" s="131"/>
      <c r="O42" s="131"/>
      <c r="P42" s="131"/>
      <c r="Q42" s="131"/>
      <c r="R42" s="217"/>
      <c r="S42" s="219"/>
      <c r="T42" s="219"/>
      <c r="U42" s="217"/>
      <c r="V42" s="217"/>
      <c r="W42" s="311"/>
    </row>
    <row r="43" spans="1:23" ht="25.5" customHeight="1">
      <c r="A43" s="9"/>
      <c r="B43" s="130" t="s">
        <v>95</v>
      </c>
      <c r="C43" s="192">
        <v>5000</v>
      </c>
      <c r="D43" s="131"/>
      <c r="E43" s="267"/>
      <c r="F43" s="135"/>
      <c r="G43" s="135"/>
      <c r="H43" s="135"/>
      <c r="I43" s="131"/>
      <c r="J43" s="131"/>
      <c r="K43" s="131"/>
      <c r="L43" s="131"/>
      <c r="M43" s="135"/>
      <c r="N43" s="131"/>
      <c r="O43" s="131"/>
      <c r="P43" s="131"/>
      <c r="Q43" s="131"/>
      <c r="R43" s="217"/>
      <c r="S43" s="219"/>
      <c r="T43" s="219"/>
      <c r="U43" s="217"/>
      <c r="V43" s="217"/>
    </row>
    <row r="44" spans="1:23" ht="25.5" customHeight="1">
      <c r="A44" s="9"/>
      <c r="B44" s="130" t="s">
        <v>96</v>
      </c>
      <c r="C44" s="192">
        <v>5000</v>
      </c>
      <c r="D44" s="131"/>
      <c r="E44" s="267"/>
      <c r="F44" s="135"/>
      <c r="G44" s="135"/>
      <c r="H44" s="135"/>
      <c r="I44" s="131"/>
      <c r="J44" s="131"/>
      <c r="K44" s="131"/>
      <c r="L44" s="131"/>
      <c r="M44" s="135"/>
      <c r="N44" s="131"/>
      <c r="O44" s="131"/>
      <c r="P44" s="131"/>
      <c r="Q44" s="131"/>
      <c r="R44" s="217"/>
      <c r="S44" s="219"/>
      <c r="T44" s="219"/>
      <c r="U44" s="217"/>
      <c r="V44" s="217"/>
    </row>
    <row r="45" spans="1:23" ht="25.5" customHeight="1">
      <c r="A45" s="9"/>
      <c r="B45" s="130" t="s">
        <v>10</v>
      </c>
      <c r="C45" s="216">
        <f>144000+36000+78000+78000</f>
        <v>336000</v>
      </c>
      <c r="D45" s="133"/>
      <c r="E45" s="267">
        <v>10000</v>
      </c>
      <c r="F45" s="135">
        <v>3000</v>
      </c>
      <c r="G45" s="136"/>
      <c r="H45" s="135">
        <v>6500</v>
      </c>
      <c r="I45" s="133"/>
      <c r="J45" s="133"/>
      <c r="K45" s="133"/>
      <c r="L45" s="133"/>
      <c r="M45" s="135">
        <v>6500</v>
      </c>
      <c r="N45" s="133"/>
      <c r="O45" s="133"/>
      <c r="P45" s="133"/>
      <c r="Q45" s="133"/>
      <c r="R45" s="217"/>
      <c r="S45" s="219"/>
      <c r="T45" s="219"/>
      <c r="U45" s="217"/>
      <c r="V45" s="217"/>
    </row>
    <row r="46" spans="1:23" ht="25.5" customHeight="1">
      <c r="A46" s="9"/>
      <c r="B46" s="130" t="s">
        <v>9</v>
      </c>
      <c r="C46" s="216">
        <f>25000+10000+30000+20000-7700</f>
        <v>77300</v>
      </c>
      <c r="D46" s="131"/>
      <c r="E46" s="267"/>
      <c r="F46" s="135"/>
      <c r="G46" s="135"/>
      <c r="H46" s="135">
        <v>2800</v>
      </c>
      <c r="I46" s="131"/>
      <c r="J46" s="131"/>
      <c r="K46" s="131"/>
      <c r="L46" s="131"/>
      <c r="M46" s="135"/>
      <c r="N46" s="131"/>
      <c r="O46" s="131"/>
      <c r="P46" s="131"/>
      <c r="Q46" s="131"/>
      <c r="R46" s="217"/>
      <c r="S46" s="219"/>
      <c r="T46" s="219"/>
      <c r="U46" s="217"/>
      <c r="V46" s="217"/>
    </row>
    <row r="47" spans="1:23" ht="25.5" customHeight="1">
      <c r="A47" s="197"/>
      <c r="B47" s="198" t="s">
        <v>241</v>
      </c>
      <c r="C47" s="286">
        <v>44200</v>
      </c>
      <c r="D47" s="131"/>
      <c r="E47" s="267"/>
      <c r="F47" s="135"/>
      <c r="G47" s="135"/>
      <c r="H47" s="135"/>
      <c r="I47" s="131"/>
      <c r="J47" s="131"/>
      <c r="K47" s="131"/>
      <c r="L47" s="131"/>
      <c r="M47" s="135"/>
      <c r="N47" s="131"/>
      <c r="O47" s="131"/>
      <c r="P47" s="131"/>
      <c r="Q47" s="131"/>
      <c r="R47" s="217"/>
      <c r="S47" s="219"/>
      <c r="T47" s="219"/>
      <c r="U47" s="217"/>
      <c r="V47" s="217"/>
    </row>
    <row r="48" spans="1:23" ht="25.5" customHeight="1">
      <c r="A48" s="9"/>
      <c r="B48" s="6"/>
      <c r="C48" s="290"/>
      <c r="D48" s="195"/>
      <c r="E48" s="270"/>
      <c r="F48" s="196"/>
      <c r="G48" s="196"/>
      <c r="H48" s="196"/>
      <c r="I48" s="195"/>
      <c r="J48" s="195"/>
      <c r="K48" s="195"/>
      <c r="L48" s="195"/>
      <c r="M48" s="196"/>
      <c r="N48" s="195"/>
      <c r="O48" s="195"/>
      <c r="P48" s="195"/>
      <c r="Q48" s="195"/>
      <c r="R48" s="218"/>
      <c r="S48" s="220"/>
      <c r="T48" s="220"/>
      <c r="U48" s="218"/>
      <c r="V48" s="218"/>
    </row>
    <row r="49" spans="1:23" ht="25.5" customHeight="1" thickBot="1">
      <c r="A49" s="46"/>
      <c r="B49" s="47" t="s">
        <v>5</v>
      </c>
      <c r="C49" s="289">
        <f>SUM(C40:C47)</f>
        <v>492500</v>
      </c>
      <c r="D49" s="255">
        <f>SUM(D40:D47)</f>
        <v>0</v>
      </c>
      <c r="E49" s="254">
        <f t="shared" ref="E49:V49" si="3">SUM(E40:E47)</f>
        <v>10000</v>
      </c>
      <c r="F49" s="254">
        <f t="shared" si="3"/>
        <v>3000</v>
      </c>
      <c r="G49" s="255">
        <f t="shared" si="3"/>
        <v>0</v>
      </c>
      <c r="H49" s="254">
        <f t="shared" si="3"/>
        <v>9300</v>
      </c>
      <c r="I49" s="255">
        <f t="shared" si="3"/>
        <v>0</v>
      </c>
      <c r="J49" s="255">
        <f t="shared" si="3"/>
        <v>0</v>
      </c>
      <c r="K49" s="255">
        <f t="shared" si="3"/>
        <v>0</v>
      </c>
      <c r="L49" s="255">
        <f t="shared" si="3"/>
        <v>0</v>
      </c>
      <c r="M49" s="254">
        <f t="shared" si="3"/>
        <v>6500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28800</v>
      </c>
    </row>
    <row r="50" spans="1:23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3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3" ht="25.5" customHeight="1">
      <c r="A51" s="5"/>
      <c r="B51" s="130" t="s">
        <v>100</v>
      </c>
      <c r="C51" s="281">
        <f>15000+7000+20000+15000+1000</f>
        <v>58000</v>
      </c>
      <c r="D51" s="133"/>
      <c r="E51" s="269"/>
      <c r="F51" s="136"/>
      <c r="G51" s="136"/>
      <c r="H51" s="136"/>
      <c r="I51" s="133"/>
      <c r="J51" s="133"/>
      <c r="K51" s="133"/>
      <c r="L51" s="133"/>
      <c r="M51" s="136"/>
      <c r="N51" s="133"/>
      <c r="O51" s="133"/>
      <c r="P51" s="133"/>
      <c r="Q51" s="133"/>
      <c r="R51" s="217"/>
      <c r="S51" s="219"/>
      <c r="T51" s="259"/>
      <c r="U51" s="258"/>
      <c r="V51" s="258"/>
    </row>
    <row r="52" spans="1:23" ht="25.5" customHeight="1">
      <c r="A52" s="5"/>
      <c r="B52" s="130" t="s">
        <v>226</v>
      </c>
      <c r="C52" s="281">
        <f>1044000+124000+384000+296000</f>
        <v>1848000</v>
      </c>
      <c r="D52" s="133"/>
      <c r="E52" s="269">
        <v>124340</v>
      </c>
      <c r="F52" s="136">
        <v>14998</v>
      </c>
      <c r="G52" s="136"/>
      <c r="H52" s="136">
        <v>54180</v>
      </c>
      <c r="I52" s="133"/>
      <c r="J52" s="133"/>
      <c r="K52" s="133"/>
      <c r="L52" s="133"/>
      <c r="M52" s="136">
        <v>36286</v>
      </c>
      <c r="N52" s="133"/>
      <c r="O52" s="133"/>
      <c r="P52" s="133"/>
      <c r="Q52" s="133"/>
      <c r="R52" s="217"/>
      <c r="S52" s="219"/>
      <c r="T52" s="219"/>
      <c r="U52" s="217"/>
      <c r="V52" s="217"/>
    </row>
    <row r="53" spans="1:23" ht="25.5" customHeight="1">
      <c r="A53" s="5"/>
      <c r="B53" s="130" t="s">
        <v>223</v>
      </c>
      <c r="C53" s="281">
        <v>200000</v>
      </c>
      <c r="D53" s="133"/>
      <c r="E53" s="269"/>
      <c r="F53" s="136"/>
      <c r="G53" s="136"/>
      <c r="H53" s="136"/>
      <c r="I53" s="133"/>
      <c r="J53" s="133"/>
      <c r="K53" s="133"/>
      <c r="L53" s="133"/>
      <c r="M53" s="136"/>
      <c r="N53" s="133"/>
      <c r="O53" s="133"/>
      <c r="P53" s="133"/>
      <c r="Q53" s="133"/>
      <c r="R53" s="217"/>
      <c r="S53" s="219"/>
      <c r="T53" s="219"/>
      <c r="U53" s="217"/>
      <c r="V53" s="217"/>
    </row>
    <row r="54" spans="1:23" ht="25.5" customHeight="1">
      <c r="A54" s="5"/>
      <c r="B54" s="130" t="s">
        <v>224</v>
      </c>
      <c r="C54" s="281">
        <v>20000</v>
      </c>
      <c r="D54" s="133"/>
      <c r="E54" s="269"/>
      <c r="F54" s="136"/>
      <c r="G54" s="136"/>
      <c r="H54" s="136"/>
      <c r="I54" s="133"/>
      <c r="J54" s="133"/>
      <c r="K54" s="133"/>
      <c r="L54" s="133"/>
      <c r="M54" s="136"/>
      <c r="N54" s="133"/>
      <c r="O54" s="133"/>
      <c r="P54" s="133"/>
      <c r="Q54" s="133"/>
      <c r="R54" s="217"/>
      <c r="S54" s="219"/>
      <c r="T54" s="219"/>
      <c r="U54" s="217"/>
      <c r="V54" s="217"/>
    </row>
    <row r="55" spans="1:23" ht="25.5" customHeight="1">
      <c r="A55" s="5"/>
      <c r="B55" s="130" t="s">
        <v>225</v>
      </c>
      <c r="C55" s="281">
        <v>10000</v>
      </c>
      <c r="D55" s="133"/>
      <c r="E55" s="269">
        <v>1890</v>
      </c>
      <c r="F55" s="136"/>
      <c r="G55" s="136"/>
      <c r="H55" s="136"/>
      <c r="I55" s="133"/>
      <c r="J55" s="133"/>
      <c r="K55" s="133"/>
      <c r="L55" s="133"/>
      <c r="M55" s="136"/>
      <c r="N55" s="133"/>
      <c r="O55" s="133"/>
      <c r="P55" s="133"/>
      <c r="Q55" s="133"/>
      <c r="R55" s="217"/>
      <c r="S55" s="219"/>
      <c r="T55" s="219"/>
      <c r="U55" s="217"/>
      <c r="V55" s="217"/>
    </row>
    <row r="56" spans="1:23" ht="25.5" customHeight="1">
      <c r="A56" s="5"/>
      <c r="B56" s="130" t="s">
        <v>227</v>
      </c>
      <c r="C56" s="281">
        <v>40000</v>
      </c>
      <c r="D56" s="133"/>
      <c r="E56" s="269"/>
      <c r="F56" s="136"/>
      <c r="G56" s="136"/>
      <c r="H56" s="136"/>
      <c r="I56" s="133"/>
      <c r="J56" s="133"/>
      <c r="K56" s="133"/>
      <c r="L56" s="133"/>
      <c r="M56" s="136"/>
      <c r="N56" s="133"/>
      <c r="O56" s="133"/>
      <c r="P56" s="133"/>
      <c r="Q56" s="133"/>
      <c r="R56" s="217"/>
      <c r="S56" s="219"/>
      <c r="T56" s="219"/>
      <c r="U56" s="217"/>
      <c r="V56" s="217"/>
    </row>
    <row r="57" spans="1:23" ht="25.5" customHeight="1">
      <c r="A57" s="5"/>
      <c r="B57" s="130" t="s">
        <v>228</v>
      </c>
      <c r="C57" s="281">
        <v>9000</v>
      </c>
      <c r="D57" s="133"/>
      <c r="E57" s="269"/>
      <c r="F57" s="136"/>
      <c r="G57" s="136"/>
      <c r="H57" s="136"/>
      <c r="I57" s="133"/>
      <c r="J57" s="133"/>
      <c r="K57" s="133"/>
      <c r="L57" s="133"/>
      <c r="M57" s="136"/>
      <c r="N57" s="133"/>
      <c r="O57" s="133"/>
      <c r="P57" s="133"/>
      <c r="Q57" s="133"/>
      <c r="R57" s="217"/>
      <c r="S57" s="219"/>
      <c r="T57" s="219"/>
      <c r="U57" s="217"/>
      <c r="V57" s="217"/>
    </row>
    <row r="58" spans="1:23" ht="25.5" customHeight="1">
      <c r="A58" s="5"/>
      <c r="B58" s="130" t="s">
        <v>11</v>
      </c>
      <c r="C58" s="281">
        <v>10000</v>
      </c>
      <c r="D58" s="133"/>
      <c r="E58" s="269"/>
      <c r="F58" s="136"/>
      <c r="G58" s="136"/>
      <c r="H58" s="136"/>
      <c r="I58" s="133"/>
      <c r="J58" s="133"/>
      <c r="K58" s="133"/>
      <c r="L58" s="133"/>
      <c r="M58" s="136"/>
      <c r="N58" s="133"/>
      <c r="O58" s="133"/>
      <c r="P58" s="133"/>
      <c r="Q58" s="133"/>
      <c r="R58" s="217"/>
      <c r="S58" s="219"/>
      <c r="T58" s="219"/>
      <c r="U58" s="217"/>
      <c r="V58" s="217"/>
    </row>
    <row r="59" spans="1:23" ht="25.5" customHeight="1">
      <c r="A59" s="5"/>
      <c r="B59" s="130" t="s">
        <v>229</v>
      </c>
      <c r="C59" s="281">
        <v>10000</v>
      </c>
      <c r="D59" s="133"/>
      <c r="E59" s="269">
        <v>1047</v>
      </c>
      <c r="F59" s="136"/>
      <c r="G59" s="136"/>
      <c r="H59" s="136"/>
      <c r="I59" s="133"/>
      <c r="J59" s="133"/>
      <c r="K59" s="133"/>
      <c r="L59" s="133"/>
      <c r="M59" s="136"/>
      <c r="N59" s="133"/>
      <c r="O59" s="133"/>
      <c r="P59" s="133"/>
      <c r="Q59" s="133"/>
      <c r="R59" s="217"/>
      <c r="S59" s="219"/>
      <c r="T59" s="219"/>
      <c r="U59" s="217"/>
      <c r="V59" s="217"/>
    </row>
    <row r="60" spans="1:23" ht="25.5" customHeight="1">
      <c r="A60" s="5"/>
      <c r="B60" s="130" t="s">
        <v>230</v>
      </c>
      <c r="C60" s="281">
        <v>20000</v>
      </c>
      <c r="D60" s="133"/>
      <c r="E60" s="269">
        <v>61400</v>
      </c>
      <c r="F60" s="136"/>
      <c r="G60" s="136"/>
      <c r="H60" s="136"/>
      <c r="I60" s="133"/>
      <c r="J60" s="133"/>
      <c r="K60" s="133"/>
      <c r="L60" s="133"/>
      <c r="M60" s="136"/>
      <c r="N60" s="133"/>
      <c r="O60" s="133"/>
      <c r="P60" s="133"/>
      <c r="Q60" s="133"/>
      <c r="R60" s="217"/>
      <c r="S60" s="219"/>
      <c r="T60" s="219"/>
      <c r="U60" s="217"/>
      <c r="V60" s="217"/>
    </row>
    <row r="61" spans="1:23" ht="25.5" customHeight="1">
      <c r="A61" s="9"/>
      <c r="B61" s="130" t="s">
        <v>50</v>
      </c>
      <c r="C61" s="280">
        <v>10000</v>
      </c>
      <c r="D61" s="133"/>
      <c r="E61" s="269"/>
      <c r="F61" s="136"/>
      <c r="G61" s="136"/>
      <c r="H61" s="136"/>
      <c r="I61" s="133"/>
      <c r="J61" s="133"/>
      <c r="K61" s="133"/>
      <c r="L61" s="133"/>
      <c r="M61" s="136"/>
      <c r="N61" s="133"/>
      <c r="O61" s="133"/>
      <c r="P61" s="133"/>
      <c r="Q61" s="133"/>
      <c r="R61" s="217"/>
      <c r="S61" s="219"/>
      <c r="T61" s="219"/>
      <c r="U61" s="217"/>
      <c r="V61" s="217"/>
    </row>
    <row r="62" spans="1:23" ht="25.5" customHeight="1">
      <c r="A62" s="9"/>
      <c r="B62" s="130" t="s">
        <v>103</v>
      </c>
      <c r="C62" s="280">
        <v>10000</v>
      </c>
      <c r="D62" s="131"/>
      <c r="E62" s="267"/>
      <c r="F62" s="135"/>
      <c r="G62" s="135"/>
      <c r="H62" s="135"/>
      <c r="I62" s="131"/>
      <c r="J62" s="131"/>
      <c r="K62" s="131"/>
      <c r="L62" s="131"/>
      <c r="M62" s="135"/>
      <c r="N62" s="131"/>
      <c r="O62" s="131"/>
      <c r="P62" s="131"/>
      <c r="Q62" s="131"/>
      <c r="R62" s="217"/>
      <c r="S62" s="219"/>
      <c r="T62" s="219"/>
      <c r="U62" s="217"/>
      <c r="V62" s="217"/>
    </row>
    <row r="63" spans="1:23" ht="25.5" customHeight="1">
      <c r="A63" s="9"/>
      <c r="B63" s="187" t="s">
        <v>106</v>
      </c>
      <c r="C63" s="283">
        <f>200000+30000+30000+80000</f>
        <v>340000</v>
      </c>
      <c r="D63" s="131"/>
      <c r="E63" s="267"/>
      <c r="F63" s="135">
        <v>3260</v>
      </c>
      <c r="G63" s="135"/>
      <c r="H63" s="135">
        <v>16900</v>
      </c>
      <c r="I63" s="131"/>
      <c r="J63" s="131"/>
      <c r="K63" s="131"/>
      <c r="L63" s="131"/>
      <c r="M63" s="135"/>
      <c r="N63" s="131"/>
      <c r="O63" s="131"/>
      <c r="P63" s="131"/>
      <c r="Q63" s="131"/>
      <c r="R63" s="217"/>
      <c r="S63" s="219"/>
      <c r="T63" s="219"/>
      <c r="U63" s="217"/>
      <c r="V63" s="217"/>
    </row>
    <row r="64" spans="1:23" ht="25.5" customHeight="1">
      <c r="A64" s="9"/>
      <c r="B64" s="187" t="s">
        <v>231</v>
      </c>
      <c r="C64" s="283">
        <v>5000</v>
      </c>
      <c r="D64" s="131"/>
      <c r="E64" s="267">
        <v>7000</v>
      </c>
      <c r="F64" s="135"/>
      <c r="G64" s="135"/>
      <c r="H64" s="135"/>
      <c r="I64" s="131"/>
      <c r="J64" s="131"/>
      <c r="K64" s="131"/>
      <c r="L64" s="131"/>
      <c r="M64" s="135"/>
      <c r="N64" s="131"/>
      <c r="O64" s="131"/>
      <c r="P64" s="131"/>
      <c r="Q64" s="131"/>
      <c r="R64" s="217"/>
      <c r="S64" s="219"/>
      <c r="T64" s="219"/>
      <c r="U64" s="217"/>
      <c r="V64" s="217"/>
    </row>
    <row r="65" spans="1:22" ht="25.5" customHeight="1">
      <c r="A65" s="9"/>
      <c r="B65" s="187" t="s">
        <v>204</v>
      </c>
      <c r="C65" s="283">
        <v>5000</v>
      </c>
      <c r="D65" s="131"/>
      <c r="E65" s="267"/>
      <c r="F65" s="135"/>
      <c r="G65" s="135"/>
      <c r="H65" s="135"/>
      <c r="I65" s="131"/>
      <c r="J65" s="131"/>
      <c r="K65" s="131"/>
      <c r="L65" s="131"/>
      <c r="M65" s="135"/>
      <c r="N65" s="131"/>
      <c r="O65" s="131"/>
      <c r="P65" s="131"/>
      <c r="Q65" s="131"/>
      <c r="R65" s="217"/>
      <c r="S65" s="219"/>
      <c r="T65" s="219"/>
      <c r="U65" s="217"/>
      <c r="V65" s="217"/>
    </row>
    <row r="66" spans="1:22" ht="25.5" customHeight="1">
      <c r="A66" s="9"/>
      <c r="B66" s="187" t="s">
        <v>232</v>
      </c>
      <c r="C66" s="283">
        <v>120000</v>
      </c>
      <c r="D66" s="131"/>
      <c r="E66" s="267"/>
      <c r="F66" s="135"/>
      <c r="G66" s="135"/>
      <c r="H66" s="135"/>
      <c r="I66" s="131"/>
      <c r="J66" s="131"/>
      <c r="K66" s="131"/>
      <c r="L66" s="131"/>
      <c r="M66" s="135"/>
      <c r="N66" s="131"/>
      <c r="O66" s="131"/>
      <c r="P66" s="131"/>
      <c r="Q66" s="131"/>
      <c r="R66" s="217"/>
      <c r="S66" s="219"/>
      <c r="T66" s="219"/>
      <c r="U66" s="217"/>
      <c r="V66" s="217"/>
    </row>
    <row r="67" spans="1:22" ht="25.5" customHeight="1">
      <c r="A67" s="9"/>
      <c r="B67" s="187" t="s">
        <v>233</v>
      </c>
      <c r="C67" s="283">
        <v>125000</v>
      </c>
      <c r="D67" s="131"/>
      <c r="E67" s="267"/>
      <c r="F67" s="135"/>
      <c r="G67" s="135"/>
      <c r="H67" s="135"/>
      <c r="I67" s="131"/>
      <c r="J67" s="131"/>
      <c r="K67" s="131"/>
      <c r="L67" s="131"/>
      <c r="M67" s="135"/>
      <c r="N67" s="131"/>
      <c r="O67" s="131"/>
      <c r="P67" s="131"/>
      <c r="Q67" s="131"/>
      <c r="R67" s="217"/>
      <c r="S67" s="219"/>
      <c r="T67" s="219"/>
      <c r="U67" s="217"/>
      <c r="V67" s="217"/>
    </row>
    <row r="68" spans="1:22" ht="25.5" customHeight="1">
      <c r="A68" s="9"/>
      <c r="B68" s="187" t="s">
        <v>234</v>
      </c>
      <c r="C68" s="283">
        <v>5000</v>
      </c>
      <c r="D68" s="131"/>
      <c r="E68" s="267"/>
      <c r="F68" s="135"/>
      <c r="G68" s="135"/>
      <c r="H68" s="135"/>
      <c r="I68" s="131"/>
      <c r="J68" s="131"/>
      <c r="K68" s="131"/>
      <c r="L68" s="131"/>
      <c r="M68" s="135"/>
      <c r="N68" s="131"/>
      <c r="O68" s="131"/>
      <c r="P68" s="131"/>
      <c r="Q68" s="131"/>
      <c r="R68" s="217"/>
      <c r="S68" s="219"/>
      <c r="T68" s="219"/>
      <c r="U68" s="217"/>
      <c r="V68" s="217"/>
    </row>
    <row r="69" spans="1:22" ht="25.5" customHeight="1">
      <c r="A69" s="9"/>
      <c r="B69" s="187" t="s">
        <v>235</v>
      </c>
      <c r="C69" s="283">
        <v>90000</v>
      </c>
      <c r="D69" s="131"/>
      <c r="E69" s="267"/>
      <c r="F69" s="135"/>
      <c r="G69" s="135"/>
      <c r="H69" s="135"/>
      <c r="I69" s="131"/>
      <c r="J69" s="131"/>
      <c r="K69" s="131"/>
      <c r="L69" s="131"/>
      <c r="M69" s="135"/>
      <c r="N69" s="131"/>
      <c r="O69" s="131"/>
      <c r="P69" s="131"/>
      <c r="Q69" s="131"/>
      <c r="R69" s="217"/>
      <c r="S69" s="219"/>
      <c r="T69" s="219"/>
      <c r="U69" s="217"/>
      <c r="V69" s="217"/>
    </row>
    <row r="70" spans="1:22" ht="25.5" customHeight="1">
      <c r="A70" s="9"/>
      <c r="B70" s="187" t="s">
        <v>236</v>
      </c>
      <c r="C70" s="283">
        <v>5000</v>
      </c>
      <c r="D70" s="131"/>
      <c r="E70" s="267"/>
      <c r="F70" s="135"/>
      <c r="G70" s="135"/>
      <c r="H70" s="135"/>
      <c r="I70" s="131"/>
      <c r="J70" s="131"/>
      <c r="K70" s="131"/>
      <c r="L70" s="131"/>
      <c r="M70" s="135"/>
      <c r="N70" s="131"/>
      <c r="O70" s="131"/>
      <c r="P70" s="131"/>
      <c r="Q70" s="131"/>
      <c r="R70" s="217"/>
      <c r="S70" s="219"/>
      <c r="T70" s="219"/>
      <c r="U70" s="217"/>
      <c r="V70" s="217"/>
    </row>
    <row r="71" spans="1:22" ht="25.5" customHeight="1">
      <c r="A71" s="9"/>
      <c r="B71" s="187" t="s">
        <v>237</v>
      </c>
      <c r="C71" s="283">
        <v>5000</v>
      </c>
      <c r="D71" s="131"/>
      <c r="E71" s="267"/>
      <c r="F71" s="135"/>
      <c r="G71" s="135"/>
      <c r="H71" s="135"/>
      <c r="I71" s="131"/>
      <c r="J71" s="131"/>
      <c r="K71" s="131"/>
      <c r="L71" s="131"/>
      <c r="M71" s="135"/>
      <c r="N71" s="131"/>
      <c r="O71" s="131"/>
      <c r="P71" s="131"/>
      <c r="Q71" s="131"/>
      <c r="R71" s="217"/>
      <c r="S71" s="219"/>
      <c r="T71" s="219"/>
      <c r="U71" s="217"/>
      <c r="V71" s="217"/>
    </row>
    <row r="72" spans="1:22" ht="25.5" customHeight="1">
      <c r="A72" s="165"/>
      <c r="B72" s="226" t="s">
        <v>277</v>
      </c>
      <c r="C72" s="279">
        <v>5000</v>
      </c>
      <c r="D72" s="131"/>
      <c r="E72" s="267"/>
      <c r="F72" s="135"/>
      <c r="G72" s="135"/>
      <c r="H72" s="135"/>
      <c r="I72" s="131"/>
      <c r="J72" s="131"/>
      <c r="K72" s="131"/>
      <c r="L72" s="131"/>
      <c r="M72" s="135"/>
      <c r="N72" s="131"/>
      <c r="O72" s="131"/>
      <c r="P72" s="131"/>
      <c r="Q72" s="131"/>
      <c r="R72" s="217"/>
      <c r="S72" s="219"/>
      <c r="T72" s="219"/>
      <c r="U72" s="217"/>
      <c r="V72" s="217"/>
    </row>
    <row r="73" spans="1:22" ht="25.5" customHeight="1">
      <c r="A73" s="165"/>
      <c r="B73" s="226" t="s">
        <v>107</v>
      </c>
      <c r="C73" s="279">
        <v>10000</v>
      </c>
      <c r="D73" s="131"/>
      <c r="E73" s="267"/>
      <c r="F73" s="135"/>
      <c r="G73" s="135"/>
      <c r="H73" s="135"/>
      <c r="I73" s="131"/>
      <c r="J73" s="131"/>
      <c r="K73" s="131"/>
      <c r="L73" s="131"/>
      <c r="M73" s="135"/>
      <c r="N73" s="131"/>
      <c r="O73" s="131"/>
      <c r="P73" s="131"/>
      <c r="Q73" s="131"/>
      <c r="R73" s="217"/>
      <c r="S73" s="219"/>
      <c r="T73" s="219"/>
      <c r="U73" s="217"/>
      <c r="V73" s="217"/>
    </row>
    <row r="74" spans="1:22" ht="25.5" customHeight="1">
      <c r="A74" s="9"/>
      <c r="B74" s="226" t="s">
        <v>278</v>
      </c>
      <c r="C74" s="279">
        <v>10000</v>
      </c>
      <c r="D74" s="195"/>
      <c r="E74" s="270"/>
      <c r="F74" s="196"/>
      <c r="G74" s="196"/>
      <c r="H74" s="196"/>
      <c r="I74" s="195"/>
      <c r="J74" s="195"/>
      <c r="K74" s="195"/>
      <c r="L74" s="195"/>
      <c r="M74" s="196"/>
      <c r="N74" s="195"/>
      <c r="O74" s="195"/>
      <c r="P74" s="195"/>
      <c r="Q74" s="195"/>
      <c r="R74" s="217"/>
      <c r="S74" s="219"/>
      <c r="T74" s="220"/>
      <c r="U74" s="218"/>
      <c r="V74" s="218"/>
    </row>
    <row r="75" spans="1:22" ht="25.5" customHeight="1">
      <c r="A75" s="165"/>
      <c r="B75" s="226" t="s">
        <v>279</v>
      </c>
      <c r="C75" s="279">
        <v>10000</v>
      </c>
      <c r="D75" s="195"/>
      <c r="E75" s="270"/>
      <c r="F75" s="196"/>
      <c r="G75" s="196"/>
      <c r="H75" s="196"/>
      <c r="I75" s="195"/>
      <c r="J75" s="195"/>
      <c r="K75" s="195"/>
      <c r="L75" s="195"/>
      <c r="M75" s="196"/>
      <c r="N75" s="195"/>
      <c r="O75" s="195"/>
      <c r="P75" s="195"/>
      <c r="Q75" s="195"/>
      <c r="R75" s="218"/>
      <c r="S75" s="220"/>
      <c r="T75" s="220"/>
      <c r="U75" s="218"/>
      <c r="V75" s="218"/>
    </row>
    <row r="76" spans="1:22" ht="25.5" customHeight="1">
      <c r="A76" s="9"/>
      <c r="B76" s="226" t="s">
        <v>280</v>
      </c>
      <c r="C76" s="279">
        <v>10000</v>
      </c>
      <c r="D76" s="195"/>
      <c r="E76" s="270"/>
      <c r="F76" s="196"/>
      <c r="G76" s="196"/>
      <c r="H76" s="196"/>
      <c r="I76" s="195"/>
      <c r="J76" s="195"/>
      <c r="K76" s="195"/>
      <c r="L76" s="195"/>
      <c r="M76" s="196"/>
      <c r="N76" s="195"/>
      <c r="O76" s="195"/>
      <c r="P76" s="195"/>
      <c r="Q76" s="195"/>
      <c r="R76" s="218"/>
      <c r="S76" s="220"/>
      <c r="T76" s="220"/>
      <c r="U76" s="218"/>
      <c r="V76" s="218"/>
    </row>
    <row r="77" spans="1:22" ht="25.5" customHeight="1">
      <c r="A77" s="9"/>
      <c r="B77" s="226" t="s">
        <v>281</v>
      </c>
      <c r="C77" s="279">
        <v>5000</v>
      </c>
      <c r="D77" s="195"/>
      <c r="E77" s="270"/>
      <c r="F77" s="196"/>
      <c r="G77" s="196"/>
      <c r="H77" s="196"/>
      <c r="I77" s="195"/>
      <c r="J77" s="195"/>
      <c r="K77" s="195"/>
      <c r="L77" s="195"/>
      <c r="M77" s="196"/>
      <c r="N77" s="195"/>
      <c r="O77" s="195"/>
      <c r="P77" s="195"/>
      <c r="Q77" s="195"/>
      <c r="R77" s="218"/>
      <c r="S77" s="220"/>
      <c r="T77" s="220"/>
      <c r="U77" s="218"/>
      <c r="V77" s="218"/>
    </row>
    <row r="78" spans="1:22" ht="25.5" customHeight="1">
      <c r="A78" s="9"/>
      <c r="B78" s="226" t="s">
        <v>282</v>
      </c>
      <c r="C78" s="279">
        <v>5000</v>
      </c>
      <c r="D78" s="195"/>
      <c r="E78" s="270"/>
      <c r="F78" s="196"/>
      <c r="G78" s="196"/>
      <c r="H78" s="196"/>
      <c r="I78" s="195"/>
      <c r="J78" s="195"/>
      <c r="K78" s="195"/>
      <c r="L78" s="195"/>
      <c r="M78" s="196"/>
      <c r="N78" s="195"/>
      <c r="O78" s="195"/>
      <c r="P78" s="195"/>
      <c r="Q78" s="195"/>
      <c r="R78" s="218"/>
      <c r="S78" s="220"/>
      <c r="T78" s="220"/>
      <c r="U78" s="218"/>
      <c r="V78" s="218"/>
    </row>
    <row r="79" spans="1:22" ht="25.5" customHeight="1">
      <c r="A79" s="9"/>
      <c r="B79" s="226" t="s">
        <v>238</v>
      </c>
      <c r="C79" s="279">
        <f>70000+40000+10000+20000</f>
        <v>140000</v>
      </c>
      <c r="D79" s="195"/>
      <c r="E79" s="270">
        <v>2150</v>
      </c>
      <c r="F79" s="196"/>
      <c r="G79" s="196"/>
      <c r="H79" s="196">
        <v>54000</v>
      </c>
      <c r="I79" s="195"/>
      <c r="J79" s="195"/>
      <c r="K79" s="195"/>
      <c r="L79" s="195"/>
      <c r="M79" s="196"/>
      <c r="N79" s="195"/>
      <c r="O79" s="195"/>
      <c r="P79" s="195"/>
      <c r="Q79" s="195"/>
      <c r="R79" s="218"/>
      <c r="S79" s="220"/>
      <c r="T79" s="220"/>
      <c r="U79" s="218"/>
      <c r="V79" s="218"/>
    </row>
    <row r="80" spans="1:22" ht="25.5" customHeight="1">
      <c r="A80" s="9"/>
      <c r="B80" s="226" t="s">
        <v>121</v>
      </c>
      <c r="C80" s="279">
        <v>100000</v>
      </c>
      <c r="D80" s="195"/>
      <c r="E80" s="270"/>
      <c r="F80" s="196"/>
      <c r="G80" s="196"/>
      <c r="H80" s="196"/>
      <c r="I80" s="195"/>
      <c r="J80" s="195"/>
      <c r="K80" s="195"/>
      <c r="L80" s="195"/>
      <c r="M80" s="196"/>
      <c r="N80" s="195"/>
      <c r="O80" s="195"/>
      <c r="P80" s="195"/>
      <c r="Q80" s="195"/>
      <c r="R80" s="218"/>
      <c r="S80" s="220"/>
      <c r="T80" s="220"/>
      <c r="U80" s="218"/>
      <c r="V80" s="218"/>
    </row>
    <row r="81" spans="1:22" ht="25.5" customHeight="1">
      <c r="A81" s="9"/>
      <c r="B81" s="226" t="s">
        <v>295</v>
      </c>
      <c r="C81" s="279">
        <v>40000</v>
      </c>
      <c r="D81" s="195"/>
      <c r="E81" s="270"/>
      <c r="F81" s="196"/>
      <c r="G81" s="196"/>
      <c r="H81" s="196"/>
      <c r="I81" s="195"/>
      <c r="J81" s="195"/>
      <c r="K81" s="195"/>
      <c r="L81" s="195"/>
      <c r="M81" s="196"/>
      <c r="N81" s="195"/>
      <c r="O81" s="195"/>
      <c r="P81" s="195"/>
      <c r="Q81" s="195"/>
      <c r="R81" s="218"/>
      <c r="S81" s="220"/>
      <c r="T81" s="220"/>
      <c r="U81" s="218"/>
      <c r="V81" s="218"/>
    </row>
    <row r="82" spans="1:22" ht="25.5" customHeight="1">
      <c r="A82" s="9"/>
      <c r="B82" s="226" t="s">
        <v>296</v>
      </c>
      <c r="C82" s="279">
        <v>30000</v>
      </c>
      <c r="D82" s="195"/>
      <c r="E82" s="270"/>
      <c r="F82" s="196"/>
      <c r="G82" s="196"/>
      <c r="H82" s="196"/>
      <c r="I82" s="195"/>
      <c r="J82" s="195"/>
      <c r="K82" s="195"/>
      <c r="L82" s="195"/>
      <c r="M82" s="196"/>
      <c r="N82" s="195"/>
      <c r="O82" s="195"/>
      <c r="P82" s="195"/>
      <c r="Q82" s="195"/>
      <c r="R82" s="218"/>
      <c r="S82" s="220"/>
      <c r="T82" s="220"/>
      <c r="U82" s="218"/>
      <c r="V82" s="218"/>
    </row>
    <row r="83" spans="1:22" ht="25.5" customHeight="1">
      <c r="A83" s="9"/>
      <c r="B83" s="226" t="s">
        <v>210</v>
      </c>
      <c r="C83" s="279">
        <v>10000</v>
      </c>
      <c r="D83" s="195"/>
      <c r="E83" s="270"/>
      <c r="F83" s="196"/>
      <c r="G83" s="196"/>
      <c r="H83" s="196"/>
      <c r="I83" s="195"/>
      <c r="J83" s="195"/>
      <c r="K83" s="195"/>
      <c r="L83" s="195"/>
      <c r="M83" s="196"/>
      <c r="N83" s="195"/>
      <c r="O83" s="195"/>
      <c r="P83" s="195"/>
      <c r="Q83" s="195"/>
      <c r="R83" s="218"/>
      <c r="S83" s="220"/>
      <c r="T83" s="220"/>
      <c r="U83" s="218"/>
      <c r="V83" s="218"/>
    </row>
    <row r="84" spans="1:22" ht="25.5" customHeight="1">
      <c r="A84" s="9"/>
      <c r="B84" s="187" t="s">
        <v>297</v>
      </c>
      <c r="C84" s="279">
        <v>20000</v>
      </c>
      <c r="D84" s="195"/>
      <c r="E84" s="270"/>
      <c r="F84" s="196"/>
      <c r="G84" s="196"/>
      <c r="H84" s="196"/>
      <c r="I84" s="195"/>
      <c r="J84" s="195"/>
      <c r="K84" s="195"/>
      <c r="L84" s="195"/>
      <c r="M84" s="196"/>
      <c r="N84" s="195"/>
      <c r="O84" s="195"/>
      <c r="P84" s="195"/>
      <c r="Q84" s="195"/>
      <c r="R84" s="218"/>
      <c r="S84" s="220"/>
      <c r="T84" s="220"/>
      <c r="U84" s="218"/>
      <c r="V84" s="218"/>
    </row>
    <row r="85" spans="1:22" ht="25.5" customHeight="1">
      <c r="A85" s="9"/>
      <c r="B85" s="187" t="s">
        <v>298</v>
      </c>
      <c r="C85" s="279">
        <v>20000</v>
      </c>
      <c r="D85" s="195"/>
      <c r="E85" s="270"/>
      <c r="F85" s="196"/>
      <c r="G85" s="196"/>
      <c r="H85" s="196"/>
      <c r="I85" s="195"/>
      <c r="J85" s="195"/>
      <c r="K85" s="195"/>
      <c r="L85" s="195"/>
      <c r="M85" s="196"/>
      <c r="N85" s="195"/>
      <c r="O85" s="195"/>
      <c r="P85" s="195"/>
      <c r="Q85" s="195"/>
      <c r="R85" s="218"/>
      <c r="S85" s="220"/>
      <c r="T85" s="220"/>
      <c r="U85" s="218"/>
      <c r="V85" s="218"/>
    </row>
    <row r="86" spans="1:22" ht="25.5" customHeight="1">
      <c r="A86" s="9"/>
      <c r="B86" s="187" t="s">
        <v>299</v>
      </c>
      <c r="C86" s="279">
        <v>15000</v>
      </c>
      <c r="D86" s="195"/>
      <c r="E86" s="270"/>
      <c r="F86" s="196"/>
      <c r="G86" s="196"/>
      <c r="H86" s="196"/>
      <c r="I86" s="195"/>
      <c r="J86" s="195"/>
      <c r="K86" s="195"/>
      <c r="L86" s="195"/>
      <c r="M86" s="196"/>
      <c r="N86" s="195"/>
      <c r="O86" s="195"/>
      <c r="P86" s="195"/>
      <c r="Q86" s="195"/>
      <c r="R86" s="218"/>
      <c r="S86" s="220"/>
      <c r="T86" s="220"/>
      <c r="U86" s="218"/>
      <c r="V86" s="218"/>
    </row>
    <row r="87" spans="1:22" ht="25.5" customHeight="1">
      <c r="A87" s="9"/>
      <c r="B87" s="187" t="s">
        <v>300</v>
      </c>
      <c r="C87" s="279">
        <v>10000</v>
      </c>
      <c r="D87" s="195"/>
      <c r="E87" s="270"/>
      <c r="F87" s="196"/>
      <c r="G87" s="196"/>
      <c r="H87" s="196">
        <v>10000</v>
      </c>
      <c r="I87" s="195"/>
      <c r="J87" s="195"/>
      <c r="K87" s="195"/>
      <c r="L87" s="195"/>
      <c r="M87" s="196"/>
      <c r="N87" s="195"/>
      <c r="O87" s="195"/>
      <c r="P87" s="195"/>
      <c r="Q87" s="195"/>
      <c r="R87" s="218"/>
      <c r="S87" s="220"/>
      <c r="T87" s="220"/>
      <c r="U87" s="218"/>
      <c r="V87" s="218"/>
    </row>
    <row r="88" spans="1:22" ht="25.5" customHeight="1">
      <c r="A88" s="9"/>
      <c r="B88" s="187" t="s">
        <v>301</v>
      </c>
      <c r="C88" s="279">
        <v>345100</v>
      </c>
      <c r="D88" s="195"/>
      <c r="E88" s="270"/>
      <c r="F88" s="196"/>
      <c r="G88" s="196"/>
      <c r="H88" s="196">
        <v>345100</v>
      </c>
      <c r="I88" s="195"/>
      <c r="J88" s="195"/>
      <c r="K88" s="195"/>
      <c r="L88" s="195"/>
      <c r="M88" s="196"/>
      <c r="N88" s="195"/>
      <c r="O88" s="195"/>
      <c r="P88" s="195"/>
      <c r="Q88" s="195"/>
      <c r="R88" s="218"/>
      <c r="S88" s="220"/>
      <c r="T88" s="220"/>
      <c r="U88" s="218"/>
      <c r="V88" s="218"/>
    </row>
    <row r="89" spans="1:22" ht="25.5" customHeight="1">
      <c r="A89" s="9"/>
      <c r="B89" s="187" t="s">
        <v>242</v>
      </c>
      <c r="C89" s="279">
        <v>40000</v>
      </c>
      <c r="D89" s="195"/>
      <c r="E89" s="270"/>
      <c r="F89" s="196"/>
      <c r="G89" s="196"/>
      <c r="H89" s="196"/>
      <c r="I89" s="195"/>
      <c r="J89" s="195"/>
      <c r="K89" s="195"/>
      <c r="L89" s="195"/>
      <c r="M89" s="196"/>
      <c r="N89" s="195"/>
      <c r="O89" s="195"/>
      <c r="P89" s="195"/>
      <c r="Q89" s="195"/>
      <c r="R89" s="218"/>
      <c r="S89" s="220"/>
      <c r="T89" s="220"/>
      <c r="U89" s="218"/>
      <c r="V89" s="218"/>
    </row>
    <row r="90" spans="1:22" ht="25.5" customHeight="1">
      <c r="A90" s="9"/>
      <c r="B90" s="187" t="s">
        <v>307</v>
      </c>
      <c r="C90" s="279">
        <v>10000</v>
      </c>
      <c r="D90" s="131"/>
      <c r="E90" s="267"/>
      <c r="F90" s="135"/>
      <c r="G90" s="135"/>
      <c r="H90" s="135"/>
      <c r="I90" s="131"/>
      <c r="J90" s="131"/>
      <c r="K90" s="131"/>
      <c r="L90" s="131"/>
      <c r="M90" s="135"/>
      <c r="N90" s="131"/>
      <c r="O90" s="131"/>
      <c r="P90" s="131"/>
      <c r="Q90" s="131"/>
      <c r="R90" s="217"/>
      <c r="S90" s="219"/>
      <c r="T90" s="219"/>
      <c r="U90" s="217"/>
      <c r="V90" s="217"/>
    </row>
    <row r="91" spans="1:22" ht="25.5" customHeight="1">
      <c r="A91" s="9"/>
      <c r="B91" s="187" t="s">
        <v>134</v>
      </c>
      <c r="C91" s="279">
        <v>15000</v>
      </c>
      <c r="D91" s="195"/>
      <c r="E91" s="270"/>
      <c r="F91" s="196"/>
      <c r="G91" s="196"/>
      <c r="H91" s="196"/>
      <c r="I91" s="195"/>
      <c r="J91" s="195"/>
      <c r="K91" s="195"/>
      <c r="L91" s="195"/>
      <c r="M91" s="196"/>
      <c r="N91" s="195"/>
      <c r="O91" s="195"/>
      <c r="P91" s="195"/>
      <c r="Q91" s="195"/>
      <c r="R91" s="218"/>
      <c r="S91" s="220"/>
      <c r="T91" s="220"/>
      <c r="U91" s="218"/>
      <c r="V91" s="218"/>
    </row>
    <row r="92" spans="1:22" ht="25.5" customHeight="1">
      <c r="A92" s="9"/>
      <c r="B92" s="187" t="s">
        <v>308</v>
      </c>
      <c r="C92" s="279">
        <v>2500</v>
      </c>
      <c r="D92" s="195"/>
      <c r="E92" s="270"/>
      <c r="F92" s="196"/>
      <c r="G92" s="196"/>
      <c r="H92" s="196"/>
      <c r="I92" s="195"/>
      <c r="J92" s="195"/>
      <c r="K92" s="195"/>
      <c r="L92" s="195"/>
      <c r="M92" s="196"/>
      <c r="N92" s="195"/>
      <c r="O92" s="195"/>
      <c r="P92" s="195"/>
      <c r="Q92" s="195"/>
      <c r="R92" s="218"/>
      <c r="S92" s="220"/>
      <c r="T92" s="220"/>
      <c r="U92" s="218"/>
      <c r="V92" s="218"/>
    </row>
    <row r="93" spans="1:22" ht="25.5" customHeight="1">
      <c r="A93" s="9"/>
      <c r="B93" s="187" t="s">
        <v>309</v>
      </c>
      <c r="C93" s="279">
        <v>2500</v>
      </c>
      <c r="D93" s="195"/>
      <c r="E93" s="270"/>
      <c r="F93" s="196"/>
      <c r="G93" s="196"/>
      <c r="H93" s="196"/>
      <c r="I93" s="195"/>
      <c r="J93" s="195"/>
      <c r="K93" s="195"/>
      <c r="L93" s="195"/>
      <c r="M93" s="196"/>
      <c r="N93" s="195"/>
      <c r="O93" s="195"/>
      <c r="P93" s="195"/>
      <c r="Q93" s="195"/>
      <c r="R93" s="218"/>
      <c r="S93" s="220"/>
      <c r="T93" s="220"/>
      <c r="U93" s="218"/>
      <c r="V93" s="218"/>
    </row>
    <row r="94" spans="1:22" ht="25.5" customHeight="1">
      <c r="A94" s="9"/>
      <c r="B94" s="187" t="s">
        <v>310</v>
      </c>
      <c r="C94" s="279">
        <v>2500</v>
      </c>
      <c r="D94" s="195"/>
      <c r="E94" s="270"/>
      <c r="F94" s="196"/>
      <c r="G94" s="196"/>
      <c r="H94" s="196"/>
      <c r="I94" s="195"/>
      <c r="J94" s="195"/>
      <c r="K94" s="195"/>
      <c r="L94" s="195"/>
      <c r="M94" s="196"/>
      <c r="N94" s="195"/>
      <c r="O94" s="195"/>
      <c r="P94" s="195"/>
      <c r="Q94" s="195"/>
      <c r="R94" s="218"/>
      <c r="S94" s="220"/>
      <c r="T94" s="220"/>
      <c r="U94" s="218"/>
      <c r="V94" s="218"/>
    </row>
    <row r="95" spans="1:22" ht="25.5" customHeight="1">
      <c r="A95" s="9"/>
      <c r="B95" s="187" t="s">
        <v>311</v>
      </c>
      <c r="C95" s="279">
        <v>2500</v>
      </c>
      <c r="D95" s="195"/>
      <c r="E95" s="270"/>
      <c r="F95" s="196"/>
      <c r="G95" s="196"/>
      <c r="H95" s="196"/>
      <c r="I95" s="195"/>
      <c r="J95" s="195"/>
      <c r="K95" s="195"/>
      <c r="L95" s="195"/>
      <c r="M95" s="196"/>
      <c r="N95" s="195"/>
      <c r="O95" s="195"/>
      <c r="P95" s="195"/>
      <c r="Q95" s="195"/>
      <c r="R95" s="218"/>
      <c r="S95" s="220"/>
      <c r="T95" s="220"/>
      <c r="U95" s="218"/>
      <c r="V95" s="218"/>
    </row>
    <row r="96" spans="1:22" ht="25.5" customHeight="1">
      <c r="A96" s="9"/>
      <c r="B96" s="187" t="s">
        <v>243</v>
      </c>
      <c r="C96" s="279">
        <v>2000</v>
      </c>
      <c r="D96" s="195"/>
      <c r="E96" s="270"/>
      <c r="F96" s="196"/>
      <c r="G96" s="196"/>
      <c r="H96" s="196"/>
      <c r="I96" s="195"/>
      <c r="J96" s="195"/>
      <c r="K96" s="195"/>
      <c r="L96" s="195"/>
      <c r="M96" s="196"/>
      <c r="N96" s="195"/>
      <c r="O96" s="195"/>
      <c r="P96" s="195"/>
      <c r="Q96" s="195"/>
      <c r="R96" s="218"/>
      <c r="S96" s="220"/>
      <c r="T96" s="220"/>
      <c r="U96" s="218"/>
      <c r="V96" s="218"/>
    </row>
    <row r="97" spans="1:22" ht="25.5" customHeight="1">
      <c r="A97" s="9"/>
      <c r="B97" s="187" t="s">
        <v>248</v>
      </c>
      <c r="C97" s="279">
        <v>2000</v>
      </c>
      <c r="D97" s="195"/>
      <c r="E97" s="270"/>
      <c r="F97" s="196"/>
      <c r="G97" s="196"/>
      <c r="H97" s="196"/>
      <c r="I97" s="195"/>
      <c r="J97" s="195"/>
      <c r="K97" s="195"/>
      <c r="L97" s="195"/>
      <c r="M97" s="196"/>
      <c r="N97" s="195"/>
      <c r="O97" s="195"/>
      <c r="P97" s="195"/>
      <c r="Q97" s="195"/>
      <c r="R97" s="218"/>
      <c r="S97" s="220"/>
      <c r="T97" s="220"/>
      <c r="U97" s="218"/>
      <c r="V97" s="218"/>
    </row>
    <row r="98" spans="1:22" ht="25.5" customHeight="1">
      <c r="A98" s="9"/>
      <c r="B98" s="187" t="s">
        <v>244</v>
      </c>
      <c r="C98" s="279">
        <v>2000</v>
      </c>
      <c r="D98" s="195"/>
      <c r="E98" s="270"/>
      <c r="F98" s="196"/>
      <c r="G98" s="196"/>
      <c r="H98" s="196"/>
      <c r="I98" s="195"/>
      <c r="J98" s="195"/>
      <c r="K98" s="195"/>
      <c r="L98" s="195"/>
      <c r="M98" s="196"/>
      <c r="N98" s="195"/>
      <c r="O98" s="195"/>
      <c r="P98" s="195"/>
      <c r="Q98" s="195"/>
      <c r="R98" s="218"/>
      <c r="S98" s="220"/>
      <c r="T98" s="220"/>
      <c r="U98" s="218"/>
      <c r="V98" s="218"/>
    </row>
    <row r="99" spans="1:22" ht="25.5" customHeight="1">
      <c r="A99" s="9"/>
      <c r="B99" s="187" t="s">
        <v>245</v>
      </c>
      <c r="C99" s="279">
        <v>2000</v>
      </c>
      <c r="D99" s="195"/>
      <c r="E99" s="270"/>
      <c r="F99" s="196"/>
      <c r="G99" s="196"/>
      <c r="H99" s="196"/>
      <c r="I99" s="195"/>
      <c r="J99" s="195"/>
      <c r="K99" s="195"/>
      <c r="L99" s="195"/>
      <c r="M99" s="196"/>
      <c r="N99" s="195"/>
      <c r="O99" s="195"/>
      <c r="P99" s="195"/>
      <c r="Q99" s="195"/>
      <c r="R99" s="218"/>
      <c r="S99" s="220"/>
      <c r="T99" s="220"/>
      <c r="U99" s="218"/>
      <c r="V99" s="218"/>
    </row>
    <row r="100" spans="1:22" ht="25.5" customHeight="1">
      <c r="A100" s="9"/>
      <c r="B100" s="187" t="s">
        <v>246</v>
      </c>
      <c r="C100" s="279">
        <v>2000</v>
      </c>
      <c r="D100" s="195"/>
      <c r="E100" s="270"/>
      <c r="F100" s="196"/>
      <c r="G100" s="196"/>
      <c r="H100" s="196"/>
      <c r="I100" s="195"/>
      <c r="J100" s="195"/>
      <c r="K100" s="195"/>
      <c r="L100" s="195"/>
      <c r="M100" s="196"/>
      <c r="N100" s="195"/>
      <c r="O100" s="195"/>
      <c r="P100" s="195"/>
      <c r="Q100" s="195"/>
      <c r="R100" s="218"/>
      <c r="S100" s="220"/>
      <c r="T100" s="220"/>
      <c r="U100" s="218"/>
      <c r="V100" s="218"/>
    </row>
    <row r="101" spans="1:22" ht="25.5" customHeight="1">
      <c r="A101" s="9"/>
      <c r="B101" s="187" t="s">
        <v>247</v>
      </c>
      <c r="C101" s="279">
        <v>2000</v>
      </c>
      <c r="D101" s="195"/>
      <c r="E101" s="270"/>
      <c r="F101" s="196"/>
      <c r="G101" s="196"/>
      <c r="H101" s="196"/>
      <c r="I101" s="195"/>
      <c r="J101" s="195"/>
      <c r="K101" s="195"/>
      <c r="L101" s="195"/>
      <c r="M101" s="196"/>
      <c r="N101" s="195"/>
      <c r="O101" s="195"/>
      <c r="P101" s="195"/>
      <c r="Q101" s="195"/>
      <c r="R101" s="218"/>
      <c r="S101" s="220"/>
      <c r="T101" s="220"/>
      <c r="U101" s="218"/>
      <c r="V101" s="218"/>
    </row>
    <row r="102" spans="1:22" ht="25.5" customHeight="1">
      <c r="A102" s="9"/>
      <c r="B102" s="187" t="s">
        <v>249</v>
      </c>
      <c r="C102" s="279">
        <v>2000</v>
      </c>
      <c r="D102" s="195"/>
      <c r="E102" s="270"/>
      <c r="F102" s="196"/>
      <c r="G102" s="196"/>
      <c r="H102" s="196"/>
      <c r="I102" s="195"/>
      <c r="J102" s="195"/>
      <c r="K102" s="195"/>
      <c r="L102" s="195"/>
      <c r="M102" s="196"/>
      <c r="N102" s="195"/>
      <c r="O102" s="195"/>
      <c r="P102" s="195"/>
      <c r="Q102" s="195"/>
      <c r="R102" s="218"/>
      <c r="S102" s="220"/>
      <c r="T102" s="220"/>
      <c r="U102" s="218"/>
      <c r="V102" s="218"/>
    </row>
    <row r="103" spans="1:22" ht="25.5" customHeight="1">
      <c r="A103" s="9"/>
      <c r="B103" s="187" t="s">
        <v>250</v>
      </c>
      <c r="C103" s="279">
        <v>2000</v>
      </c>
      <c r="D103" s="195"/>
      <c r="E103" s="270"/>
      <c r="F103" s="196"/>
      <c r="G103" s="196"/>
      <c r="H103" s="196"/>
      <c r="I103" s="195"/>
      <c r="J103" s="195"/>
      <c r="K103" s="195"/>
      <c r="L103" s="195"/>
      <c r="M103" s="196"/>
      <c r="N103" s="195"/>
      <c r="O103" s="195"/>
      <c r="P103" s="195"/>
      <c r="Q103" s="195"/>
      <c r="R103" s="218"/>
      <c r="S103" s="220"/>
      <c r="T103" s="220"/>
      <c r="U103" s="218"/>
      <c r="V103" s="218"/>
    </row>
    <row r="104" spans="1:22" ht="25.5" customHeight="1">
      <c r="A104" s="9"/>
      <c r="B104" s="187" t="s">
        <v>251</v>
      </c>
      <c r="C104" s="279">
        <v>2000</v>
      </c>
      <c r="D104" s="195"/>
      <c r="E104" s="270"/>
      <c r="F104" s="196"/>
      <c r="G104" s="196"/>
      <c r="H104" s="196"/>
      <c r="I104" s="195"/>
      <c r="J104" s="195"/>
      <c r="K104" s="195"/>
      <c r="L104" s="195"/>
      <c r="M104" s="196"/>
      <c r="N104" s="195"/>
      <c r="O104" s="195"/>
      <c r="P104" s="195"/>
      <c r="Q104" s="195"/>
      <c r="R104" s="218"/>
      <c r="S104" s="220"/>
      <c r="T104" s="220"/>
      <c r="U104" s="218"/>
      <c r="V104" s="218"/>
    </row>
    <row r="105" spans="1:22" ht="25.5" customHeight="1">
      <c r="A105" s="9"/>
      <c r="B105" s="187" t="s">
        <v>252</v>
      </c>
      <c r="C105" s="279">
        <v>2000</v>
      </c>
      <c r="D105" s="195"/>
      <c r="E105" s="270"/>
      <c r="F105" s="196"/>
      <c r="G105" s="196"/>
      <c r="H105" s="196"/>
      <c r="I105" s="195"/>
      <c r="J105" s="195"/>
      <c r="K105" s="195"/>
      <c r="L105" s="195"/>
      <c r="M105" s="196"/>
      <c r="N105" s="195"/>
      <c r="O105" s="195"/>
      <c r="P105" s="195"/>
      <c r="Q105" s="195"/>
      <c r="R105" s="218"/>
      <c r="S105" s="220"/>
      <c r="T105" s="220"/>
      <c r="U105" s="218"/>
      <c r="V105" s="218"/>
    </row>
    <row r="106" spans="1:22" ht="25.5" customHeight="1">
      <c r="A106" s="9"/>
      <c r="B106" s="187" t="s">
        <v>253</v>
      </c>
      <c r="C106" s="279">
        <v>2000</v>
      </c>
      <c r="D106" s="195"/>
      <c r="E106" s="270"/>
      <c r="F106" s="196"/>
      <c r="G106" s="196"/>
      <c r="H106" s="196"/>
      <c r="I106" s="195"/>
      <c r="J106" s="195"/>
      <c r="K106" s="195"/>
      <c r="L106" s="195"/>
      <c r="M106" s="196"/>
      <c r="N106" s="195"/>
      <c r="O106" s="195"/>
      <c r="P106" s="195"/>
      <c r="Q106" s="195"/>
      <c r="R106" s="218"/>
      <c r="S106" s="220"/>
      <c r="T106" s="220"/>
      <c r="U106" s="218"/>
      <c r="V106" s="218"/>
    </row>
    <row r="107" spans="1:22" ht="25.5" customHeight="1">
      <c r="A107" s="9"/>
      <c r="B107" s="187" t="s">
        <v>254</v>
      </c>
      <c r="C107" s="279">
        <v>2000</v>
      </c>
      <c r="D107" s="195"/>
      <c r="E107" s="270"/>
      <c r="F107" s="196"/>
      <c r="G107" s="196"/>
      <c r="H107" s="196"/>
      <c r="I107" s="195"/>
      <c r="J107" s="195"/>
      <c r="K107" s="195"/>
      <c r="L107" s="195"/>
      <c r="M107" s="196"/>
      <c r="N107" s="195"/>
      <c r="O107" s="195"/>
      <c r="P107" s="195"/>
      <c r="Q107" s="195"/>
      <c r="R107" s="218"/>
      <c r="S107" s="220"/>
      <c r="T107" s="220"/>
      <c r="U107" s="218"/>
      <c r="V107" s="218"/>
    </row>
    <row r="108" spans="1:22" ht="25.5" customHeight="1">
      <c r="A108" s="9"/>
      <c r="B108" s="187" t="s">
        <v>312</v>
      </c>
      <c r="C108" s="279">
        <v>2500</v>
      </c>
      <c r="D108" s="195"/>
      <c r="E108" s="270"/>
      <c r="F108" s="196"/>
      <c r="G108" s="196"/>
      <c r="H108" s="196"/>
      <c r="I108" s="195"/>
      <c r="J108" s="195"/>
      <c r="K108" s="195"/>
      <c r="L108" s="195"/>
      <c r="M108" s="196"/>
      <c r="N108" s="195"/>
      <c r="O108" s="195"/>
      <c r="P108" s="195"/>
      <c r="Q108" s="195"/>
      <c r="R108" s="218"/>
      <c r="S108" s="220"/>
      <c r="T108" s="220"/>
      <c r="U108" s="218"/>
      <c r="V108" s="218"/>
    </row>
    <row r="109" spans="1:22" ht="25.5" customHeight="1">
      <c r="A109" s="9"/>
      <c r="B109" s="187" t="s">
        <v>313</v>
      </c>
      <c r="C109" s="279">
        <v>2500</v>
      </c>
      <c r="D109" s="131"/>
      <c r="E109" s="267"/>
      <c r="F109" s="135"/>
      <c r="G109" s="135"/>
      <c r="H109" s="135"/>
      <c r="I109" s="131"/>
      <c r="J109" s="131"/>
      <c r="K109" s="131"/>
      <c r="L109" s="131"/>
      <c r="M109" s="135"/>
      <c r="N109" s="131"/>
      <c r="O109" s="131"/>
      <c r="P109" s="131"/>
      <c r="Q109" s="131"/>
      <c r="R109" s="217"/>
      <c r="S109" s="219"/>
      <c r="T109" s="219"/>
      <c r="U109" s="217"/>
      <c r="V109" s="217"/>
    </row>
    <row r="110" spans="1:22" ht="25.5" customHeight="1">
      <c r="A110" s="9"/>
      <c r="B110" s="187" t="s">
        <v>314</v>
      </c>
      <c r="C110" s="279">
        <v>2500</v>
      </c>
      <c r="D110" s="195"/>
      <c r="E110" s="270"/>
      <c r="F110" s="196"/>
      <c r="G110" s="196"/>
      <c r="H110" s="196"/>
      <c r="I110" s="195"/>
      <c r="J110" s="195"/>
      <c r="K110" s="195"/>
      <c r="L110" s="195"/>
      <c r="M110" s="196"/>
      <c r="N110" s="195"/>
      <c r="O110" s="195"/>
      <c r="P110" s="195"/>
      <c r="Q110" s="195"/>
      <c r="R110" s="218"/>
      <c r="S110" s="220"/>
      <c r="T110" s="220"/>
      <c r="U110" s="218"/>
      <c r="V110" s="218"/>
    </row>
    <row r="111" spans="1:22" ht="25.5" customHeight="1">
      <c r="A111" s="9"/>
      <c r="B111" s="187" t="s">
        <v>255</v>
      </c>
      <c r="C111" s="279">
        <v>4000</v>
      </c>
      <c r="D111" s="195"/>
      <c r="E111" s="270"/>
      <c r="F111" s="196"/>
      <c r="G111" s="196"/>
      <c r="H111" s="196"/>
      <c r="I111" s="195"/>
      <c r="J111" s="195"/>
      <c r="K111" s="195"/>
      <c r="L111" s="195"/>
      <c r="M111" s="196"/>
      <c r="N111" s="195"/>
      <c r="O111" s="195"/>
      <c r="P111" s="195"/>
      <c r="Q111" s="195"/>
      <c r="R111" s="218"/>
      <c r="S111" s="220"/>
      <c r="T111" s="220"/>
      <c r="U111" s="218"/>
      <c r="V111" s="218"/>
    </row>
    <row r="112" spans="1:22" ht="25.5" customHeight="1">
      <c r="A112" s="9"/>
      <c r="B112" s="187" t="s">
        <v>256</v>
      </c>
      <c r="C112" s="279">
        <v>2500</v>
      </c>
      <c r="D112" s="195"/>
      <c r="E112" s="270"/>
      <c r="F112" s="196"/>
      <c r="G112" s="196"/>
      <c r="H112" s="196"/>
      <c r="I112" s="195"/>
      <c r="J112" s="195"/>
      <c r="K112" s="195"/>
      <c r="L112" s="195"/>
      <c r="M112" s="196"/>
      <c r="N112" s="195"/>
      <c r="O112" s="195"/>
      <c r="P112" s="195"/>
      <c r="Q112" s="195"/>
      <c r="R112" s="218"/>
      <c r="S112" s="220"/>
      <c r="T112" s="220"/>
      <c r="U112" s="218"/>
      <c r="V112" s="218"/>
    </row>
    <row r="113" spans="1:22" ht="25.5" customHeight="1">
      <c r="A113" s="9"/>
      <c r="B113" s="187" t="s">
        <v>257</v>
      </c>
      <c r="C113" s="279">
        <v>2500</v>
      </c>
      <c r="D113" s="195"/>
      <c r="E113" s="270"/>
      <c r="F113" s="196"/>
      <c r="G113" s="196"/>
      <c r="H113" s="196"/>
      <c r="I113" s="195"/>
      <c r="J113" s="195"/>
      <c r="K113" s="195"/>
      <c r="L113" s="195"/>
      <c r="M113" s="196"/>
      <c r="N113" s="195"/>
      <c r="O113" s="195"/>
      <c r="P113" s="195"/>
      <c r="Q113" s="195"/>
      <c r="R113" s="218"/>
      <c r="S113" s="220"/>
      <c r="T113" s="220"/>
      <c r="U113" s="218"/>
      <c r="V113" s="218"/>
    </row>
    <row r="114" spans="1:22" ht="25.5" customHeight="1">
      <c r="A114" s="9"/>
      <c r="B114" s="187" t="s">
        <v>258</v>
      </c>
      <c r="C114" s="279">
        <v>2500</v>
      </c>
      <c r="D114" s="195"/>
      <c r="E114" s="270"/>
      <c r="F114" s="196"/>
      <c r="G114" s="196"/>
      <c r="H114" s="196"/>
      <c r="I114" s="195"/>
      <c r="J114" s="195"/>
      <c r="K114" s="195"/>
      <c r="L114" s="195"/>
      <c r="M114" s="196"/>
      <c r="N114" s="195"/>
      <c r="O114" s="195"/>
      <c r="P114" s="195"/>
      <c r="Q114" s="195"/>
      <c r="R114" s="218"/>
      <c r="S114" s="220"/>
      <c r="T114" s="220"/>
      <c r="U114" s="218"/>
      <c r="V114" s="218"/>
    </row>
    <row r="115" spans="1:22" ht="25.5" customHeight="1">
      <c r="A115" s="9"/>
      <c r="B115" s="187" t="s">
        <v>259</v>
      </c>
      <c r="C115" s="279">
        <v>1000</v>
      </c>
      <c r="D115" s="195"/>
      <c r="E115" s="270"/>
      <c r="F115" s="196"/>
      <c r="G115" s="196"/>
      <c r="H115" s="196"/>
      <c r="I115" s="195"/>
      <c r="J115" s="195"/>
      <c r="K115" s="195"/>
      <c r="L115" s="195"/>
      <c r="M115" s="196"/>
      <c r="N115" s="195"/>
      <c r="O115" s="195"/>
      <c r="P115" s="195"/>
      <c r="Q115" s="195"/>
      <c r="R115" s="218"/>
      <c r="S115" s="220"/>
      <c r="T115" s="220"/>
      <c r="U115" s="218"/>
      <c r="V115" s="218"/>
    </row>
    <row r="116" spans="1:22" ht="25.5" customHeight="1">
      <c r="A116" s="9"/>
      <c r="B116" s="187" t="s">
        <v>260</v>
      </c>
      <c r="C116" s="279">
        <v>1000</v>
      </c>
      <c r="D116" s="195"/>
      <c r="E116" s="270"/>
      <c r="F116" s="196"/>
      <c r="G116" s="196"/>
      <c r="H116" s="196"/>
      <c r="I116" s="195"/>
      <c r="J116" s="195"/>
      <c r="K116" s="195"/>
      <c r="L116" s="195"/>
      <c r="M116" s="196"/>
      <c r="N116" s="195"/>
      <c r="O116" s="195"/>
      <c r="P116" s="195"/>
      <c r="Q116" s="195"/>
      <c r="R116" s="218"/>
      <c r="S116" s="220"/>
      <c r="T116" s="220"/>
      <c r="U116" s="218"/>
      <c r="V116" s="218"/>
    </row>
    <row r="117" spans="1:22" ht="25.5" customHeight="1">
      <c r="A117" s="9"/>
      <c r="B117" s="187" t="s">
        <v>261</v>
      </c>
      <c r="C117" s="279">
        <v>1000</v>
      </c>
      <c r="D117" s="195"/>
      <c r="E117" s="270"/>
      <c r="F117" s="196"/>
      <c r="G117" s="196"/>
      <c r="H117" s="196"/>
      <c r="I117" s="195"/>
      <c r="J117" s="195"/>
      <c r="K117" s="195"/>
      <c r="L117" s="195"/>
      <c r="M117" s="196"/>
      <c r="N117" s="195"/>
      <c r="O117" s="195"/>
      <c r="P117" s="195"/>
      <c r="Q117" s="195"/>
      <c r="R117" s="218"/>
      <c r="S117" s="220"/>
      <c r="T117" s="220"/>
      <c r="U117" s="218"/>
      <c r="V117" s="218"/>
    </row>
    <row r="118" spans="1:22" ht="25.5" customHeight="1">
      <c r="A118" s="9"/>
      <c r="B118" s="187" t="s">
        <v>262</v>
      </c>
      <c r="C118" s="279">
        <v>1000</v>
      </c>
      <c r="D118" s="195"/>
      <c r="E118" s="270"/>
      <c r="F118" s="196"/>
      <c r="G118" s="196"/>
      <c r="H118" s="196"/>
      <c r="I118" s="195"/>
      <c r="J118" s="195"/>
      <c r="K118" s="195"/>
      <c r="L118" s="195"/>
      <c r="M118" s="196"/>
      <c r="N118" s="195"/>
      <c r="O118" s="195"/>
      <c r="P118" s="195"/>
      <c r="Q118" s="195"/>
      <c r="R118" s="218"/>
      <c r="S118" s="220"/>
      <c r="T118" s="220"/>
      <c r="U118" s="218"/>
      <c r="V118" s="218"/>
    </row>
    <row r="119" spans="1:22" ht="25.5" customHeight="1">
      <c r="A119" s="9"/>
      <c r="B119" s="187" t="s">
        <v>211</v>
      </c>
      <c r="C119" s="279">
        <v>392000</v>
      </c>
      <c r="D119" s="195"/>
      <c r="E119" s="270"/>
      <c r="F119" s="196"/>
      <c r="G119" s="196"/>
      <c r="H119" s="196"/>
      <c r="I119" s="195">
        <v>104000</v>
      </c>
      <c r="J119" s="195"/>
      <c r="K119" s="195"/>
      <c r="L119" s="195"/>
      <c r="M119" s="196"/>
      <c r="N119" s="195"/>
      <c r="O119" s="195"/>
      <c r="P119" s="195"/>
      <c r="Q119" s="195"/>
      <c r="R119" s="218"/>
      <c r="S119" s="220"/>
      <c r="T119" s="220"/>
      <c r="U119" s="218"/>
      <c r="V119" s="218"/>
    </row>
    <row r="120" spans="1:22" ht="25.5" customHeight="1">
      <c r="A120" s="9"/>
      <c r="B120" s="187" t="s">
        <v>263</v>
      </c>
      <c r="C120" s="279">
        <v>200900</v>
      </c>
      <c r="D120" s="195"/>
      <c r="E120" s="270"/>
      <c r="F120" s="196"/>
      <c r="G120" s="196"/>
      <c r="H120" s="196"/>
      <c r="I120" s="195">
        <v>54600</v>
      </c>
      <c r="J120" s="195"/>
      <c r="K120" s="195"/>
      <c r="L120" s="195"/>
      <c r="M120" s="196"/>
      <c r="N120" s="195"/>
      <c r="O120" s="195"/>
      <c r="P120" s="195"/>
      <c r="Q120" s="195"/>
      <c r="R120" s="218"/>
      <c r="S120" s="220"/>
      <c r="T120" s="220"/>
      <c r="U120" s="218"/>
      <c r="V120" s="218"/>
    </row>
    <row r="121" spans="1:22" ht="25.5" customHeight="1">
      <c r="A121" s="9"/>
      <c r="B121" s="187" t="s">
        <v>315</v>
      </c>
      <c r="C121" s="279">
        <v>230300</v>
      </c>
      <c r="D121" s="195"/>
      <c r="E121" s="270"/>
      <c r="F121" s="196"/>
      <c r="G121" s="196"/>
      <c r="H121" s="196"/>
      <c r="I121" s="195">
        <v>59800</v>
      </c>
      <c r="J121" s="195"/>
      <c r="K121" s="195"/>
      <c r="L121" s="195"/>
      <c r="M121" s="196"/>
      <c r="N121" s="195"/>
      <c r="O121" s="195"/>
      <c r="P121" s="195"/>
      <c r="Q121" s="195"/>
      <c r="R121" s="218"/>
      <c r="S121" s="220"/>
      <c r="T121" s="220"/>
      <c r="U121" s="218"/>
      <c r="V121" s="218"/>
    </row>
    <row r="122" spans="1:22" ht="25.5" customHeight="1">
      <c r="A122" s="9"/>
      <c r="B122" s="187" t="s">
        <v>212</v>
      </c>
      <c r="C122" s="279">
        <v>171500</v>
      </c>
      <c r="D122" s="195"/>
      <c r="E122" s="270"/>
      <c r="F122" s="196"/>
      <c r="G122" s="196"/>
      <c r="H122" s="196"/>
      <c r="I122" s="195">
        <v>45500</v>
      </c>
      <c r="J122" s="195"/>
      <c r="K122" s="195"/>
      <c r="L122" s="195"/>
      <c r="M122" s="196"/>
      <c r="N122" s="195"/>
      <c r="O122" s="195"/>
      <c r="P122" s="195"/>
      <c r="Q122" s="195"/>
      <c r="R122" s="218"/>
      <c r="S122" s="220"/>
      <c r="T122" s="220"/>
      <c r="U122" s="218"/>
      <c r="V122" s="218"/>
    </row>
    <row r="123" spans="1:22" ht="25.5" customHeight="1">
      <c r="A123" s="9"/>
      <c r="B123" s="187" t="s">
        <v>140</v>
      </c>
      <c r="C123" s="279">
        <v>50000</v>
      </c>
      <c r="D123" s="195"/>
      <c r="E123" s="270"/>
      <c r="F123" s="196"/>
      <c r="G123" s="196"/>
      <c r="H123" s="196"/>
      <c r="I123" s="195"/>
      <c r="J123" s="195"/>
      <c r="K123" s="195"/>
      <c r="L123" s="195"/>
      <c r="M123" s="196"/>
      <c r="N123" s="195"/>
      <c r="O123" s="195"/>
      <c r="P123" s="195"/>
      <c r="Q123" s="195"/>
      <c r="R123" s="218"/>
      <c r="S123" s="220"/>
      <c r="T123" s="220"/>
      <c r="U123" s="218"/>
      <c r="V123" s="218"/>
    </row>
    <row r="124" spans="1:22" ht="25.5" customHeight="1">
      <c r="A124" s="9"/>
      <c r="B124" s="187" t="s">
        <v>206</v>
      </c>
      <c r="C124" s="279">
        <v>20000</v>
      </c>
      <c r="D124" s="195"/>
      <c r="E124" s="270"/>
      <c r="F124" s="196"/>
      <c r="G124" s="196"/>
      <c r="H124" s="196"/>
      <c r="I124" s="195"/>
      <c r="J124" s="195"/>
      <c r="K124" s="195"/>
      <c r="L124" s="195"/>
      <c r="M124" s="196"/>
      <c r="N124" s="195"/>
      <c r="O124" s="195"/>
      <c r="P124" s="195"/>
      <c r="Q124" s="195"/>
      <c r="R124" s="218"/>
      <c r="S124" s="220"/>
      <c r="T124" s="220"/>
      <c r="U124" s="218"/>
      <c r="V124" s="218"/>
    </row>
    <row r="125" spans="1:22" ht="25.5" customHeight="1">
      <c r="A125" s="9"/>
      <c r="B125" s="187" t="s">
        <v>326</v>
      </c>
      <c r="C125" s="279">
        <v>5000</v>
      </c>
      <c r="D125" s="195"/>
      <c r="E125" s="270"/>
      <c r="F125" s="196"/>
      <c r="G125" s="196"/>
      <c r="H125" s="196"/>
      <c r="I125" s="195"/>
      <c r="J125" s="195"/>
      <c r="K125" s="195"/>
      <c r="L125" s="195"/>
      <c r="M125" s="196"/>
      <c r="N125" s="195"/>
      <c r="O125" s="195"/>
      <c r="P125" s="195"/>
      <c r="Q125" s="195"/>
      <c r="R125" s="218"/>
      <c r="S125" s="220"/>
      <c r="T125" s="220"/>
      <c r="U125" s="218"/>
      <c r="V125" s="218"/>
    </row>
    <row r="126" spans="1:22" ht="25.5" customHeight="1">
      <c r="A126" s="9"/>
      <c r="B126" s="187" t="s">
        <v>327</v>
      </c>
      <c r="C126" s="279">
        <v>5000</v>
      </c>
      <c r="D126" s="195"/>
      <c r="E126" s="270"/>
      <c r="F126" s="196"/>
      <c r="G126" s="196"/>
      <c r="H126" s="196"/>
      <c r="I126" s="195"/>
      <c r="J126" s="195"/>
      <c r="K126" s="195"/>
      <c r="L126" s="195"/>
      <c r="M126" s="196"/>
      <c r="N126" s="195"/>
      <c r="O126" s="195"/>
      <c r="P126" s="195"/>
      <c r="Q126" s="195"/>
      <c r="R126" s="218"/>
      <c r="S126" s="220"/>
      <c r="T126" s="220"/>
      <c r="U126" s="218"/>
      <c r="V126" s="218"/>
    </row>
    <row r="127" spans="1:22" ht="25.5" customHeight="1">
      <c r="A127" s="9"/>
      <c r="B127" s="187" t="s">
        <v>142</v>
      </c>
      <c r="C127" s="279">
        <v>20000</v>
      </c>
      <c r="D127" s="195"/>
      <c r="E127" s="270"/>
      <c r="F127" s="196"/>
      <c r="G127" s="196"/>
      <c r="H127" s="196"/>
      <c r="I127" s="195"/>
      <c r="J127" s="195"/>
      <c r="K127" s="195"/>
      <c r="L127" s="195"/>
      <c r="M127" s="196"/>
      <c r="N127" s="195"/>
      <c r="O127" s="195"/>
      <c r="P127" s="195"/>
      <c r="Q127" s="195"/>
      <c r="R127" s="218"/>
      <c r="S127" s="220"/>
      <c r="T127" s="220"/>
      <c r="U127" s="218"/>
      <c r="V127" s="218"/>
    </row>
    <row r="128" spans="1:22" ht="25.5" customHeight="1">
      <c r="A128" s="9"/>
      <c r="B128" s="226" t="s">
        <v>328</v>
      </c>
      <c r="C128" s="279">
        <v>10000</v>
      </c>
      <c r="D128" s="195"/>
      <c r="E128" s="270"/>
      <c r="F128" s="196"/>
      <c r="G128" s="196"/>
      <c r="H128" s="196"/>
      <c r="I128" s="195"/>
      <c r="J128" s="195"/>
      <c r="K128" s="195"/>
      <c r="L128" s="195"/>
      <c r="M128" s="196"/>
      <c r="N128" s="195"/>
      <c r="O128" s="195"/>
      <c r="P128" s="195"/>
      <c r="Q128" s="195"/>
      <c r="R128" s="218"/>
      <c r="S128" s="220"/>
      <c r="T128" s="220"/>
      <c r="U128" s="218"/>
      <c r="V128" s="218"/>
    </row>
    <row r="129" spans="1:22" ht="25.5" customHeight="1">
      <c r="A129" s="9"/>
      <c r="B129" s="226" t="s">
        <v>329</v>
      </c>
      <c r="C129" s="279">
        <v>10000</v>
      </c>
      <c r="D129" s="131"/>
      <c r="E129" s="267"/>
      <c r="F129" s="135"/>
      <c r="G129" s="135"/>
      <c r="H129" s="135"/>
      <c r="I129" s="131"/>
      <c r="J129" s="131"/>
      <c r="K129" s="131"/>
      <c r="L129" s="131"/>
      <c r="M129" s="135"/>
      <c r="N129" s="131"/>
      <c r="O129" s="131"/>
      <c r="P129" s="131"/>
      <c r="Q129" s="131"/>
      <c r="R129" s="217"/>
      <c r="S129" s="219"/>
      <c r="T129" s="219"/>
      <c r="U129" s="217"/>
      <c r="V129" s="217"/>
    </row>
    <row r="130" spans="1:22" ht="25.5" customHeight="1">
      <c r="A130" s="9"/>
      <c r="B130" s="226" t="s">
        <v>330</v>
      </c>
      <c r="C130" s="279">
        <v>10000</v>
      </c>
      <c r="D130" s="195"/>
      <c r="E130" s="270"/>
      <c r="F130" s="196"/>
      <c r="G130" s="196"/>
      <c r="H130" s="196"/>
      <c r="I130" s="195"/>
      <c r="J130" s="195"/>
      <c r="K130" s="195"/>
      <c r="L130" s="195"/>
      <c r="M130" s="196"/>
      <c r="N130" s="195"/>
      <c r="O130" s="195"/>
      <c r="P130" s="195"/>
      <c r="Q130" s="195"/>
      <c r="R130" s="218"/>
      <c r="S130" s="196"/>
      <c r="T130" s="196"/>
      <c r="U130" s="218"/>
      <c r="V130" s="218"/>
    </row>
    <row r="131" spans="1:22" ht="25.5" customHeight="1">
      <c r="A131" s="9"/>
      <c r="B131" s="226" t="s">
        <v>331</v>
      </c>
      <c r="C131" s="279">
        <v>10000</v>
      </c>
      <c r="D131" s="195"/>
      <c r="E131" s="270"/>
      <c r="F131" s="196"/>
      <c r="G131" s="196"/>
      <c r="H131" s="196"/>
      <c r="I131" s="195"/>
      <c r="J131" s="195"/>
      <c r="K131" s="195"/>
      <c r="L131" s="195"/>
      <c r="M131" s="196"/>
      <c r="N131" s="195"/>
      <c r="O131" s="195"/>
      <c r="P131" s="195"/>
      <c r="Q131" s="195"/>
      <c r="R131" s="218"/>
      <c r="S131" s="220"/>
      <c r="T131" s="220"/>
      <c r="U131" s="218"/>
      <c r="V131" s="218"/>
    </row>
    <row r="132" spans="1:22" ht="25.5" customHeight="1">
      <c r="A132" s="9"/>
      <c r="B132" s="226" t="s">
        <v>333</v>
      </c>
      <c r="C132" s="279">
        <v>15000</v>
      </c>
      <c r="D132" s="195"/>
      <c r="E132" s="270"/>
      <c r="F132" s="196"/>
      <c r="G132" s="196"/>
      <c r="H132" s="196"/>
      <c r="I132" s="195"/>
      <c r="J132" s="195"/>
      <c r="K132" s="195"/>
      <c r="L132" s="195"/>
      <c r="M132" s="196"/>
      <c r="N132" s="195"/>
      <c r="O132" s="195"/>
      <c r="P132" s="195"/>
      <c r="Q132" s="195"/>
      <c r="R132" s="218"/>
      <c r="S132" s="220"/>
      <c r="T132" s="220"/>
      <c r="U132" s="218"/>
      <c r="V132" s="218"/>
    </row>
    <row r="133" spans="1:22" ht="25.5" customHeight="1">
      <c r="A133" s="9"/>
      <c r="B133" s="226" t="s">
        <v>157</v>
      </c>
      <c r="C133" s="279">
        <v>10000</v>
      </c>
      <c r="D133" s="195"/>
      <c r="E133" s="270"/>
      <c r="F133" s="196"/>
      <c r="G133" s="196"/>
      <c r="H133" s="196"/>
      <c r="I133" s="195"/>
      <c r="J133" s="195"/>
      <c r="K133" s="195"/>
      <c r="L133" s="195"/>
      <c r="M133" s="196"/>
      <c r="N133" s="195"/>
      <c r="O133" s="195"/>
      <c r="P133" s="195"/>
      <c r="Q133" s="195"/>
      <c r="R133" s="218"/>
      <c r="S133" s="220"/>
      <c r="T133" s="220"/>
      <c r="U133" s="218"/>
      <c r="V133" s="218"/>
    </row>
    <row r="134" spans="1:22" ht="25.5" customHeight="1">
      <c r="A134" s="9"/>
      <c r="B134" s="226" t="s">
        <v>158</v>
      </c>
      <c r="C134" s="279">
        <v>10000</v>
      </c>
      <c r="D134" s="195"/>
      <c r="E134" s="270"/>
      <c r="F134" s="196"/>
      <c r="G134" s="196"/>
      <c r="H134" s="196"/>
      <c r="I134" s="195"/>
      <c r="J134" s="195"/>
      <c r="K134" s="195"/>
      <c r="L134" s="195"/>
      <c r="M134" s="196"/>
      <c r="N134" s="195"/>
      <c r="O134" s="195"/>
      <c r="P134" s="195"/>
      <c r="Q134" s="195"/>
      <c r="R134" s="218"/>
      <c r="S134" s="220"/>
      <c r="T134" s="220"/>
      <c r="U134" s="218"/>
      <c r="V134" s="218"/>
    </row>
    <row r="135" spans="1:22" ht="25.5" customHeight="1">
      <c r="A135" s="9"/>
      <c r="B135" s="226" t="s">
        <v>352</v>
      </c>
      <c r="C135" s="279">
        <v>10000</v>
      </c>
      <c r="D135" s="195"/>
      <c r="E135" s="270"/>
      <c r="F135" s="196"/>
      <c r="G135" s="196"/>
      <c r="H135" s="196"/>
      <c r="I135" s="195"/>
      <c r="J135" s="195"/>
      <c r="K135" s="195"/>
      <c r="L135" s="195"/>
      <c r="M135" s="196"/>
      <c r="N135" s="195"/>
      <c r="O135" s="195"/>
      <c r="P135" s="195"/>
      <c r="Q135" s="195"/>
      <c r="R135" s="218"/>
      <c r="S135" s="220"/>
      <c r="T135" s="220"/>
      <c r="U135" s="218"/>
      <c r="V135" s="218"/>
    </row>
    <row r="136" spans="1:22" ht="25.5" customHeight="1">
      <c r="A136" s="9"/>
      <c r="B136" s="226" t="s">
        <v>213</v>
      </c>
      <c r="C136" s="279">
        <v>15000</v>
      </c>
      <c r="D136" s="195"/>
      <c r="E136" s="270"/>
      <c r="F136" s="196"/>
      <c r="G136" s="196"/>
      <c r="H136" s="196"/>
      <c r="I136" s="195"/>
      <c r="J136" s="195"/>
      <c r="K136" s="195"/>
      <c r="L136" s="195"/>
      <c r="M136" s="196"/>
      <c r="N136" s="195"/>
      <c r="O136" s="195"/>
      <c r="P136" s="195"/>
      <c r="Q136" s="195"/>
      <c r="R136" s="218"/>
      <c r="S136" s="220"/>
      <c r="T136" s="220"/>
      <c r="U136" s="218"/>
      <c r="V136" s="218"/>
    </row>
    <row r="137" spans="1:22" ht="25.5" customHeight="1">
      <c r="A137" s="9"/>
      <c r="B137" s="226" t="s">
        <v>265</v>
      </c>
      <c r="C137" s="279">
        <v>20000</v>
      </c>
      <c r="D137" s="195"/>
      <c r="E137" s="270"/>
      <c r="F137" s="196"/>
      <c r="G137" s="196"/>
      <c r="H137" s="196"/>
      <c r="I137" s="195"/>
      <c r="J137" s="195"/>
      <c r="K137" s="195"/>
      <c r="L137" s="195"/>
      <c r="M137" s="196"/>
      <c r="N137" s="195"/>
      <c r="O137" s="195"/>
      <c r="P137" s="195"/>
      <c r="Q137" s="195"/>
      <c r="R137" s="218"/>
      <c r="S137" s="220"/>
      <c r="T137" s="220"/>
      <c r="U137" s="218"/>
      <c r="V137" s="218"/>
    </row>
    <row r="138" spans="1:22" ht="25.5" customHeight="1">
      <c r="A138" s="9"/>
      <c r="B138" s="226" t="s">
        <v>353</v>
      </c>
      <c r="C138" s="279">
        <v>5000</v>
      </c>
      <c r="D138" s="195"/>
      <c r="E138" s="270"/>
      <c r="F138" s="196"/>
      <c r="G138" s="196"/>
      <c r="H138" s="196"/>
      <c r="I138" s="195"/>
      <c r="J138" s="195"/>
      <c r="K138" s="195"/>
      <c r="L138" s="195"/>
      <c r="M138" s="196"/>
      <c r="N138" s="195"/>
      <c r="O138" s="195"/>
      <c r="P138" s="195"/>
      <c r="Q138" s="195">
        <v>4880</v>
      </c>
      <c r="R138" s="218"/>
      <c r="S138" s="220"/>
      <c r="T138" s="220"/>
      <c r="U138" s="218"/>
      <c r="V138" s="218"/>
    </row>
    <row r="139" spans="1:22" ht="25.5" customHeight="1">
      <c r="A139" s="9"/>
      <c r="B139" s="226" t="s">
        <v>354</v>
      </c>
      <c r="C139" s="279">
        <v>10000</v>
      </c>
      <c r="D139" s="195"/>
      <c r="E139" s="270"/>
      <c r="F139" s="196"/>
      <c r="G139" s="196"/>
      <c r="H139" s="196"/>
      <c r="I139" s="195"/>
      <c r="J139" s="195"/>
      <c r="K139" s="195"/>
      <c r="L139" s="195"/>
      <c r="M139" s="196"/>
      <c r="N139" s="195"/>
      <c r="O139" s="195"/>
      <c r="P139" s="195"/>
      <c r="Q139" s="195"/>
      <c r="R139" s="218"/>
      <c r="S139" s="220"/>
      <c r="T139" s="220"/>
      <c r="U139" s="218"/>
      <c r="V139" s="218"/>
    </row>
    <row r="140" spans="1:22" ht="25.5" customHeight="1">
      <c r="A140" s="9"/>
      <c r="B140" s="187" t="s">
        <v>355</v>
      </c>
      <c r="C140" s="279">
        <v>20000</v>
      </c>
      <c r="D140" s="195"/>
      <c r="E140" s="270"/>
      <c r="F140" s="196"/>
      <c r="G140" s="196"/>
      <c r="H140" s="196"/>
      <c r="I140" s="195"/>
      <c r="J140" s="195"/>
      <c r="K140" s="195"/>
      <c r="L140" s="195"/>
      <c r="M140" s="196"/>
      <c r="N140" s="195"/>
      <c r="O140" s="195"/>
      <c r="P140" s="195"/>
      <c r="Q140" s="195"/>
      <c r="R140" s="218"/>
      <c r="S140" s="220"/>
      <c r="T140" s="220"/>
      <c r="U140" s="218"/>
      <c r="V140" s="218"/>
    </row>
    <row r="141" spans="1:22" ht="25.5" customHeight="1">
      <c r="A141" s="9"/>
      <c r="B141" s="187" t="s">
        <v>356</v>
      </c>
      <c r="C141" s="279">
        <v>20000</v>
      </c>
      <c r="D141" s="195"/>
      <c r="E141" s="270"/>
      <c r="F141" s="196"/>
      <c r="G141" s="196"/>
      <c r="H141" s="196"/>
      <c r="I141" s="195"/>
      <c r="J141" s="195"/>
      <c r="K141" s="195"/>
      <c r="L141" s="195"/>
      <c r="M141" s="196"/>
      <c r="N141" s="195"/>
      <c r="O141" s="195"/>
      <c r="P141" s="195"/>
      <c r="Q141" s="195"/>
      <c r="R141" s="218"/>
      <c r="S141" s="220"/>
      <c r="T141" s="220"/>
      <c r="U141" s="218"/>
      <c r="V141" s="218"/>
    </row>
    <row r="142" spans="1:22" ht="25.5" customHeight="1">
      <c r="A142" s="9"/>
      <c r="B142" s="187" t="s">
        <v>357</v>
      </c>
      <c r="C142" s="279">
        <f>10000-10000</f>
        <v>0</v>
      </c>
      <c r="D142" s="195"/>
      <c r="E142" s="270"/>
      <c r="F142" s="196"/>
      <c r="G142" s="196"/>
      <c r="H142" s="196"/>
      <c r="I142" s="195"/>
      <c r="J142" s="195"/>
      <c r="K142" s="195"/>
      <c r="L142" s="195"/>
      <c r="M142" s="196"/>
      <c r="N142" s="195"/>
      <c r="O142" s="195"/>
      <c r="P142" s="195"/>
      <c r="Q142" s="195"/>
      <c r="R142" s="218"/>
      <c r="S142" s="220"/>
      <c r="T142" s="220"/>
      <c r="U142" s="218"/>
      <c r="V142" s="218"/>
    </row>
    <row r="143" spans="1:22" ht="25.5" customHeight="1">
      <c r="A143" s="9"/>
      <c r="B143" s="187" t="s">
        <v>358</v>
      </c>
      <c r="C143" s="279">
        <v>10000</v>
      </c>
      <c r="D143" s="195"/>
      <c r="E143" s="270"/>
      <c r="F143" s="196"/>
      <c r="G143" s="196"/>
      <c r="H143" s="196"/>
      <c r="I143" s="195"/>
      <c r="J143" s="195"/>
      <c r="K143" s="195"/>
      <c r="L143" s="195"/>
      <c r="M143" s="196"/>
      <c r="N143" s="195"/>
      <c r="O143" s="195"/>
      <c r="P143" s="195"/>
      <c r="Q143" s="195"/>
      <c r="R143" s="218"/>
      <c r="S143" s="220"/>
      <c r="T143" s="220"/>
      <c r="U143" s="218"/>
      <c r="V143" s="218"/>
    </row>
    <row r="144" spans="1:22" ht="25.5" customHeight="1">
      <c r="A144" s="9"/>
      <c r="B144" s="187" t="s">
        <v>359</v>
      </c>
      <c r="C144" s="279">
        <v>5000</v>
      </c>
      <c r="D144" s="195"/>
      <c r="E144" s="270"/>
      <c r="F144" s="196"/>
      <c r="G144" s="196"/>
      <c r="H144" s="196"/>
      <c r="I144" s="195"/>
      <c r="J144" s="195"/>
      <c r="K144" s="195"/>
      <c r="L144" s="195"/>
      <c r="M144" s="196"/>
      <c r="N144" s="195"/>
      <c r="O144" s="195"/>
      <c r="P144" s="195"/>
      <c r="Q144" s="195"/>
      <c r="R144" s="218"/>
      <c r="S144" s="220"/>
      <c r="T144" s="220"/>
      <c r="U144" s="218"/>
      <c r="V144" s="218"/>
    </row>
    <row r="145" spans="1:22" ht="25.5" customHeight="1">
      <c r="A145" s="9"/>
      <c r="B145" s="187" t="s">
        <v>360</v>
      </c>
      <c r="C145" s="279">
        <v>5000</v>
      </c>
      <c r="D145" s="195"/>
      <c r="E145" s="270"/>
      <c r="F145" s="196"/>
      <c r="G145" s="196"/>
      <c r="H145" s="196"/>
      <c r="I145" s="195"/>
      <c r="J145" s="195"/>
      <c r="K145" s="195"/>
      <c r="L145" s="195"/>
      <c r="M145" s="196"/>
      <c r="N145" s="195"/>
      <c r="O145" s="195"/>
      <c r="P145" s="195"/>
      <c r="Q145" s="195"/>
      <c r="R145" s="218"/>
      <c r="S145" s="220"/>
      <c r="T145" s="220"/>
      <c r="U145" s="218"/>
      <c r="V145" s="218"/>
    </row>
    <row r="146" spans="1:22" ht="25.5" customHeight="1">
      <c r="A146" s="9"/>
      <c r="B146" s="187" t="s">
        <v>361</v>
      </c>
      <c r="C146" s="279">
        <v>5000</v>
      </c>
      <c r="D146" s="195"/>
      <c r="E146" s="270"/>
      <c r="F146" s="196"/>
      <c r="G146" s="196"/>
      <c r="H146" s="196"/>
      <c r="I146" s="195"/>
      <c r="J146" s="195"/>
      <c r="K146" s="195"/>
      <c r="L146" s="195"/>
      <c r="M146" s="196"/>
      <c r="N146" s="195"/>
      <c r="O146" s="195"/>
      <c r="P146" s="195"/>
      <c r="Q146" s="195"/>
      <c r="R146" s="218"/>
      <c r="S146" s="220"/>
      <c r="T146" s="220"/>
      <c r="U146" s="218"/>
      <c r="V146" s="218"/>
    </row>
    <row r="147" spans="1:22" ht="25.5" customHeight="1">
      <c r="A147" s="9"/>
      <c r="B147" s="187" t="s">
        <v>362</v>
      </c>
      <c r="C147" s="279">
        <v>5000</v>
      </c>
      <c r="D147" s="195"/>
      <c r="E147" s="270"/>
      <c r="F147" s="196"/>
      <c r="G147" s="196"/>
      <c r="H147" s="196"/>
      <c r="I147" s="195"/>
      <c r="J147" s="195"/>
      <c r="K147" s="195"/>
      <c r="L147" s="195"/>
      <c r="M147" s="196"/>
      <c r="N147" s="195"/>
      <c r="O147" s="195"/>
      <c r="P147" s="195"/>
      <c r="Q147" s="195"/>
      <c r="R147" s="218"/>
      <c r="S147" s="220"/>
      <c r="T147" s="220"/>
      <c r="U147" s="218"/>
      <c r="V147" s="218"/>
    </row>
    <row r="148" spans="1:22" ht="25.5" customHeight="1">
      <c r="A148" s="9"/>
      <c r="B148" s="187" t="s">
        <v>363</v>
      </c>
      <c r="C148" s="279">
        <v>5000</v>
      </c>
      <c r="D148" s="131"/>
      <c r="E148" s="267"/>
      <c r="F148" s="135"/>
      <c r="G148" s="135"/>
      <c r="H148" s="135"/>
      <c r="I148" s="131"/>
      <c r="J148" s="131"/>
      <c r="K148" s="131"/>
      <c r="L148" s="131"/>
      <c r="M148" s="135"/>
      <c r="N148" s="131"/>
      <c r="O148" s="131"/>
      <c r="P148" s="131"/>
      <c r="Q148" s="131"/>
      <c r="R148" s="217"/>
      <c r="S148" s="219"/>
      <c r="T148" s="219"/>
      <c r="U148" s="217"/>
      <c r="V148" s="217"/>
    </row>
    <row r="149" spans="1:22" ht="25.5" customHeight="1">
      <c r="A149" s="9"/>
      <c r="B149" s="187" t="s">
        <v>364</v>
      </c>
      <c r="C149" s="279">
        <v>5000</v>
      </c>
      <c r="D149" s="131"/>
      <c r="E149" s="267"/>
      <c r="F149" s="135"/>
      <c r="G149" s="135"/>
      <c r="H149" s="135"/>
      <c r="I149" s="131"/>
      <c r="J149" s="131"/>
      <c r="K149" s="131"/>
      <c r="L149" s="131"/>
      <c r="M149" s="135"/>
      <c r="N149" s="131"/>
      <c r="O149" s="131"/>
      <c r="P149" s="131"/>
      <c r="Q149" s="131"/>
      <c r="R149" s="217"/>
      <c r="S149" s="219"/>
      <c r="T149" s="219"/>
      <c r="U149" s="217"/>
      <c r="V149" s="217"/>
    </row>
    <row r="150" spans="1:22" ht="25.5" customHeight="1">
      <c r="A150" s="9"/>
      <c r="B150" s="187" t="s">
        <v>365</v>
      </c>
      <c r="C150" s="279">
        <v>5000</v>
      </c>
      <c r="D150" s="131"/>
      <c r="E150" s="267"/>
      <c r="F150" s="135"/>
      <c r="G150" s="135"/>
      <c r="H150" s="135"/>
      <c r="I150" s="131"/>
      <c r="J150" s="131"/>
      <c r="K150" s="131"/>
      <c r="L150" s="131"/>
      <c r="M150" s="135"/>
      <c r="N150" s="131"/>
      <c r="O150" s="131"/>
      <c r="P150" s="131"/>
      <c r="Q150" s="131"/>
      <c r="R150" s="217"/>
      <c r="S150" s="219"/>
      <c r="T150" s="219"/>
      <c r="U150" s="217"/>
      <c r="V150" s="217"/>
    </row>
    <row r="151" spans="1:22" ht="25.5" customHeight="1">
      <c r="A151" s="9"/>
      <c r="B151" s="187" t="s">
        <v>366</v>
      </c>
      <c r="C151" s="279">
        <v>5000</v>
      </c>
      <c r="D151" s="131"/>
      <c r="E151" s="267"/>
      <c r="F151" s="135"/>
      <c r="G151" s="135"/>
      <c r="H151" s="135"/>
      <c r="I151" s="131"/>
      <c r="J151" s="131"/>
      <c r="K151" s="131"/>
      <c r="L151" s="131"/>
      <c r="M151" s="135"/>
      <c r="N151" s="131"/>
      <c r="O151" s="131"/>
      <c r="P151" s="131"/>
      <c r="Q151" s="131"/>
      <c r="R151" s="217"/>
      <c r="S151" s="219"/>
      <c r="T151" s="219"/>
      <c r="U151" s="217"/>
      <c r="V151" s="217"/>
    </row>
    <row r="152" spans="1:22" ht="25.5" customHeight="1">
      <c r="A152" s="9"/>
      <c r="B152" s="187" t="s">
        <v>367</v>
      </c>
      <c r="C152" s="279">
        <v>5000</v>
      </c>
      <c r="D152" s="131"/>
      <c r="E152" s="267"/>
      <c r="F152" s="135"/>
      <c r="G152" s="135"/>
      <c r="H152" s="135"/>
      <c r="I152" s="131"/>
      <c r="J152" s="131"/>
      <c r="K152" s="131"/>
      <c r="L152" s="131"/>
      <c r="M152" s="135"/>
      <c r="N152" s="131"/>
      <c r="O152" s="131"/>
      <c r="P152" s="131"/>
      <c r="Q152" s="131"/>
      <c r="R152" s="217"/>
      <c r="S152" s="219"/>
      <c r="T152" s="219"/>
      <c r="U152" s="217"/>
      <c r="V152" s="217"/>
    </row>
    <row r="153" spans="1:22" ht="25.5" customHeight="1">
      <c r="A153" s="9"/>
      <c r="B153" s="187" t="s">
        <v>368</v>
      </c>
      <c r="C153" s="279">
        <v>5000</v>
      </c>
      <c r="D153" s="131"/>
      <c r="E153" s="267"/>
      <c r="F153" s="135"/>
      <c r="G153" s="135"/>
      <c r="H153" s="135"/>
      <c r="I153" s="131"/>
      <c r="J153" s="131"/>
      <c r="K153" s="131"/>
      <c r="L153" s="131"/>
      <c r="M153" s="135"/>
      <c r="N153" s="131"/>
      <c r="O153" s="131"/>
      <c r="P153" s="131"/>
      <c r="Q153" s="131"/>
      <c r="R153" s="217"/>
      <c r="S153" s="219"/>
      <c r="T153" s="219"/>
      <c r="U153" s="217"/>
      <c r="V153" s="217"/>
    </row>
    <row r="154" spans="1:22" ht="25.5" customHeight="1">
      <c r="A154" s="9"/>
      <c r="B154" s="187" t="s">
        <v>369</v>
      </c>
      <c r="C154" s="279">
        <v>10000</v>
      </c>
      <c r="D154" s="131"/>
      <c r="E154" s="267"/>
      <c r="F154" s="135"/>
      <c r="G154" s="135"/>
      <c r="H154" s="135"/>
      <c r="I154" s="131"/>
      <c r="J154" s="131"/>
      <c r="K154" s="131"/>
      <c r="L154" s="131"/>
      <c r="M154" s="135"/>
      <c r="N154" s="131"/>
      <c r="O154" s="131"/>
      <c r="P154" s="131"/>
      <c r="Q154" s="131"/>
      <c r="R154" s="217"/>
      <c r="S154" s="219"/>
      <c r="T154" s="219"/>
      <c r="U154" s="217"/>
      <c r="V154" s="217"/>
    </row>
    <row r="155" spans="1:22" ht="25.5" customHeight="1">
      <c r="A155" s="9"/>
      <c r="B155" s="187" t="s">
        <v>370</v>
      </c>
      <c r="C155" s="279">
        <v>10000</v>
      </c>
      <c r="D155" s="131"/>
      <c r="E155" s="267"/>
      <c r="F155" s="135"/>
      <c r="G155" s="135"/>
      <c r="H155" s="135"/>
      <c r="I155" s="131"/>
      <c r="J155" s="131"/>
      <c r="K155" s="131"/>
      <c r="L155" s="131"/>
      <c r="M155" s="135"/>
      <c r="N155" s="131"/>
      <c r="O155" s="131"/>
      <c r="P155" s="131"/>
      <c r="Q155" s="131"/>
      <c r="R155" s="217"/>
      <c r="S155" s="219"/>
      <c r="T155" s="219"/>
      <c r="U155" s="217"/>
      <c r="V155" s="217"/>
    </row>
    <row r="156" spans="1:22" ht="25.5" customHeight="1">
      <c r="A156" s="9"/>
      <c r="B156" s="187" t="s">
        <v>163</v>
      </c>
      <c r="C156" s="279">
        <v>350000</v>
      </c>
      <c r="D156" s="131"/>
      <c r="E156" s="267"/>
      <c r="F156" s="135"/>
      <c r="G156" s="135"/>
      <c r="H156" s="135"/>
      <c r="I156" s="131"/>
      <c r="J156" s="131"/>
      <c r="K156" s="131"/>
      <c r="L156" s="131"/>
      <c r="M156" s="135"/>
      <c r="N156" s="131"/>
      <c r="O156" s="131"/>
      <c r="P156" s="131"/>
      <c r="Q156" s="131"/>
      <c r="R156" s="217"/>
      <c r="S156" s="219"/>
      <c r="T156" s="219"/>
      <c r="U156" s="217"/>
      <c r="V156" s="217"/>
    </row>
    <row r="157" spans="1:22" ht="25.5" customHeight="1">
      <c r="A157" s="9"/>
      <c r="B157" s="187" t="s">
        <v>214</v>
      </c>
      <c r="C157" s="279">
        <v>25000</v>
      </c>
      <c r="D157" s="131"/>
      <c r="E157" s="267"/>
      <c r="F157" s="135"/>
      <c r="G157" s="135"/>
      <c r="H157" s="135"/>
      <c r="I157" s="131"/>
      <c r="J157" s="131"/>
      <c r="K157" s="131"/>
      <c r="L157" s="131"/>
      <c r="M157" s="135"/>
      <c r="N157" s="131"/>
      <c r="O157" s="131"/>
      <c r="P157" s="131"/>
      <c r="Q157" s="131"/>
      <c r="R157" s="217"/>
      <c r="S157" s="219"/>
      <c r="T157" s="219"/>
      <c r="U157" s="217"/>
      <c r="V157" s="217"/>
    </row>
    <row r="158" spans="1:22" ht="25.5" customHeight="1">
      <c r="A158" s="9"/>
      <c r="B158" s="187" t="s">
        <v>167</v>
      </c>
      <c r="C158" s="279">
        <v>30000</v>
      </c>
      <c r="D158" s="131"/>
      <c r="E158" s="267"/>
      <c r="F158" s="135"/>
      <c r="G158" s="135"/>
      <c r="H158" s="135"/>
      <c r="I158" s="131"/>
      <c r="J158" s="131"/>
      <c r="K158" s="131"/>
      <c r="L158" s="131"/>
      <c r="M158" s="135"/>
      <c r="N158" s="131"/>
      <c r="O158" s="131"/>
      <c r="P158" s="131"/>
      <c r="Q158" s="131"/>
      <c r="R158" s="217"/>
      <c r="S158" s="219"/>
      <c r="T158" s="219"/>
      <c r="U158" s="217"/>
      <c r="V158" s="217"/>
    </row>
    <row r="159" spans="1:22" ht="25.5" customHeight="1">
      <c r="A159" s="9"/>
      <c r="B159" s="187" t="s">
        <v>371</v>
      </c>
      <c r="C159" s="279">
        <v>30000</v>
      </c>
      <c r="D159" s="131"/>
      <c r="E159" s="267"/>
      <c r="F159" s="135"/>
      <c r="G159" s="135"/>
      <c r="H159" s="135"/>
      <c r="I159" s="131"/>
      <c r="J159" s="131"/>
      <c r="K159" s="131"/>
      <c r="L159" s="131"/>
      <c r="M159" s="135"/>
      <c r="N159" s="131"/>
      <c r="O159" s="131"/>
      <c r="P159" s="131"/>
      <c r="Q159" s="131"/>
      <c r="R159" s="217"/>
      <c r="S159" s="219"/>
      <c r="T159" s="219"/>
      <c r="U159" s="217"/>
      <c r="V159" s="217"/>
    </row>
    <row r="160" spans="1:22" ht="25.5" customHeight="1">
      <c r="A160" s="9"/>
      <c r="B160" s="187" t="s">
        <v>170</v>
      </c>
      <c r="C160" s="279">
        <v>40000</v>
      </c>
      <c r="D160" s="131"/>
      <c r="E160" s="267"/>
      <c r="F160" s="135"/>
      <c r="G160" s="135"/>
      <c r="H160" s="135"/>
      <c r="I160" s="131"/>
      <c r="J160" s="131"/>
      <c r="K160" s="131"/>
      <c r="L160" s="131"/>
      <c r="M160" s="135"/>
      <c r="N160" s="131"/>
      <c r="O160" s="131"/>
      <c r="P160" s="131"/>
      <c r="Q160" s="131"/>
      <c r="R160" s="217"/>
      <c r="S160" s="219"/>
      <c r="T160" s="219"/>
      <c r="U160" s="217"/>
      <c r="V160" s="217"/>
    </row>
    <row r="161" spans="1:23" ht="25.5" customHeight="1">
      <c r="A161" s="9"/>
      <c r="B161" s="187" t="s">
        <v>266</v>
      </c>
      <c r="C161" s="279">
        <v>15000</v>
      </c>
      <c r="D161" s="131"/>
      <c r="E161" s="267"/>
      <c r="F161" s="135"/>
      <c r="G161" s="135"/>
      <c r="H161" s="135"/>
      <c r="I161" s="131"/>
      <c r="J161" s="131"/>
      <c r="K161" s="131"/>
      <c r="L161" s="131"/>
      <c r="M161" s="135"/>
      <c r="N161" s="131"/>
      <c r="O161" s="131"/>
      <c r="P161" s="131"/>
      <c r="Q161" s="131"/>
      <c r="R161" s="217"/>
      <c r="S161" s="219"/>
      <c r="T161" s="219"/>
      <c r="U161" s="217"/>
      <c r="V161" s="217"/>
    </row>
    <row r="162" spans="1:23" ht="25.5" customHeight="1">
      <c r="A162" s="9"/>
      <c r="B162" s="187" t="s">
        <v>372</v>
      </c>
      <c r="C162" s="279">
        <v>65000</v>
      </c>
      <c r="D162" s="131"/>
      <c r="E162" s="267"/>
      <c r="F162" s="135"/>
      <c r="G162" s="135"/>
      <c r="H162" s="135"/>
      <c r="I162" s="131"/>
      <c r="J162" s="131"/>
      <c r="K162" s="131"/>
      <c r="L162" s="131"/>
      <c r="M162" s="135"/>
      <c r="N162" s="131"/>
      <c r="O162" s="131"/>
      <c r="P162" s="131"/>
      <c r="Q162" s="131"/>
      <c r="R162" s="217"/>
      <c r="S162" s="219"/>
      <c r="T162" s="219"/>
      <c r="U162" s="217"/>
      <c r="V162" s="217"/>
    </row>
    <row r="163" spans="1:23" ht="25.5" customHeight="1">
      <c r="A163" s="9"/>
      <c r="B163" s="187" t="s">
        <v>373</v>
      </c>
      <c r="C163" s="279">
        <v>65000</v>
      </c>
      <c r="D163" s="131"/>
      <c r="E163" s="267"/>
      <c r="F163" s="135"/>
      <c r="G163" s="135"/>
      <c r="H163" s="135"/>
      <c r="I163" s="131"/>
      <c r="J163" s="131"/>
      <c r="K163" s="131"/>
      <c r="L163" s="131"/>
      <c r="M163" s="135"/>
      <c r="N163" s="131"/>
      <c r="O163" s="131"/>
      <c r="P163" s="131"/>
      <c r="Q163" s="131"/>
      <c r="R163" s="217"/>
      <c r="S163" s="219"/>
      <c r="T163" s="219"/>
      <c r="U163" s="217"/>
      <c r="V163" s="217"/>
    </row>
    <row r="164" spans="1:23" ht="25.5" customHeight="1">
      <c r="A164" s="9"/>
      <c r="B164" s="187" t="s">
        <v>374</v>
      </c>
      <c r="C164" s="279">
        <v>20000</v>
      </c>
      <c r="D164" s="131"/>
      <c r="E164" s="267"/>
      <c r="F164" s="135"/>
      <c r="G164" s="135"/>
      <c r="H164" s="135"/>
      <c r="I164" s="131"/>
      <c r="J164" s="131"/>
      <c r="K164" s="131"/>
      <c r="L164" s="131"/>
      <c r="M164" s="135"/>
      <c r="N164" s="131"/>
      <c r="O164" s="131"/>
      <c r="P164" s="131"/>
      <c r="Q164" s="131"/>
      <c r="R164" s="217"/>
      <c r="S164" s="219"/>
      <c r="T164" s="219"/>
      <c r="U164" s="217"/>
      <c r="V164" s="217"/>
    </row>
    <row r="165" spans="1:23" ht="25.5" customHeight="1">
      <c r="A165" s="9"/>
      <c r="B165" s="187" t="s">
        <v>375</v>
      </c>
      <c r="C165" s="279">
        <v>20000</v>
      </c>
      <c r="D165" s="131"/>
      <c r="E165" s="267"/>
      <c r="F165" s="135"/>
      <c r="G165" s="135"/>
      <c r="H165" s="135"/>
      <c r="I165" s="131"/>
      <c r="J165" s="131"/>
      <c r="K165" s="131"/>
      <c r="L165" s="131"/>
      <c r="M165" s="135"/>
      <c r="N165" s="131"/>
      <c r="O165" s="131"/>
      <c r="P165" s="131"/>
      <c r="Q165" s="131"/>
      <c r="R165" s="217"/>
      <c r="S165" s="219"/>
      <c r="T165" s="219"/>
      <c r="U165" s="217"/>
      <c r="V165" s="217"/>
    </row>
    <row r="166" spans="1:23" ht="25.5" customHeight="1">
      <c r="A166" s="9"/>
      <c r="B166" s="187" t="s">
        <v>376</v>
      </c>
      <c r="C166" s="279">
        <f>25000-2000</f>
        <v>23000</v>
      </c>
      <c r="D166" s="131"/>
      <c r="E166" s="267"/>
      <c r="F166" s="135"/>
      <c r="G166" s="135"/>
      <c r="H166" s="135"/>
      <c r="I166" s="131"/>
      <c r="J166" s="131"/>
      <c r="K166" s="131"/>
      <c r="L166" s="131"/>
      <c r="M166" s="135"/>
      <c r="N166" s="131"/>
      <c r="O166" s="131"/>
      <c r="P166" s="131"/>
      <c r="Q166" s="131"/>
      <c r="R166" s="217"/>
      <c r="S166" s="219"/>
      <c r="T166" s="219"/>
      <c r="U166" s="217"/>
      <c r="V166" s="217"/>
    </row>
    <row r="167" spans="1:23" ht="25.5" customHeight="1">
      <c r="A167" s="9"/>
      <c r="B167" s="187" t="s">
        <v>377</v>
      </c>
      <c r="C167" s="279">
        <v>20000</v>
      </c>
      <c r="D167" s="131"/>
      <c r="E167" s="267"/>
      <c r="F167" s="135"/>
      <c r="G167" s="135"/>
      <c r="H167" s="135"/>
      <c r="I167" s="131"/>
      <c r="J167" s="131"/>
      <c r="K167" s="131"/>
      <c r="L167" s="131"/>
      <c r="M167" s="135"/>
      <c r="N167" s="131"/>
      <c r="O167" s="131"/>
      <c r="P167" s="131"/>
      <c r="Q167" s="131"/>
      <c r="R167" s="217"/>
      <c r="S167" s="219"/>
      <c r="T167" s="219"/>
      <c r="U167" s="217"/>
      <c r="V167" s="217"/>
    </row>
    <row r="168" spans="1:23" ht="25.5" customHeight="1">
      <c r="A168" s="9"/>
      <c r="B168" s="187" t="s">
        <v>267</v>
      </c>
      <c r="C168" s="279">
        <v>15000</v>
      </c>
      <c r="D168" s="131"/>
      <c r="E168" s="267"/>
      <c r="F168" s="135"/>
      <c r="G168" s="135"/>
      <c r="H168" s="135"/>
      <c r="I168" s="131"/>
      <c r="J168" s="131"/>
      <c r="K168" s="131"/>
      <c r="L168" s="131"/>
      <c r="M168" s="135"/>
      <c r="N168" s="131"/>
      <c r="O168" s="131"/>
      <c r="P168" s="131"/>
      <c r="Q168" s="131"/>
      <c r="R168" s="217"/>
      <c r="S168" s="219"/>
      <c r="T168" s="219"/>
      <c r="U168" s="217"/>
      <c r="V168" s="217"/>
    </row>
    <row r="169" spans="1:23" ht="25.5" customHeight="1">
      <c r="A169" s="9"/>
      <c r="B169" s="187" t="s">
        <v>215</v>
      </c>
      <c r="C169" s="279">
        <v>10000</v>
      </c>
      <c r="D169" s="131"/>
      <c r="E169" s="267"/>
      <c r="F169" s="135"/>
      <c r="G169" s="135"/>
      <c r="H169" s="135"/>
      <c r="I169" s="131"/>
      <c r="J169" s="131"/>
      <c r="K169" s="131"/>
      <c r="L169" s="131"/>
      <c r="M169" s="135"/>
      <c r="N169" s="131"/>
      <c r="O169" s="131"/>
      <c r="P169" s="131"/>
      <c r="Q169" s="131"/>
      <c r="R169" s="217"/>
      <c r="S169" s="219"/>
      <c r="T169" s="219"/>
      <c r="U169" s="217"/>
      <c r="V169" s="217"/>
    </row>
    <row r="170" spans="1:23" ht="25.5" customHeight="1">
      <c r="A170" s="9"/>
      <c r="B170" s="187" t="s">
        <v>268</v>
      </c>
      <c r="C170" s="279">
        <v>5000</v>
      </c>
      <c r="D170" s="131"/>
      <c r="E170" s="267"/>
      <c r="F170" s="135"/>
      <c r="G170" s="135"/>
      <c r="H170" s="135"/>
      <c r="I170" s="131"/>
      <c r="J170" s="131"/>
      <c r="K170" s="131"/>
      <c r="L170" s="131"/>
      <c r="M170" s="135"/>
      <c r="N170" s="131"/>
      <c r="O170" s="131"/>
      <c r="P170" s="131"/>
      <c r="Q170" s="131"/>
      <c r="R170" s="217"/>
      <c r="S170" s="219"/>
      <c r="T170" s="219"/>
      <c r="U170" s="217"/>
      <c r="V170" s="217"/>
    </row>
    <row r="171" spans="1:23" ht="25.5" customHeight="1">
      <c r="A171" s="9"/>
      <c r="B171" s="187"/>
      <c r="C171" s="279"/>
      <c r="D171" s="131"/>
      <c r="E171" s="267"/>
      <c r="F171" s="135"/>
      <c r="G171" s="135"/>
      <c r="H171" s="135"/>
      <c r="I171" s="131"/>
      <c r="J171" s="131"/>
      <c r="K171" s="131"/>
      <c r="L171" s="131"/>
      <c r="M171" s="135"/>
      <c r="N171" s="131"/>
      <c r="O171" s="131"/>
      <c r="P171" s="131"/>
      <c r="Q171" s="131"/>
      <c r="R171" s="217"/>
      <c r="S171" s="219"/>
      <c r="T171" s="219"/>
      <c r="U171" s="217"/>
      <c r="V171" s="217"/>
    </row>
    <row r="172" spans="1:23" ht="25.5" customHeight="1">
      <c r="A172" s="9"/>
      <c r="B172" s="187"/>
      <c r="C172" s="279"/>
      <c r="D172" s="131"/>
      <c r="E172" s="267"/>
      <c r="F172" s="135"/>
      <c r="G172" s="135"/>
      <c r="H172" s="135"/>
      <c r="I172" s="131"/>
      <c r="J172" s="131"/>
      <c r="K172" s="131"/>
      <c r="L172" s="131"/>
      <c r="M172" s="135"/>
      <c r="N172" s="131"/>
      <c r="O172" s="131"/>
      <c r="P172" s="131"/>
      <c r="Q172" s="131"/>
      <c r="R172" s="217"/>
      <c r="S172" s="219"/>
      <c r="T172" s="219"/>
      <c r="U172" s="217"/>
      <c r="V172" s="217"/>
    </row>
    <row r="173" spans="1:23" ht="25.5" customHeight="1">
      <c r="A173" s="9"/>
      <c r="B173" s="187"/>
      <c r="C173" s="279"/>
      <c r="D173" s="131"/>
      <c r="E173" s="267"/>
      <c r="F173" s="135"/>
      <c r="G173" s="135"/>
      <c r="H173" s="135"/>
      <c r="I173" s="131"/>
      <c r="J173" s="131"/>
      <c r="K173" s="131"/>
      <c r="L173" s="131"/>
      <c r="M173" s="135"/>
      <c r="N173" s="131"/>
      <c r="O173" s="131"/>
      <c r="P173" s="131"/>
      <c r="Q173" s="131"/>
      <c r="R173" s="217"/>
      <c r="S173" s="219"/>
      <c r="T173" s="219"/>
      <c r="U173" s="217"/>
      <c r="V173" s="217"/>
    </row>
    <row r="174" spans="1:23" ht="25.5" customHeight="1">
      <c r="A174" s="9"/>
      <c r="B174" s="187"/>
      <c r="C174" s="279"/>
      <c r="D174" s="131"/>
      <c r="E174" s="267"/>
      <c r="F174" s="135"/>
      <c r="G174" s="135"/>
      <c r="H174" s="135"/>
      <c r="I174" s="131"/>
      <c r="J174" s="131"/>
      <c r="K174" s="131"/>
      <c r="L174" s="131"/>
      <c r="M174" s="135"/>
      <c r="N174" s="131"/>
      <c r="O174" s="131"/>
      <c r="P174" s="131"/>
      <c r="Q174" s="131"/>
      <c r="R174" s="217"/>
      <c r="S174" s="219"/>
      <c r="T174" s="219"/>
      <c r="U174" s="217"/>
      <c r="V174" s="217"/>
    </row>
    <row r="175" spans="1:23" ht="25.5" customHeight="1">
      <c r="A175" s="9"/>
      <c r="B175" s="187"/>
      <c r="C175" s="279"/>
      <c r="D175" s="131"/>
      <c r="E175" s="267"/>
      <c r="F175" s="135"/>
      <c r="G175" s="135"/>
      <c r="H175" s="135"/>
      <c r="I175" s="131"/>
      <c r="J175" s="131"/>
      <c r="K175" s="131"/>
      <c r="L175" s="131"/>
      <c r="M175" s="135"/>
      <c r="N175" s="131"/>
      <c r="O175" s="131"/>
      <c r="P175" s="131"/>
      <c r="Q175" s="131"/>
      <c r="R175" s="217"/>
      <c r="S175" s="219"/>
      <c r="T175" s="219"/>
      <c r="U175" s="217"/>
      <c r="V175" s="217"/>
    </row>
    <row r="176" spans="1:23" ht="25.5" customHeight="1" thickBot="1">
      <c r="A176" s="15"/>
      <c r="B176" s="14" t="s">
        <v>5</v>
      </c>
      <c r="C176" s="170">
        <f>SUM(C51:C175)</f>
        <v>5934800</v>
      </c>
      <c r="D176" s="255">
        <f>SUM(D51:D175)</f>
        <v>0</v>
      </c>
      <c r="E176" s="254">
        <f t="shared" ref="E176:V176" si="4">SUM(E51:E175)</f>
        <v>197827</v>
      </c>
      <c r="F176" s="254">
        <f t="shared" si="4"/>
        <v>18258</v>
      </c>
      <c r="G176" s="255">
        <f t="shared" si="4"/>
        <v>0</v>
      </c>
      <c r="H176" s="254">
        <f t="shared" si="4"/>
        <v>480180</v>
      </c>
      <c r="I176" s="255">
        <f t="shared" si="4"/>
        <v>263900</v>
      </c>
      <c r="J176" s="255">
        <f t="shared" si="4"/>
        <v>0</v>
      </c>
      <c r="K176" s="255">
        <f t="shared" si="4"/>
        <v>0</v>
      </c>
      <c r="L176" s="255">
        <f t="shared" si="4"/>
        <v>0</v>
      </c>
      <c r="M176" s="254">
        <f t="shared" si="4"/>
        <v>36286</v>
      </c>
      <c r="N176" s="255">
        <f t="shared" si="4"/>
        <v>0</v>
      </c>
      <c r="O176" s="255">
        <f t="shared" si="4"/>
        <v>0</v>
      </c>
      <c r="P176" s="255">
        <f t="shared" si="4"/>
        <v>0</v>
      </c>
      <c r="Q176" s="255">
        <f t="shared" si="4"/>
        <v>4880</v>
      </c>
      <c r="R176" s="255">
        <f t="shared" si="4"/>
        <v>0</v>
      </c>
      <c r="S176" s="255">
        <f t="shared" si="4"/>
        <v>0</v>
      </c>
      <c r="T176" s="255"/>
      <c r="U176" s="255">
        <f t="shared" si="4"/>
        <v>0</v>
      </c>
      <c r="V176" s="255">
        <f t="shared" si="4"/>
        <v>0</v>
      </c>
      <c r="W176" s="314">
        <f>SUM(D176:V176)</f>
        <v>1001331</v>
      </c>
    </row>
    <row r="177" spans="1:23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3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3" ht="25.5" customHeight="1">
      <c r="A178" s="9"/>
      <c r="B178" s="130" t="s">
        <v>111</v>
      </c>
      <c r="C178" s="216">
        <f>50000+25000+5000+25000+10000</f>
        <v>115000</v>
      </c>
      <c r="D178" s="131"/>
      <c r="E178" s="267"/>
      <c r="F178" s="135">
        <v>6920</v>
      </c>
      <c r="G178" s="135"/>
      <c r="H178" s="135"/>
      <c r="I178" s="131"/>
      <c r="J178" s="131"/>
      <c r="K178" s="131"/>
      <c r="L178" s="131"/>
      <c r="M178" s="135">
        <v>4504</v>
      </c>
      <c r="N178" s="131"/>
      <c r="O178" s="131"/>
      <c r="P178" s="131"/>
      <c r="Q178" s="131"/>
      <c r="R178" s="217"/>
      <c r="S178" s="219"/>
      <c r="T178" s="219"/>
      <c r="U178" s="217"/>
      <c r="V178" s="217"/>
    </row>
    <row r="179" spans="1:23" s="67" customFormat="1" ht="25.5" customHeight="1">
      <c r="A179" s="9"/>
      <c r="B179" s="130" t="s">
        <v>302</v>
      </c>
      <c r="C179" s="216">
        <v>10000</v>
      </c>
      <c r="D179" s="131"/>
      <c r="E179" s="267"/>
      <c r="F179" s="135"/>
      <c r="G179" s="135"/>
      <c r="H179" s="135">
        <v>500</v>
      </c>
      <c r="I179" s="131"/>
      <c r="J179" s="131"/>
      <c r="K179" s="131"/>
      <c r="L179" s="131"/>
      <c r="M179" s="135"/>
      <c r="N179" s="131"/>
      <c r="O179" s="131"/>
      <c r="P179" s="131"/>
      <c r="Q179" s="131"/>
      <c r="R179" s="217"/>
      <c r="S179" s="219"/>
      <c r="T179" s="219"/>
      <c r="U179" s="217"/>
      <c r="V179" s="217"/>
      <c r="W179" s="312"/>
    </row>
    <row r="180" spans="1:23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/>
      <c r="F180" s="135"/>
      <c r="G180" s="135"/>
      <c r="H180" s="135"/>
      <c r="I180" s="131"/>
      <c r="J180" s="131"/>
      <c r="K180" s="131"/>
      <c r="L180" s="131"/>
      <c r="M180" s="135"/>
      <c r="N180" s="131"/>
      <c r="O180" s="131"/>
      <c r="P180" s="131"/>
      <c r="Q180" s="131"/>
      <c r="R180" s="217"/>
      <c r="S180" s="219"/>
      <c r="T180" s="219"/>
      <c r="U180" s="217"/>
      <c r="V180" s="217"/>
      <c r="W180" s="312"/>
    </row>
    <row r="181" spans="1:23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/>
      <c r="F181" s="135"/>
      <c r="G181" s="135"/>
      <c r="H181" s="135">
        <v>4050</v>
      </c>
      <c r="I181" s="131"/>
      <c r="J181" s="131"/>
      <c r="K181" s="131"/>
      <c r="L181" s="131"/>
      <c r="M181" s="135"/>
      <c r="N181" s="131"/>
      <c r="O181" s="131"/>
      <c r="P181" s="131"/>
      <c r="Q181" s="131"/>
      <c r="R181" s="217"/>
      <c r="S181" s="219"/>
      <c r="T181" s="219"/>
      <c r="U181" s="217"/>
      <c r="V181" s="217"/>
      <c r="W181" s="312"/>
    </row>
    <row r="182" spans="1:23" ht="25.5" customHeight="1">
      <c r="A182" s="9"/>
      <c r="B182" s="130" t="s">
        <v>17</v>
      </c>
      <c r="C182" s="216">
        <f>15000+25000+20000</f>
        <v>60000</v>
      </c>
      <c r="D182" s="133"/>
      <c r="E182" s="269"/>
      <c r="F182" s="136"/>
      <c r="G182" s="136"/>
      <c r="H182" s="136">
        <v>4320</v>
      </c>
      <c r="I182" s="133"/>
      <c r="J182" s="133"/>
      <c r="K182" s="133"/>
      <c r="L182" s="133"/>
      <c r="M182" s="136"/>
      <c r="N182" s="133"/>
      <c r="O182" s="133"/>
      <c r="P182" s="133"/>
      <c r="Q182" s="133"/>
      <c r="R182" s="217"/>
      <c r="S182" s="219"/>
      <c r="T182" s="259"/>
      <c r="U182" s="258"/>
      <c r="V182" s="258"/>
    </row>
    <row r="183" spans="1:23" ht="25.5" customHeight="1">
      <c r="A183" s="9"/>
      <c r="B183" s="130" t="s">
        <v>13</v>
      </c>
      <c r="C183" s="216">
        <v>15000</v>
      </c>
      <c r="D183" s="131"/>
      <c r="E183" s="267"/>
      <c r="F183" s="135"/>
      <c r="G183" s="135"/>
      <c r="H183" s="135"/>
      <c r="I183" s="131"/>
      <c r="J183" s="131"/>
      <c r="K183" s="131"/>
      <c r="L183" s="131"/>
      <c r="M183" s="135"/>
      <c r="N183" s="131"/>
      <c r="O183" s="131"/>
      <c r="P183" s="131"/>
      <c r="Q183" s="131"/>
      <c r="R183" s="217"/>
      <c r="S183" s="219"/>
      <c r="T183" s="219"/>
      <c r="U183" s="217"/>
      <c r="V183" s="217"/>
    </row>
    <row r="184" spans="1:23" ht="25.5" customHeight="1">
      <c r="A184" s="9"/>
      <c r="B184" s="130" t="s">
        <v>14</v>
      </c>
      <c r="C184" s="216">
        <f>240000+5000+20000+2000</f>
        <v>267000</v>
      </c>
      <c r="D184" s="133"/>
      <c r="E184" s="269">
        <v>17754</v>
      </c>
      <c r="F184" s="136"/>
      <c r="G184" s="136"/>
      <c r="H184" s="136"/>
      <c r="I184" s="133"/>
      <c r="J184" s="133"/>
      <c r="K184" s="133"/>
      <c r="L184" s="133"/>
      <c r="M184" s="136">
        <v>1705.6</v>
      </c>
      <c r="N184" s="133"/>
      <c r="O184" s="133"/>
      <c r="P184" s="133"/>
      <c r="Q184" s="133"/>
      <c r="R184" s="217"/>
      <c r="S184" s="219"/>
      <c r="T184" s="219"/>
      <c r="U184" s="217"/>
      <c r="V184" s="217"/>
    </row>
    <row r="185" spans="1:23" ht="25.5" customHeight="1">
      <c r="A185" s="9"/>
      <c r="B185" s="130" t="s">
        <v>112</v>
      </c>
      <c r="C185" s="216">
        <f>5000+5000+5000</f>
        <v>15000</v>
      </c>
      <c r="D185" s="133"/>
      <c r="E185" s="269"/>
      <c r="F185" s="136"/>
      <c r="G185" s="136"/>
      <c r="H185" s="136"/>
      <c r="I185" s="133"/>
      <c r="J185" s="133"/>
      <c r="K185" s="133"/>
      <c r="L185" s="133"/>
      <c r="M185" s="136"/>
      <c r="N185" s="133"/>
      <c r="O185" s="133"/>
      <c r="P185" s="133"/>
      <c r="Q185" s="133"/>
      <c r="R185" s="217"/>
      <c r="S185" s="219"/>
      <c r="T185" s="219"/>
      <c r="U185" s="217"/>
      <c r="V185" s="217"/>
    </row>
    <row r="186" spans="1:23" ht="25.5" customHeight="1">
      <c r="A186" s="9"/>
      <c r="B186" s="130" t="s">
        <v>208</v>
      </c>
      <c r="C186" s="216">
        <v>5000</v>
      </c>
      <c r="D186" s="133"/>
      <c r="E186" s="269"/>
      <c r="F186" s="136"/>
      <c r="G186" s="136"/>
      <c r="H186" s="136"/>
      <c r="I186" s="133"/>
      <c r="J186" s="133"/>
      <c r="K186" s="133"/>
      <c r="L186" s="133"/>
      <c r="M186" s="136"/>
      <c r="N186" s="133"/>
      <c r="O186" s="133"/>
      <c r="P186" s="133"/>
      <c r="Q186" s="133"/>
      <c r="R186" s="217"/>
      <c r="S186" s="219"/>
      <c r="T186" s="219"/>
      <c r="U186" s="217"/>
      <c r="V186" s="217"/>
    </row>
    <row r="187" spans="1:23" ht="25.5" customHeight="1">
      <c r="A187" s="9"/>
      <c r="B187" s="130" t="s">
        <v>15</v>
      </c>
      <c r="C187" s="216">
        <f>40000+15000+15000+40000</f>
        <v>110000</v>
      </c>
      <c r="D187" s="195"/>
      <c r="E187" s="270"/>
      <c r="F187" s="196">
        <v>4400</v>
      </c>
      <c r="G187" s="196"/>
      <c r="H187" s="196"/>
      <c r="I187" s="195"/>
      <c r="J187" s="195"/>
      <c r="K187" s="195"/>
      <c r="L187" s="195"/>
      <c r="M187" s="196"/>
      <c r="N187" s="195"/>
      <c r="O187" s="195"/>
      <c r="P187" s="195"/>
      <c r="Q187" s="195"/>
      <c r="R187" s="218"/>
      <c r="S187" s="220"/>
      <c r="T187" s="220"/>
      <c r="U187" s="218"/>
      <c r="V187" s="218"/>
    </row>
    <row r="188" spans="1:23" ht="25.5" customHeight="1">
      <c r="A188" s="9"/>
      <c r="B188" s="130" t="s">
        <v>303</v>
      </c>
      <c r="C188" s="216">
        <v>10000</v>
      </c>
      <c r="D188" s="195"/>
      <c r="E188" s="270"/>
      <c r="F188" s="196"/>
      <c r="G188" s="196"/>
      <c r="H188" s="196"/>
      <c r="I188" s="195"/>
      <c r="J188" s="195"/>
      <c r="K188" s="195"/>
      <c r="L188" s="195"/>
      <c r="M188" s="196"/>
      <c r="N188" s="195"/>
      <c r="O188" s="195"/>
      <c r="P188" s="195"/>
      <c r="Q188" s="195"/>
      <c r="R188" s="218"/>
      <c r="S188" s="220"/>
      <c r="T188" s="220"/>
      <c r="U188" s="218"/>
      <c r="V188" s="218"/>
    </row>
    <row r="189" spans="1:23" ht="25.5" customHeight="1">
      <c r="A189" s="9"/>
      <c r="B189" s="130" t="s">
        <v>304</v>
      </c>
      <c r="C189" s="216">
        <f>5000+20000</f>
        <v>25000</v>
      </c>
      <c r="D189" s="195"/>
      <c r="E189" s="270"/>
      <c r="F189" s="196"/>
      <c r="G189" s="196"/>
      <c r="H189" s="196">
        <v>1758</v>
      </c>
      <c r="I189" s="195"/>
      <c r="J189" s="195"/>
      <c r="K189" s="195"/>
      <c r="L189" s="195"/>
      <c r="M189" s="196"/>
      <c r="N189" s="195"/>
      <c r="O189" s="195"/>
      <c r="P189" s="195"/>
      <c r="Q189" s="195"/>
      <c r="R189" s="218"/>
      <c r="S189" s="220"/>
      <c r="T189" s="220"/>
      <c r="U189" s="218"/>
      <c r="V189" s="218"/>
    </row>
    <row r="190" spans="1:23" ht="25.5" customHeight="1">
      <c r="A190" s="9"/>
      <c r="B190" s="130" t="s">
        <v>332</v>
      </c>
      <c r="C190" s="216">
        <f>10000+20000</f>
        <v>30000</v>
      </c>
      <c r="D190" s="195"/>
      <c r="E190" s="270"/>
      <c r="F190" s="196"/>
      <c r="G190" s="196"/>
      <c r="H190" s="196"/>
      <c r="I190" s="195"/>
      <c r="J190" s="195"/>
      <c r="K190" s="195"/>
      <c r="L190" s="195"/>
      <c r="M190" s="196"/>
      <c r="N190" s="195"/>
      <c r="O190" s="195"/>
      <c r="P190" s="195"/>
      <c r="Q190" s="195"/>
      <c r="R190" s="218"/>
      <c r="S190" s="220"/>
      <c r="T190" s="220"/>
      <c r="U190" s="218"/>
      <c r="V190" s="218"/>
      <c r="W190" s="310">
        <f>413900+525039+277849</f>
        <v>1216788</v>
      </c>
    </row>
    <row r="191" spans="1:23" ht="25.5" customHeight="1">
      <c r="A191" s="9"/>
      <c r="B191" s="130" t="s">
        <v>46</v>
      </c>
      <c r="C191" s="216">
        <v>80000</v>
      </c>
      <c r="D191" s="195"/>
      <c r="E191" s="270"/>
      <c r="F191" s="196"/>
      <c r="G191" s="196"/>
      <c r="H191" s="196"/>
      <c r="I191" s="195"/>
      <c r="J191" s="195"/>
      <c r="K191" s="195"/>
      <c r="L191" s="195"/>
      <c r="M191" s="196"/>
      <c r="N191" s="195"/>
      <c r="O191" s="195"/>
      <c r="P191" s="195"/>
      <c r="Q191" s="195"/>
      <c r="R191" s="218"/>
      <c r="S191" s="220"/>
      <c r="T191" s="220"/>
      <c r="U191" s="218"/>
      <c r="V191" s="218"/>
    </row>
    <row r="192" spans="1:23" ht="25.5" customHeight="1">
      <c r="A192" s="9"/>
      <c r="B192" s="130" t="s">
        <v>316</v>
      </c>
      <c r="C192" s="216">
        <f>413900+525039+277849</f>
        <v>1216788</v>
      </c>
      <c r="D192" s="131"/>
      <c r="E192" s="267"/>
      <c r="F192" s="135"/>
      <c r="G192" s="135"/>
      <c r="H192" s="135"/>
      <c r="I192" s="131"/>
      <c r="J192" s="131"/>
      <c r="K192" s="131"/>
      <c r="L192" s="131"/>
      <c r="M192" s="135"/>
      <c r="N192" s="131"/>
      <c r="O192" s="131"/>
      <c r="P192" s="131"/>
      <c r="Q192" s="131"/>
      <c r="R192" s="217"/>
      <c r="S192" s="219"/>
      <c r="T192" s="220"/>
      <c r="U192" s="218"/>
      <c r="V192" s="218"/>
    </row>
    <row r="193" spans="1:23" ht="25.5" customHeight="1">
      <c r="A193" s="9"/>
      <c r="B193" s="130" t="s">
        <v>317</v>
      </c>
      <c r="C193" s="290"/>
      <c r="D193" s="133"/>
      <c r="E193" s="269"/>
      <c r="F193" s="136"/>
      <c r="G193" s="136"/>
      <c r="H193" s="136"/>
      <c r="I193" s="133"/>
      <c r="J193" s="133"/>
      <c r="K193" s="133"/>
      <c r="L193" s="133"/>
      <c r="M193" s="136"/>
      <c r="N193" s="133"/>
      <c r="O193" s="133"/>
      <c r="P193" s="133"/>
      <c r="Q193" s="133"/>
      <c r="R193" s="258"/>
      <c r="S193" s="259"/>
      <c r="T193" s="259"/>
      <c r="U193" s="217"/>
      <c r="V193" s="217"/>
    </row>
    <row r="194" spans="1:23" ht="25.5" customHeight="1">
      <c r="A194" s="9"/>
      <c r="B194" s="130" t="s">
        <v>318</v>
      </c>
      <c r="C194" s="216"/>
      <c r="D194" s="133"/>
      <c r="E194" s="269"/>
      <c r="F194" s="136"/>
      <c r="G194" s="136"/>
      <c r="H194" s="136"/>
      <c r="I194" s="133"/>
      <c r="J194" s="133"/>
      <c r="K194" s="133"/>
      <c r="L194" s="133"/>
      <c r="M194" s="136"/>
      <c r="N194" s="133"/>
      <c r="O194" s="133"/>
      <c r="P194" s="133"/>
      <c r="Q194" s="133"/>
      <c r="R194" s="217"/>
      <c r="S194" s="219"/>
      <c r="T194" s="219"/>
      <c r="U194" s="217"/>
      <c r="V194" s="217"/>
    </row>
    <row r="195" spans="1:23" ht="25.5" customHeight="1">
      <c r="A195" s="9"/>
      <c r="B195" s="185" t="s">
        <v>319</v>
      </c>
      <c r="C195" s="216">
        <v>153296</v>
      </c>
      <c r="D195" s="133"/>
      <c r="E195" s="269"/>
      <c r="F195" s="136"/>
      <c r="G195" s="136"/>
      <c r="H195" s="136"/>
      <c r="I195" s="133"/>
      <c r="J195" s="133"/>
      <c r="K195" s="133"/>
      <c r="L195" s="133"/>
      <c r="M195" s="136"/>
      <c r="N195" s="133"/>
      <c r="O195" s="133"/>
      <c r="P195" s="133"/>
      <c r="Q195" s="133"/>
      <c r="R195" s="217"/>
      <c r="S195" s="219"/>
      <c r="T195" s="219"/>
      <c r="U195" s="217"/>
      <c r="V195" s="217"/>
    </row>
    <row r="196" spans="1:23" ht="25.5" customHeight="1">
      <c r="A196" s="9"/>
      <c r="B196" s="185" t="s">
        <v>320</v>
      </c>
      <c r="C196" s="216">
        <v>78565</v>
      </c>
      <c r="D196" s="133"/>
      <c r="E196" s="269"/>
      <c r="F196" s="136"/>
      <c r="G196" s="136"/>
      <c r="H196" s="136"/>
      <c r="I196" s="133"/>
      <c r="J196" s="133"/>
      <c r="K196" s="133"/>
      <c r="L196" s="133"/>
      <c r="M196" s="136"/>
      <c r="N196" s="133"/>
      <c r="O196" s="133"/>
      <c r="P196" s="133"/>
      <c r="Q196" s="133"/>
      <c r="R196" s="217"/>
      <c r="S196" s="219"/>
      <c r="T196" s="219"/>
      <c r="U196" s="217"/>
      <c r="V196" s="217"/>
    </row>
    <row r="197" spans="1:23" ht="25.5" customHeight="1">
      <c r="A197" s="9"/>
      <c r="B197" s="185" t="s">
        <v>321</v>
      </c>
      <c r="C197" s="216">
        <v>90062</v>
      </c>
      <c r="D197" s="133"/>
      <c r="E197" s="269"/>
      <c r="F197" s="136"/>
      <c r="G197" s="136"/>
      <c r="H197" s="136"/>
      <c r="I197" s="133"/>
      <c r="J197" s="133"/>
      <c r="K197" s="133"/>
      <c r="L197" s="133"/>
      <c r="M197" s="136"/>
      <c r="N197" s="133"/>
      <c r="O197" s="133"/>
      <c r="P197" s="133"/>
      <c r="Q197" s="133"/>
      <c r="R197" s="217"/>
      <c r="S197" s="219"/>
      <c r="T197" s="219"/>
      <c r="U197" s="217"/>
      <c r="V197" s="217"/>
    </row>
    <row r="198" spans="1:23" ht="25.5" customHeight="1">
      <c r="A198" s="165"/>
      <c r="B198" s="185" t="s">
        <v>322</v>
      </c>
      <c r="C198" s="216">
        <v>67067</v>
      </c>
      <c r="D198" s="133"/>
      <c r="E198" s="269"/>
      <c r="F198" s="136"/>
      <c r="G198" s="136"/>
      <c r="H198" s="136"/>
      <c r="I198" s="133"/>
      <c r="J198" s="133"/>
      <c r="K198" s="133"/>
      <c r="L198" s="133"/>
      <c r="M198" s="136"/>
      <c r="N198" s="133"/>
      <c r="O198" s="133"/>
      <c r="P198" s="133"/>
      <c r="Q198" s="133"/>
      <c r="R198" s="217"/>
      <c r="S198" s="219"/>
      <c r="T198" s="219"/>
      <c r="U198" s="217"/>
      <c r="V198" s="217"/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85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9"/>
      <c r="B202" s="130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>
      <c r="A203" s="197"/>
      <c r="B203" s="198"/>
      <c r="C203" s="216"/>
      <c r="D203" s="133"/>
      <c r="E203" s="269"/>
      <c r="F203" s="136"/>
      <c r="G203" s="136"/>
      <c r="H203" s="136"/>
      <c r="I203" s="133"/>
      <c r="J203" s="133"/>
      <c r="K203" s="133"/>
      <c r="L203" s="133"/>
      <c r="M203" s="136"/>
      <c r="N203" s="133"/>
      <c r="O203" s="133"/>
      <c r="P203" s="133"/>
      <c r="Q203" s="133"/>
      <c r="R203" s="217"/>
      <c r="S203" s="219"/>
      <c r="T203" s="219"/>
      <c r="U203" s="217"/>
      <c r="V203" s="217"/>
    </row>
    <row r="204" spans="1:23" ht="25.5" customHeight="1" thickBot="1">
      <c r="A204" s="46"/>
      <c r="B204" s="47" t="s">
        <v>5</v>
      </c>
      <c r="C204" s="170">
        <f>SUM(C178:C203)</f>
        <v>2585778</v>
      </c>
      <c r="D204" s="255">
        <f>SUM(D178:D203)</f>
        <v>0</v>
      </c>
      <c r="E204" s="254">
        <f t="shared" ref="E204:V204" si="5">SUM(E178:E203)</f>
        <v>17754</v>
      </c>
      <c r="F204" s="254">
        <f t="shared" si="5"/>
        <v>11320</v>
      </c>
      <c r="G204" s="255">
        <f t="shared" si="5"/>
        <v>0</v>
      </c>
      <c r="H204" s="254">
        <f t="shared" si="5"/>
        <v>10628</v>
      </c>
      <c r="I204" s="255">
        <f t="shared" si="5"/>
        <v>0</v>
      </c>
      <c r="J204" s="255">
        <f t="shared" si="5"/>
        <v>0</v>
      </c>
      <c r="K204" s="255">
        <f t="shared" si="5"/>
        <v>0</v>
      </c>
      <c r="L204" s="255">
        <f t="shared" si="5"/>
        <v>0</v>
      </c>
      <c r="M204" s="254">
        <f t="shared" si="5"/>
        <v>6209.6</v>
      </c>
      <c r="N204" s="255">
        <f t="shared" si="5"/>
        <v>0</v>
      </c>
      <c r="O204" s="255">
        <f t="shared" si="5"/>
        <v>0</v>
      </c>
      <c r="P204" s="255">
        <f t="shared" si="5"/>
        <v>0</v>
      </c>
      <c r="Q204" s="255">
        <f t="shared" si="5"/>
        <v>0</v>
      </c>
      <c r="R204" s="255">
        <f t="shared" si="5"/>
        <v>0</v>
      </c>
      <c r="S204" s="255">
        <f t="shared" si="5"/>
        <v>0</v>
      </c>
      <c r="T204" s="255"/>
      <c r="U204" s="255">
        <f t="shared" si="5"/>
        <v>0</v>
      </c>
      <c r="V204" s="255">
        <f t="shared" si="5"/>
        <v>0</v>
      </c>
      <c r="W204" s="314">
        <f>SUM(D204:V204)</f>
        <v>45911.6</v>
      </c>
    </row>
    <row r="205" spans="1:23" ht="25.5" customHeight="1" thickTop="1">
      <c r="A205" s="5" t="s">
        <v>114</v>
      </c>
      <c r="B205" s="6"/>
      <c r="C205" s="190"/>
      <c r="D205" s="133"/>
      <c r="E205" s="269"/>
      <c r="F205" s="136"/>
      <c r="G205" s="136"/>
      <c r="H205" s="136"/>
      <c r="I205" s="133"/>
      <c r="J205" s="133"/>
      <c r="K205" s="133"/>
      <c r="L205" s="133"/>
      <c r="M205" s="136"/>
      <c r="N205" s="133"/>
      <c r="O205" s="133"/>
      <c r="P205" s="133"/>
      <c r="Q205" s="133"/>
      <c r="R205" s="258"/>
      <c r="S205" s="259"/>
      <c r="T205" s="259"/>
      <c r="U205" s="258"/>
      <c r="V205" s="258"/>
    </row>
    <row r="206" spans="1:23" ht="25.5" customHeight="1">
      <c r="A206" s="9"/>
      <c r="B206" s="130" t="s">
        <v>20</v>
      </c>
      <c r="C206" s="216">
        <f>240000+35000+7700+10000</f>
        <v>292700</v>
      </c>
      <c r="D206" s="261"/>
      <c r="E206" s="269">
        <v>22167.16</v>
      </c>
      <c r="F206" s="136"/>
      <c r="G206" s="136"/>
      <c r="H206" s="136">
        <v>1874.69</v>
      </c>
      <c r="I206" s="261"/>
      <c r="J206" s="261"/>
      <c r="K206" s="261"/>
      <c r="L206" s="261"/>
      <c r="M206" s="262"/>
      <c r="N206" s="261"/>
      <c r="O206" s="261"/>
      <c r="P206" s="261"/>
      <c r="Q206" s="261"/>
      <c r="R206" s="263"/>
      <c r="S206" s="264"/>
      <c r="T206" s="264"/>
      <c r="U206" s="263"/>
      <c r="V206" s="218"/>
    </row>
    <row r="207" spans="1:23" ht="25.5" customHeight="1">
      <c r="A207" s="9"/>
      <c r="B207" s="130" t="s">
        <v>283</v>
      </c>
      <c r="C207" s="216">
        <f>100000+12000</f>
        <v>112000</v>
      </c>
      <c r="D207" s="261"/>
      <c r="E207" s="269">
        <v>6132.02</v>
      </c>
      <c r="F207" s="136"/>
      <c r="G207" s="136"/>
      <c r="H207" s="136">
        <v>1000</v>
      </c>
      <c r="I207" s="261"/>
      <c r="J207" s="261"/>
      <c r="K207" s="261"/>
      <c r="L207" s="261"/>
      <c r="M207" s="262"/>
      <c r="N207" s="261"/>
      <c r="O207" s="261"/>
      <c r="P207" s="261"/>
      <c r="Q207" s="261"/>
      <c r="R207" s="263"/>
      <c r="S207" s="264"/>
      <c r="T207" s="264"/>
      <c r="U207" s="263"/>
      <c r="V207" s="218"/>
    </row>
    <row r="208" spans="1:23" ht="25.5" customHeight="1">
      <c r="A208" s="9"/>
      <c r="B208" s="130" t="s">
        <v>284</v>
      </c>
      <c r="C208" s="216">
        <v>15000</v>
      </c>
      <c r="D208" s="131"/>
      <c r="E208" s="267">
        <v>2395</v>
      </c>
      <c r="F208" s="135"/>
      <c r="G208" s="135"/>
      <c r="H208" s="135"/>
      <c r="I208" s="131"/>
      <c r="J208" s="131"/>
      <c r="K208" s="131"/>
      <c r="L208" s="131"/>
      <c r="M208" s="135"/>
      <c r="N208" s="131"/>
      <c r="O208" s="131"/>
      <c r="P208" s="131"/>
      <c r="Q208" s="131"/>
      <c r="R208" s="217"/>
      <c r="S208" s="219"/>
      <c r="T208" s="219"/>
      <c r="U208" s="217"/>
      <c r="V208" s="218"/>
    </row>
    <row r="209" spans="1:23" ht="25.5" customHeight="1">
      <c r="A209" s="9"/>
      <c r="B209" s="130" t="s">
        <v>285</v>
      </c>
      <c r="C209" s="216">
        <f>72000+32000</f>
        <v>104000</v>
      </c>
      <c r="D209" s="131"/>
      <c r="E209" s="267">
        <v>5911.75</v>
      </c>
      <c r="F209" s="135"/>
      <c r="G209" s="135"/>
      <c r="H209" s="135">
        <v>2632.2</v>
      </c>
      <c r="I209" s="131"/>
      <c r="J209" s="131"/>
      <c r="K209" s="131"/>
      <c r="L209" s="131"/>
      <c r="M209" s="135"/>
      <c r="N209" s="131"/>
      <c r="O209" s="131"/>
      <c r="P209" s="131"/>
      <c r="Q209" s="131"/>
      <c r="R209" s="217"/>
      <c r="S209" s="219"/>
      <c r="T209" s="219"/>
      <c r="U209" s="217"/>
      <c r="V209" s="218"/>
    </row>
    <row r="210" spans="1:23" ht="25.5" customHeight="1" thickBot="1">
      <c r="A210" s="15"/>
      <c r="B210" s="14" t="s">
        <v>5</v>
      </c>
      <c r="C210" s="170">
        <f>SUM(C206:C209)</f>
        <v>523700</v>
      </c>
      <c r="D210" s="132"/>
      <c r="E210" s="268">
        <f>SUM(E206:E209)</f>
        <v>36605.93</v>
      </c>
      <c r="F210" s="137"/>
      <c r="G210" s="137"/>
      <c r="H210" s="137">
        <f>SUM(H206:H209)</f>
        <v>5506.8899999999994</v>
      </c>
      <c r="I210" s="132"/>
      <c r="J210" s="132"/>
      <c r="K210" s="132"/>
      <c r="L210" s="132"/>
      <c r="M210" s="137"/>
      <c r="N210" s="132"/>
      <c r="O210" s="132"/>
      <c r="P210" s="132"/>
      <c r="Q210" s="132"/>
      <c r="R210" s="307"/>
      <c r="S210" s="308"/>
      <c r="T210" s="308"/>
      <c r="U210" s="307"/>
      <c r="V210" s="307"/>
      <c r="W210" s="318">
        <f>SUM(D210:V210)</f>
        <v>42112.82</v>
      </c>
    </row>
    <row r="211" spans="1:23" ht="25.5" customHeight="1" thickTop="1">
      <c r="A211" s="3" t="s">
        <v>122</v>
      </c>
      <c r="B211" s="4"/>
      <c r="C211" s="287"/>
      <c r="D211" s="133"/>
      <c r="E211" s="305"/>
      <c r="F211" s="306"/>
      <c r="G211" s="306"/>
      <c r="H211" s="306"/>
      <c r="I211" s="133"/>
      <c r="J211" s="133"/>
      <c r="K211" s="133"/>
      <c r="L211" s="133"/>
      <c r="M211" s="136"/>
      <c r="N211" s="133"/>
      <c r="O211" s="133"/>
      <c r="P211" s="133"/>
      <c r="Q211" s="133"/>
      <c r="R211" s="258"/>
      <c r="S211" s="259"/>
      <c r="T211" s="259"/>
      <c r="U211" s="258"/>
      <c r="V211" s="258"/>
    </row>
    <row r="212" spans="1:23" ht="25.5" customHeight="1">
      <c r="A212" s="169"/>
      <c r="B212" s="185" t="s">
        <v>323</v>
      </c>
      <c r="C212" s="190">
        <v>864000</v>
      </c>
      <c r="D212" s="131"/>
      <c r="E212" s="267"/>
      <c r="F212" s="135"/>
      <c r="G212" s="135"/>
      <c r="H212" s="135"/>
      <c r="I212" s="131">
        <v>216000</v>
      </c>
      <c r="J212" s="131"/>
      <c r="K212" s="131"/>
      <c r="L212" s="131"/>
      <c r="M212" s="135"/>
      <c r="N212" s="133"/>
      <c r="O212" s="133"/>
      <c r="P212" s="133"/>
      <c r="Q212" s="133"/>
      <c r="R212" s="217"/>
      <c r="S212" s="219"/>
      <c r="T212" s="219"/>
      <c r="U212" s="217"/>
      <c r="V212" s="217"/>
    </row>
    <row r="213" spans="1:23" ht="25.5" customHeight="1">
      <c r="A213" s="169"/>
      <c r="B213" s="185" t="s">
        <v>324</v>
      </c>
      <c r="C213" s="190">
        <v>1096000</v>
      </c>
      <c r="D213" s="131"/>
      <c r="E213" s="267"/>
      <c r="F213" s="135"/>
      <c r="G213" s="135"/>
      <c r="H213" s="135"/>
      <c r="I213" s="131">
        <v>274000</v>
      </c>
      <c r="J213" s="131"/>
      <c r="K213" s="131"/>
      <c r="L213" s="131"/>
      <c r="M213" s="135"/>
      <c r="N213" s="133"/>
      <c r="O213" s="133"/>
      <c r="P213" s="133"/>
      <c r="Q213" s="133"/>
      <c r="R213" s="217"/>
      <c r="S213" s="219"/>
      <c r="T213" s="219"/>
      <c r="U213" s="217"/>
      <c r="V213" s="217"/>
    </row>
    <row r="214" spans="1:23" ht="25.5" customHeight="1">
      <c r="A214" s="169"/>
      <c r="B214" s="185" t="s">
        <v>325</v>
      </c>
      <c r="C214" s="190">
        <v>580000</v>
      </c>
      <c r="D214" s="133"/>
      <c r="E214" s="269"/>
      <c r="F214" s="136"/>
      <c r="G214" s="136"/>
      <c r="H214" s="136"/>
      <c r="I214" s="133">
        <v>145000</v>
      </c>
      <c r="J214" s="133"/>
      <c r="K214" s="133"/>
      <c r="L214" s="133"/>
      <c r="M214" s="135"/>
      <c r="N214" s="133"/>
      <c r="O214" s="133"/>
      <c r="P214" s="133"/>
      <c r="Q214" s="133"/>
      <c r="R214" s="217"/>
      <c r="S214" s="219"/>
      <c r="T214" s="219"/>
      <c r="U214" s="217"/>
      <c r="V214" s="217"/>
    </row>
    <row r="215" spans="1:23" ht="25.5" customHeight="1">
      <c r="A215" s="169"/>
      <c r="B215" s="185" t="s">
        <v>351</v>
      </c>
      <c r="C215" s="190">
        <v>223000</v>
      </c>
      <c r="D215" s="133"/>
      <c r="E215" s="269"/>
      <c r="F215" s="136"/>
      <c r="G215" s="136"/>
      <c r="H215" s="136"/>
      <c r="I215" s="133"/>
      <c r="J215" s="133"/>
      <c r="K215" s="133"/>
      <c r="L215" s="133"/>
      <c r="M215" s="135"/>
      <c r="N215" s="133"/>
      <c r="O215" s="133"/>
      <c r="P215" s="133"/>
      <c r="Q215" s="133"/>
      <c r="R215" s="217"/>
      <c r="S215" s="219"/>
      <c r="T215" s="219"/>
      <c r="U215" s="217"/>
      <c r="V215" s="217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3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</row>
    <row r="220" spans="1:23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1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</row>
    <row r="221" spans="1:23" ht="25.5" customHeight="1" thickBot="1">
      <c r="A221" s="15"/>
      <c r="B221" s="14" t="s">
        <v>5</v>
      </c>
      <c r="C221" s="170">
        <f>SUM(C212:C220)</f>
        <v>2763000</v>
      </c>
      <c r="D221" s="255">
        <f>SUM(D212:D220)</f>
        <v>0</v>
      </c>
      <c r="E221" s="254">
        <f t="shared" ref="E221:V221" si="6">SUM(E212:E220)</f>
        <v>0</v>
      </c>
      <c r="F221" s="254">
        <f t="shared" si="6"/>
        <v>0</v>
      </c>
      <c r="G221" s="255">
        <f t="shared" si="6"/>
        <v>0</v>
      </c>
      <c r="H221" s="254">
        <f t="shared" si="6"/>
        <v>0</v>
      </c>
      <c r="I221" s="255">
        <f t="shared" si="6"/>
        <v>635000</v>
      </c>
      <c r="J221" s="255">
        <f t="shared" si="6"/>
        <v>0</v>
      </c>
      <c r="K221" s="255">
        <f t="shared" si="6"/>
        <v>0</v>
      </c>
      <c r="L221" s="255">
        <f t="shared" si="6"/>
        <v>0</v>
      </c>
      <c r="M221" s="254">
        <f t="shared" si="6"/>
        <v>0</v>
      </c>
      <c r="N221" s="255">
        <f t="shared" si="6"/>
        <v>0</v>
      </c>
      <c r="O221" s="255">
        <f t="shared" si="6"/>
        <v>0</v>
      </c>
      <c r="P221" s="255">
        <f t="shared" si="6"/>
        <v>0</v>
      </c>
      <c r="Q221" s="255">
        <f t="shared" si="6"/>
        <v>0</v>
      </c>
      <c r="R221" s="255">
        <f t="shared" si="6"/>
        <v>0</v>
      </c>
      <c r="S221" s="255">
        <f t="shared" si="6"/>
        <v>0</v>
      </c>
      <c r="T221" s="255"/>
      <c r="U221" s="255">
        <f t="shared" si="6"/>
        <v>0</v>
      </c>
      <c r="V221" s="255">
        <f t="shared" si="6"/>
        <v>0</v>
      </c>
      <c r="W221" s="314">
        <f>SUM(D221:V221)</f>
        <v>635000</v>
      </c>
    </row>
    <row r="222" spans="1:23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3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</row>
    <row r="223" spans="1:23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1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</row>
    <row r="224" spans="1:23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5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</row>
    <row r="225" spans="1:22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3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</row>
    <row r="226" spans="1:22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1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2" ht="25.5" customHeight="1">
      <c r="A227" s="20"/>
      <c r="B227" s="186" t="s">
        <v>286</v>
      </c>
      <c r="C227" s="294">
        <v>10000</v>
      </c>
      <c r="D227" s="131"/>
      <c r="E227" s="267"/>
      <c r="F227" s="135"/>
      <c r="G227" s="135"/>
      <c r="H227" s="135"/>
      <c r="I227" s="131"/>
      <c r="J227" s="131"/>
      <c r="K227" s="131"/>
      <c r="L227" s="131"/>
      <c r="M227" s="135"/>
      <c r="N227" s="131"/>
      <c r="O227" s="131"/>
      <c r="P227" s="131"/>
      <c r="Q227" s="131"/>
      <c r="R227" s="217"/>
      <c r="S227" s="219"/>
      <c r="T227" s="219"/>
      <c r="U227" s="217"/>
      <c r="V227" s="217"/>
    </row>
    <row r="228" spans="1:22" ht="25.5" customHeight="1">
      <c r="A228" s="20"/>
      <c r="B228" s="186" t="s">
        <v>287</v>
      </c>
      <c r="C228" s="294">
        <v>4500</v>
      </c>
      <c r="D228" s="131"/>
      <c r="E228" s="267"/>
      <c r="F228" s="135"/>
      <c r="G228" s="135"/>
      <c r="H228" s="135"/>
      <c r="I228" s="131"/>
      <c r="J228" s="131"/>
      <c r="K228" s="131"/>
      <c r="L228" s="131"/>
      <c r="M228" s="135"/>
      <c r="N228" s="131"/>
      <c r="O228" s="131"/>
      <c r="P228" s="131"/>
      <c r="Q228" s="131"/>
      <c r="R228" s="217"/>
      <c r="S228" s="219"/>
      <c r="T228" s="219"/>
      <c r="U228" s="217"/>
      <c r="V228" s="217"/>
    </row>
    <row r="229" spans="1:22" ht="25.5" customHeight="1">
      <c r="A229" s="20"/>
      <c r="B229" s="186" t="s">
        <v>288</v>
      </c>
      <c r="C229" s="294">
        <v>3000</v>
      </c>
      <c r="D229" s="131"/>
      <c r="E229" s="267"/>
      <c r="F229" s="135"/>
      <c r="G229" s="135"/>
      <c r="H229" s="135"/>
      <c r="I229" s="131"/>
      <c r="J229" s="131"/>
      <c r="K229" s="131"/>
      <c r="L229" s="131"/>
      <c r="M229" s="135"/>
      <c r="N229" s="131"/>
      <c r="O229" s="131"/>
      <c r="P229" s="131"/>
      <c r="Q229" s="131"/>
      <c r="R229" s="217"/>
      <c r="S229" s="219"/>
      <c r="T229" s="219"/>
      <c r="U229" s="217"/>
      <c r="V229" s="217"/>
    </row>
    <row r="230" spans="1:22" ht="25.5" customHeight="1">
      <c r="A230" s="20"/>
      <c r="B230" s="186" t="s">
        <v>289</v>
      </c>
      <c r="C230" s="294">
        <v>20000</v>
      </c>
      <c r="D230" s="131"/>
      <c r="E230" s="267"/>
      <c r="F230" s="135"/>
      <c r="G230" s="135"/>
      <c r="H230" s="135"/>
      <c r="I230" s="131"/>
      <c r="J230" s="131"/>
      <c r="K230" s="131"/>
      <c r="L230" s="131"/>
      <c r="M230" s="135"/>
      <c r="N230" s="131"/>
      <c r="O230" s="131"/>
      <c r="P230" s="131"/>
      <c r="Q230" s="131"/>
      <c r="R230" s="217"/>
      <c r="S230" s="219"/>
      <c r="T230" s="219"/>
      <c r="U230" s="217"/>
      <c r="V230" s="217"/>
    </row>
    <row r="231" spans="1:22" ht="25.5" customHeight="1">
      <c r="A231" s="20"/>
      <c r="B231" s="186" t="s">
        <v>290</v>
      </c>
      <c r="C231" s="295">
        <f>5500+5500</f>
        <v>11000</v>
      </c>
      <c r="D231" s="131"/>
      <c r="E231" s="267"/>
      <c r="F231" s="135"/>
      <c r="G231" s="135"/>
      <c r="H231" s="135"/>
      <c r="I231" s="131"/>
      <c r="J231" s="131"/>
      <c r="K231" s="131"/>
      <c r="L231" s="131"/>
      <c r="M231" s="135"/>
      <c r="N231" s="131"/>
      <c r="O231" s="131"/>
      <c r="P231" s="131"/>
      <c r="Q231" s="131"/>
      <c r="R231" s="217"/>
      <c r="S231" s="219"/>
      <c r="T231" s="219"/>
      <c r="U231" s="217"/>
      <c r="V231" s="217"/>
    </row>
    <row r="232" spans="1:22" ht="25.5" customHeight="1">
      <c r="A232" s="20"/>
      <c r="B232" s="186" t="s">
        <v>305</v>
      </c>
      <c r="C232" s="295">
        <v>16000</v>
      </c>
      <c r="D232" s="131"/>
      <c r="E232" s="267"/>
      <c r="F232" s="135"/>
      <c r="G232" s="135"/>
      <c r="H232" s="135"/>
      <c r="I232" s="131"/>
      <c r="J232" s="131"/>
      <c r="K232" s="131"/>
      <c r="L232" s="131"/>
      <c r="M232" s="135"/>
      <c r="N232" s="131"/>
      <c r="O232" s="131"/>
      <c r="P232" s="131"/>
      <c r="Q232" s="131"/>
      <c r="R232" s="217"/>
      <c r="S232" s="219"/>
      <c r="T232" s="219"/>
      <c r="U232" s="217"/>
      <c r="V232" s="217"/>
    </row>
    <row r="233" spans="1:22" ht="25.5" customHeight="1">
      <c r="A233" s="20"/>
      <c r="B233" s="186" t="s">
        <v>334</v>
      </c>
      <c r="C233" s="295">
        <v>4500</v>
      </c>
      <c r="D233" s="131"/>
      <c r="E233" s="267"/>
      <c r="F233" s="135"/>
      <c r="G233" s="135"/>
      <c r="H233" s="135"/>
      <c r="I233" s="131"/>
      <c r="J233" s="131"/>
      <c r="K233" s="131"/>
      <c r="L233" s="131"/>
      <c r="M233" s="135"/>
      <c r="N233" s="131"/>
      <c r="O233" s="131"/>
      <c r="P233" s="131"/>
      <c r="Q233" s="131"/>
      <c r="R233" s="217"/>
      <c r="S233" s="219"/>
      <c r="T233" s="219"/>
      <c r="U233" s="217"/>
      <c r="V233" s="217"/>
    </row>
    <row r="234" spans="1:22" ht="25.5" customHeight="1">
      <c r="A234" s="20"/>
      <c r="B234" s="186" t="s">
        <v>335</v>
      </c>
      <c r="C234" s="295">
        <v>4500</v>
      </c>
      <c r="D234" s="131"/>
      <c r="E234" s="267"/>
      <c r="F234" s="135"/>
      <c r="G234" s="135"/>
      <c r="H234" s="135"/>
      <c r="I234" s="131"/>
      <c r="J234" s="131"/>
      <c r="K234" s="131"/>
      <c r="L234" s="131"/>
      <c r="M234" s="135"/>
      <c r="N234" s="131"/>
      <c r="O234" s="131"/>
      <c r="P234" s="131"/>
      <c r="Q234" s="131"/>
      <c r="R234" s="217"/>
      <c r="S234" s="219"/>
      <c r="T234" s="219"/>
      <c r="U234" s="217"/>
      <c r="V234" s="217"/>
    </row>
    <row r="235" spans="1:22" ht="25.5" customHeight="1">
      <c r="A235" s="20"/>
      <c r="B235" s="252" t="s">
        <v>292</v>
      </c>
      <c r="C235" s="295"/>
      <c r="D235" s="131"/>
      <c r="E235" s="267"/>
      <c r="F235" s="135"/>
      <c r="G235" s="135"/>
      <c r="H235" s="135"/>
      <c r="I235" s="131"/>
      <c r="J235" s="131"/>
      <c r="K235" s="131"/>
      <c r="L235" s="131"/>
      <c r="M235" s="135"/>
      <c r="N235" s="131"/>
      <c r="O235" s="131"/>
      <c r="P235" s="131"/>
      <c r="Q235" s="131"/>
      <c r="R235" s="217"/>
      <c r="S235" s="219"/>
      <c r="T235" s="219"/>
      <c r="U235" s="217"/>
      <c r="V235" s="217"/>
    </row>
    <row r="236" spans="1:22" ht="25.5" customHeight="1">
      <c r="A236" s="20"/>
      <c r="B236" s="186" t="s">
        <v>293</v>
      </c>
      <c r="C236" s="295">
        <v>32000</v>
      </c>
      <c r="D236" s="131"/>
      <c r="E236" s="267"/>
      <c r="F236" s="135"/>
      <c r="G236" s="135"/>
      <c r="H236" s="135"/>
      <c r="I236" s="131"/>
      <c r="J236" s="131"/>
      <c r="K236" s="131"/>
      <c r="L236" s="131"/>
      <c r="M236" s="135"/>
      <c r="N236" s="131"/>
      <c r="O236" s="131"/>
      <c r="P236" s="131"/>
      <c r="Q236" s="131"/>
      <c r="R236" s="217"/>
      <c r="S236" s="219"/>
      <c r="T236" s="219"/>
      <c r="U236" s="217"/>
      <c r="V236" s="217"/>
    </row>
    <row r="237" spans="1:22" ht="25.5" customHeight="1">
      <c r="A237" s="20"/>
      <c r="B237" s="186" t="s">
        <v>125</v>
      </c>
      <c r="C237" s="295">
        <f>2800+2800+2300</f>
        <v>7900</v>
      </c>
      <c r="D237" s="131"/>
      <c r="E237" s="267"/>
      <c r="F237" s="135"/>
      <c r="G237" s="135"/>
      <c r="H237" s="135"/>
      <c r="I237" s="131"/>
      <c r="J237" s="131"/>
      <c r="K237" s="131"/>
      <c r="L237" s="131"/>
      <c r="M237" s="135"/>
      <c r="N237" s="131"/>
      <c r="O237" s="131"/>
      <c r="P237" s="131"/>
      <c r="Q237" s="131"/>
      <c r="R237" s="217"/>
      <c r="S237" s="219"/>
      <c r="T237" s="219"/>
      <c r="U237" s="217"/>
      <c r="V237" s="217"/>
    </row>
    <row r="238" spans="1:22" ht="25.5" customHeight="1">
      <c r="A238" s="20"/>
      <c r="B238" s="186" t="s">
        <v>294</v>
      </c>
      <c r="C238" s="295">
        <v>21000</v>
      </c>
      <c r="D238" s="131"/>
      <c r="E238" s="267"/>
      <c r="F238" s="135"/>
      <c r="G238" s="135"/>
      <c r="H238" s="135"/>
      <c r="I238" s="131"/>
      <c r="J238" s="131"/>
      <c r="K238" s="131"/>
      <c r="L238" s="131"/>
      <c r="M238" s="135"/>
      <c r="N238" s="131"/>
      <c r="O238" s="131"/>
      <c r="P238" s="131"/>
      <c r="Q238" s="131"/>
      <c r="R238" s="217"/>
      <c r="S238" s="219"/>
      <c r="T238" s="219"/>
      <c r="U238" s="217"/>
      <c r="V238" s="217"/>
    </row>
    <row r="239" spans="1:22" ht="25.5" customHeight="1">
      <c r="A239" s="20"/>
      <c r="B239" s="186" t="s">
        <v>293</v>
      </c>
      <c r="C239" s="295">
        <v>16000</v>
      </c>
      <c r="D239" s="131"/>
      <c r="E239" s="267"/>
      <c r="F239" s="135"/>
      <c r="G239" s="135"/>
      <c r="H239" s="135"/>
      <c r="I239" s="131"/>
      <c r="J239" s="131"/>
      <c r="K239" s="131"/>
      <c r="L239" s="131"/>
      <c r="M239" s="135"/>
      <c r="N239" s="131"/>
      <c r="O239" s="131"/>
      <c r="P239" s="131"/>
      <c r="Q239" s="131"/>
      <c r="R239" s="217"/>
      <c r="S239" s="219"/>
      <c r="T239" s="219"/>
      <c r="U239" s="217"/>
      <c r="V239" s="217"/>
    </row>
    <row r="240" spans="1:22" ht="25.5" customHeight="1">
      <c r="A240" s="20"/>
      <c r="B240" s="186" t="s">
        <v>306</v>
      </c>
      <c r="C240" s="295">
        <v>7700</v>
      </c>
      <c r="D240" s="131"/>
      <c r="E240" s="267"/>
      <c r="F240" s="135"/>
      <c r="G240" s="135"/>
      <c r="H240" s="135"/>
      <c r="I240" s="131"/>
      <c r="J240" s="131"/>
      <c r="K240" s="131"/>
      <c r="L240" s="131"/>
      <c r="M240" s="135"/>
      <c r="N240" s="131"/>
      <c r="O240" s="131"/>
      <c r="P240" s="131"/>
      <c r="Q240" s="131"/>
      <c r="R240" s="217"/>
      <c r="S240" s="219"/>
      <c r="T240" s="219"/>
      <c r="U240" s="217"/>
      <c r="V240" s="217"/>
    </row>
    <row r="241" spans="1:22" ht="25.5" customHeight="1">
      <c r="A241" s="20"/>
      <c r="B241" s="252" t="s">
        <v>336</v>
      </c>
      <c r="C241" s="295"/>
      <c r="D241" s="131"/>
      <c r="E241" s="267"/>
      <c r="F241" s="135"/>
      <c r="G241" s="135"/>
      <c r="H241" s="135"/>
      <c r="I241" s="131"/>
      <c r="J241" s="131"/>
      <c r="K241" s="131"/>
      <c r="L241" s="131"/>
      <c r="M241" s="135"/>
      <c r="N241" s="131"/>
      <c r="O241" s="131"/>
      <c r="P241" s="131"/>
      <c r="Q241" s="131"/>
      <c r="R241" s="217"/>
      <c r="S241" s="219"/>
      <c r="T241" s="219"/>
      <c r="U241" s="217"/>
      <c r="V241" s="217"/>
    </row>
    <row r="242" spans="1:22" ht="25.5" customHeight="1">
      <c r="A242" s="20"/>
      <c r="B242" s="186" t="s">
        <v>337</v>
      </c>
      <c r="C242" s="295">
        <v>9000</v>
      </c>
      <c r="D242" s="131"/>
      <c r="E242" s="267"/>
      <c r="F242" s="135"/>
      <c r="G242" s="135"/>
      <c r="H242" s="135"/>
      <c r="I242" s="131"/>
      <c r="J242" s="131"/>
      <c r="K242" s="131"/>
      <c r="L242" s="131"/>
      <c r="M242" s="135"/>
      <c r="N242" s="131"/>
      <c r="O242" s="131"/>
      <c r="P242" s="131"/>
      <c r="Q242" s="131"/>
      <c r="R242" s="217"/>
      <c r="S242" s="219"/>
      <c r="T242" s="219"/>
      <c r="U242" s="217"/>
      <c r="V242" s="217"/>
    </row>
    <row r="243" spans="1:22" ht="25.5" customHeight="1">
      <c r="A243" s="20"/>
      <c r="B243" s="252" t="s">
        <v>338</v>
      </c>
      <c r="C243" s="295"/>
      <c r="D243" s="131"/>
      <c r="E243" s="267"/>
      <c r="F243" s="135"/>
      <c r="G243" s="135"/>
      <c r="H243" s="135"/>
      <c r="I243" s="131"/>
      <c r="J243" s="131"/>
      <c r="K243" s="131"/>
      <c r="L243" s="131"/>
      <c r="M243" s="135"/>
      <c r="N243" s="131"/>
      <c r="O243" s="131"/>
      <c r="P243" s="131"/>
      <c r="Q243" s="131"/>
      <c r="R243" s="217"/>
      <c r="S243" s="219"/>
      <c r="T243" s="219"/>
      <c r="U243" s="217"/>
      <c r="V243" s="217"/>
    </row>
    <row r="244" spans="1:22" ht="25.5" customHeight="1">
      <c r="A244" s="20"/>
      <c r="B244" s="186" t="s">
        <v>339</v>
      </c>
      <c r="C244" s="295">
        <v>8000</v>
      </c>
      <c r="D244" s="131"/>
      <c r="E244" s="267"/>
      <c r="F244" s="135"/>
      <c r="G244" s="135"/>
      <c r="H244" s="135"/>
      <c r="I244" s="131"/>
      <c r="J244" s="131"/>
      <c r="K244" s="131"/>
      <c r="L244" s="131"/>
      <c r="M244" s="135"/>
      <c r="N244" s="131"/>
      <c r="O244" s="131"/>
      <c r="P244" s="131"/>
      <c r="Q244" s="131"/>
      <c r="R244" s="217"/>
      <c r="S244" s="219"/>
      <c r="T244" s="219"/>
      <c r="U244" s="217"/>
      <c r="V244" s="217"/>
    </row>
    <row r="245" spans="1:22" ht="25.5" customHeight="1">
      <c r="A245" s="20"/>
      <c r="B245" s="186" t="s">
        <v>340</v>
      </c>
      <c r="C245" s="295">
        <v>6000</v>
      </c>
      <c r="D245" s="131"/>
      <c r="E245" s="267"/>
      <c r="F245" s="135"/>
      <c r="G245" s="135"/>
      <c r="H245" s="135"/>
      <c r="I245" s="131"/>
      <c r="J245" s="131"/>
      <c r="K245" s="131"/>
      <c r="L245" s="131"/>
      <c r="M245" s="135"/>
      <c r="N245" s="131"/>
      <c r="O245" s="131"/>
      <c r="P245" s="131"/>
      <c r="Q245" s="131"/>
      <c r="R245" s="217"/>
      <c r="S245" s="219"/>
      <c r="T245" s="219"/>
      <c r="U245" s="217"/>
      <c r="V245" s="217"/>
    </row>
    <row r="246" spans="1:22" ht="25.5" customHeight="1">
      <c r="A246" s="20"/>
      <c r="B246" s="252" t="s">
        <v>341</v>
      </c>
      <c r="C246" s="295"/>
      <c r="D246" s="131"/>
      <c r="E246" s="267"/>
      <c r="F246" s="135"/>
      <c r="G246" s="135"/>
      <c r="H246" s="135"/>
      <c r="I246" s="131"/>
      <c r="J246" s="131"/>
      <c r="K246" s="131"/>
      <c r="L246" s="131"/>
      <c r="M246" s="135"/>
      <c r="N246" s="131"/>
      <c r="O246" s="131"/>
      <c r="P246" s="131"/>
      <c r="Q246" s="131"/>
      <c r="R246" s="217"/>
      <c r="S246" s="219"/>
      <c r="T246" s="219"/>
      <c r="U246" s="217"/>
      <c r="V246" s="217"/>
    </row>
    <row r="247" spans="1:22" ht="25.5" customHeight="1">
      <c r="A247" s="20"/>
      <c r="B247" s="186" t="s">
        <v>342</v>
      </c>
      <c r="C247" s="295">
        <v>45300</v>
      </c>
      <c r="D247" s="131"/>
      <c r="E247" s="267"/>
      <c r="F247" s="135"/>
      <c r="G247" s="135"/>
      <c r="H247" s="135"/>
      <c r="I247" s="131"/>
      <c r="J247" s="131"/>
      <c r="K247" s="131"/>
      <c r="L247" s="131"/>
      <c r="M247" s="135"/>
      <c r="N247" s="131"/>
      <c r="O247" s="131"/>
      <c r="P247" s="131"/>
      <c r="Q247" s="131"/>
      <c r="R247" s="217"/>
      <c r="S247" s="219"/>
      <c r="T247" s="219"/>
      <c r="U247" s="217"/>
      <c r="V247" s="217"/>
    </row>
    <row r="248" spans="1:22" ht="25.5" customHeight="1">
      <c r="A248" s="20"/>
      <c r="B248" s="186" t="s">
        <v>343</v>
      </c>
      <c r="C248" s="295">
        <v>128000</v>
      </c>
      <c r="D248" s="131"/>
      <c r="E248" s="267"/>
      <c r="F248" s="135"/>
      <c r="G248" s="135"/>
      <c r="H248" s="135"/>
      <c r="I248" s="131"/>
      <c r="J248" s="131"/>
      <c r="K248" s="131"/>
      <c r="L248" s="131"/>
      <c r="M248" s="135"/>
      <c r="N248" s="131"/>
      <c r="O248" s="131"/>
      <c r="P248" s="131"/>
      <c r="Q248" s="131"/>
      <c r="R248" s="217"/>
      <c r="S248" s="219"/>
      <c r="T248" s="219"/>
      <c r="U248" s="217"/>
      <c r="V248" s="217"/>
    </row>
    <row r="249" spans="1:22" ht="25.5" customHeight="1">
      <c r="A249" s="20"/>
      <c r="B249" s="186" t="s">
        <v>264</v>
      </c>
      <c r="C249" s="295">
        <v>204000</v>
      </c>
      <c r="D249" s="131"/>
      <c r="E249" s="267"/>
      <c r="F249" s="135"/>
      <c r="G249" s="135"/>
      <c r="H249" s="135"/>
      <c r="I249" s="131"/>
      <c r="J249" s="131"/>
      <c r="K249" s="131"/>
      <c r="L249" s="131"/>
      <c r="M249" s="135"/>
      <c r="N249" s="131"/>
      <c r="O249" s="131"/>
      <c r="P249" s="131"/>
      <c r="Q249" s="131"/>
      <c r="R249" s="217"/>
      <c r="S249" s="219"/>
      <c r="T249" s="219"/>
      <c r="U249" s="217"/>
      <c r="V249" s="217"/>
    </row>
    <row r="250" spans="1:22" ht="25.5" customHeight="1">
      <c r="A250" s="20"/>
      <c r="B250" s="186" t="s">
        <v>381</v>
      </c>
      <c r="C250" s="295">
        <v>204000</v>
      </c>
      <c r="D250" s="131"/>
      <c r="E250" s="267"/>
      <c r="F250" s="135"/>
      <c r="G250" s="135"/>
      <c r="H250" s="135"/>
      <c r="I250" s="131"/>
      <c r="J250" s="131"/>
      <c r="K250" s="131"/>
      <c r="L250" s="131"/>
      <c r="M250" s="135"/>
      <c r="N250" s="131"/>
      <c r="O250" s="131"/>
      <c r="P250" s="131"/>
      <c r="Q250" s="131"/>
      <c r="R250" s="217"/>
      <c r="S250" s="219"/>
      <c r="T250" s="219"/>
      <c r="U250" s="217"/>
      <c r="V250" s="217"/>
    </row>
    <row r="251" spans="1:22" ht="25.5" customHeight="1">
      <c r="A251" s="20"/>
      <c r="B251" s="186" t="s">
        <v>344</v>
      </c>
      <c r="C251" s="295">
        <v>204000</v>
      </c>
      <c r="D251" s="131"/>
      <c r="E251" s="267"/>
      <c r="F251" s="135"/>
      <c r="G251" s="135"/>
      <c r="H251" s="135"/>
      <c r="I251" s="131"/>
      <c r="J251" s="131"/>
      <c r="K251" s="131"/>
      <c r="L251" s="131"/>
      <c r="M251" s="135"/>
      <c r="N251" s="131"/>
      <c r="O251" s="131"/>
      <c r="P251" s="131"/>
      <c r="Q251" s="131"/>
      <c r="R251" s="217"/>
      <c r="S251" s="219"/>
      <c r="T251" s="219"/>
      <c r="U251" s="217"/>
      <c r="V251" s="217"/>
    </row>
    <row r="252" spans="1:22" ht="25.5" customHeight="1">
      <c r="A252" s="20"/>
      <c r="B252" s="186" t="s">
        <v>345</v>
      </c>
      <c r="C252" s="295">
        <v>217000</v>
      </c>
      <c r="D252" s="131"/>
      <c r="E252" s="267"/>
      <c r="F252" s="135"/>
      <c r="G252" s="135"/>
      <c r="H252" s="135"/>
      <c r="I252" s="131"/>
      <c r="J252" s="131"/>
      <c r="K252" s="131"/>
      <c r="L252" s="131"/>
      <c r="M252" s="135"/>
      <c r="N252" s="131"/>
      <c r="O252" s="131"/>
      <c r="P252" s="131"/>
      <c r="Q252" s="131"/>
      <c r="R252" s="217"/>
      <c r="S252" s="219"/>
      <c r="T252" s="219"/>
      <c r="U252" s="217"/>
      <c r="V252" s="217"/>
    </row>
    <row r="253" spans="1:22" ht="25.5" customHeight="1">
      <c r="A253" s="20"/>
      <c r="B253" s="186" t="s">
        <v>346</v>
      </c>
      <c r="C253" s="295">
        <v>27000</v>
      </c>
      <c r="D253" s="131"/>
      <c r="E253" s="267"/>
      <c r="F253" s="135"/>
      <c r="G253" s="135"/>
      <c r="H253" s="135"/>
      <c r="I253" s="131"/>
      <c r="J253" s="131"/>
      <c r="K253" s="131"/>
      <c r="L253" s="131"/>
      <c r="M253" s="135"/>
      <c r="N253" s="131"/>
      <c r="O253" s="131"/>
      <c r="P253" s="131"/>
      <c r="Q253" s="131"/>
      <c r="R253" s="217"/>
      <c r="S253" s="219"/>
      <c r="T253" s="219"/>
      <c r="U253" s="217"/>
      <c r="V253" s="217"/>
    </row>
    <row r="254" spans="1:22" ht="25.5" customHeight="1">
      <c r="A254" s="20"/>
      <c r="B254" s="186" t="s">
        <v>347</v>
      </c>
      <c r="C254" s="295">
        <v>211000</v>
      </c>
      <c r="D254" s="131"/>
      <c r="E254" s="267"/>
      <c r="F254" s="135"/>
      <c r="G254" s="135"/>
      <c r="H254" s="135"/>
      <c r="I254" s="131"/>
      <c r="J254" s="131"/>
      <c r="K254" s="131"/>
      <c r="L254" s="131"/>
      <c r="M254" s="135"/>
      <c r="N254" s="131"/>
      <c r="O254" s="131"/>
      <c r="P254" s="131"/>
      <c r="Q254" s="131"/>
      <c r="R254" s="217"/>
      <c r="S254" s="219"/>
      <c r="T254" s="219"/>
      <c r="U254" s="217"/>
      <c r="V254" s="217"/>
    </row>
    <row r="255" spans="1:22" ht="25.5" customHeight="1">
      <c r="A255" s="20"/>
      <c r="B255" s="186" t="s">
        <v>348</v>
      </c>
      <c r="C255" s="295">
        <v>211000</v>
      </c>
      <c r="D255" s="131"/>
      <c r="E255" s="267"/>
      <c r="F255" s="135"/>
      <c r="G255" s="135"/>
      <c r="H255" s="135"/>
      <c r="I255" s="131"/>
      <c r="J255" s="131"/>
      <c r="K255" s="131"/>
      <c r="L255" s="131"/>
      <c r="M255" s="135"/>
      <c r="N255" s="131"/>
      <c r="O255" s="131"/>
      <c r="P255" s="131"/>
      <c r="Q255" s="131"/>
      <c r="R255" s="217"/>
      <c r="S255" s="219"/>
      <c r="T255" s="219"/>
      <c r="U255" s="217"/>
      <c r="V255" s="217"/>
    </row>
    <row r="256" spans="1:22" ht="25.5" customHeight="1">
      <c r="A256" s="20"/>
      <c r="B256" s="186" t="s">
        <v>349</v>
      </c>
      <c r="C256" s="296">
        <v>688700</v>
      </c>
      <c r="D256" s="131"/>
      <c r="E256" s="267"/>
      <c r="F256" s="135"/>
      <c r="G256" s="135"/>
      <c r="H256" s="135"/>
      <c r="I256" s="131"/>
      <c r="J256" s="131"/>
      <c r="K256" s="131"/>
      <c r="L256" s="131"/>
      <c r="M256" s="135"/>
      <c r="N256" s="131"/>
      <c r="O256" s="131"/>
      <c r="P256" s="131"/>
      <c r="Q256" s="131"/>
      <c r="R256" s="217"/>
      <c r="S256" s="219"/>
      <c r="T256" s="219"/>
      <c r="U256" s="217"/>
      <c r="V256" s="217"/>
    </row>
    <row r="257" spans="1:23" ht="25.5" customHeight="1">
      <c r="A257" s="20"/>
      <c r="B257" s="186" t="s">
        <v>350</v>
      </c>
      <c r="C257" s="297">
        <v>62000</v>
      </c>
      <c r="D257" s="131"/>
      <c r="E257" s="267"/>
      <c r="F257" s="135"/>
      <c r="G257" s="135"/>
      <c r="H257" s="135"/>
      <c r="I257" s="131"/>
      <c r="J257" s="131"/>
      <c r="K257" s="131"/>
      <c r="L257" s="131"/>
      <c r="M257" s="135"/>
      <c r="N257" s="131"/>
      <c r="O257" s="131"/>
      <c r="P257" s="131"/>
      <c r="Q257" s="131"/>
      <c r="R257" s="217"/>
      <c r="S257" s="219"/>
      <c r="T257" s="219"/>
      <c r="U257" s="217"/>
      <c r="V257" s="217"/>
    </row>
    <row r="258" spans="1:23" ht="25.5" customHeight="1" thickBot="1">
      <c r="A258" s="24"/>
      <c r="B258" s="45" t="s">
        <v>5</v>
      </c>
      <c r="C258" s="170">
        <f>SUM(C227:C257)</f>
        <v>2383100</v>
      </c>
      <c r="D258" s="255">
        <f>SUM(D227:D257)</f>
        <v>0</v>
      </c>
      <c r="E258" s="254">
        <f t="shared" ref="E258:V258" si="7">SUM(E227:E257)</f>
        <v>0</v>
      </c>
      <c r="F258" s="254">
        <f t="shared" si="7"/>
        <v>0</v>
      </c>
      <c r="G258" s="255">
        <f t="shared" si="7"/>
        <v>0</v>
      </c>
      <c r="H258" s="254">
        <f t="shared" si="7"/>
        <v>0</v>
      </c>
      <c r="I258" s="255">
        <f t="shared" si="7"/>
        <v>0</v>
      </c>
      <c r="J258" s="255">
        <f t="shared" si="7"/>
        <v>0</v>
      </c>
      <c r="K258" s="255">
        <f t="shared" si="7"/>
        <v>0</v>
      </c>
      <c r="L258" s="255">
        <f t="shared" si="7"/>
        <v>0</v>
      </c>
      <c r="M258" s="254">
        <f t="shared" si="7"/>
        <v>0</v>
      </c>
      <c r="N258" s="255">
        <f t="shared" si="7"/>
        <v>0</v>
      </c>
      <c r="O258" s="255">
        <f t="shared" si="7"/>
        <v>0</v>
      </c>
      <c r="P258" s="255">
        <f t="shared" si="7"/>
        <v>0</v>
      </c>
      <c r="Q258" s="255">
        <f t="shared" si="7"/>
        <v>0</v>
      </c>
      <c r="R258" s="255">
        <f t="shared" si="7"/>
        <v>0</v>
      </c>
      <c r="S258" s="255">
        <f t="shared" si="7"/>
        <v>0</v>
      </c>
      <c r="T258" s="255"/>
      <c r="U258" s="255">
        <f t="shared" si="7"/>
        <v>0</v>
      </c>
      <c r="V258" s="255">
        <f t="shared" si="7"/>
        <v>0</v>
      </c>
      <c r="W258" s="314">
        <f>SUM(D258:V258)</f>
        <v>0</v>
      </c>
    </row>
    <row r="259" spans="1:23" ht="25.5" customHeight="1" thickTop="1">
      <c r="A259" s="50" t="s">
        <v>149</v>
      </c>
      <c r="B259" s="4"/>
      <c r="C259" s="193"/>
      <c r="D259" s="133"/>
      <c r="E259" s="269"/>
      <c r="F259" s="136"/>
      <c r="G259" s="136"/>
      <c r="H259" s="136"/>
      <c r="I259" s="133"/>
      <c r="J259" s="133"/>
      <c r="K259" s="133"/>
      <c r="L259" s="133"/>
      <c r="M259" s="136"/>
      <c r="N259" s="133"/>
      <c r="O259" s="133"/>
      <c r="P259" s="133"/>
      <c r="Q259" s="133"/>
      <c r="R259" s="258"/>
      <c r="S259" s="259"/>
      <c r="T259" s="259"/>
      <c r="U259" s="258"/>
      <c r="V259" s="258"/>
    </row>
    <row r="260" spans="1:23" ht="25.5" customHeight="1">
      <c r="A260" s="9"/>
      <c r="B260" s="186"/>
      <c r="C260" s="296"/>
      <c r="D260" s="133"/>
      <c r="E260" s="269"/>
      <c r="F260" s="136"/>
      <c r="G260" s="136"/>
      <c r="H260" s="136"/>
      <c r="I260" s="133"/>
      <c r="J260" s="133"/>
      <c r="K260" s="133"/>
      <c r="L260" s="133"/>
      <c r="M260" s="136"/>
      <c r="N260" s="133"/>
      <c r="O260" s="133"/>
      <c r="P260" s="133"/>
      <c r="Q260" s="133"/>
      <c r="R260" s="258"/>
      <c r="S260" s="259"/>
      <c r="T260" s="259"/>
      <c r="U260" s="258"/>
      <c r="V260" s="258"/>
    </row>
    <row r="261" spans="1:23" ht="25.5" customHeight="1">
      <c r="A261" s="9"/>
      <c r="B261" s="186"/>
      <c r="C261" s="296"/>
      <c r="D261" s="133"/>
      <c r="E261" s="269"/>
      <c r="F261" s="136"/>
      <c r="G261" s="136"/>
      <c r="H261" s="136"/>
      <c r="I261" s="133"/>
      <c r="J261" s="133"/>
      <c r="K261" s="133"/>
      <c r="L261" s="133"/>
      <c r="M261" s="136"/>
      <c r="N261" s="133"/>
      <c r="O261" s="133"/>
      <c r="P261" s="133"/>
      <c r="Q261" s="133"/>
      <c r="R261" s="258"/>
      <c r="S261" s="259"/>
      <c r="T261" s="259"/>
      <c r="U261" s="258"/>
      <c r="V261" s="258"/>
    </row>
    <row r="262" spans="1:23" ht="25.5" customHeight="1">
      <c r="A262" s="9"/>
      <c r="B262" s="186"/>
      <c r="C262" s="296"/>
      <c r="D262" s="133"/>
      <c r="E262" s="269"/>
      <c r="F262" s="136"/>
      <c r="G262" s="136"/>
      <c r="H262" s="136"/>
      <c r="I262" s="133"/>
      <c r="J262" s="133"/>
      <c r="K262" s="133"/>
      <c r="L262" s="133"/>
      <c r="M262" s="136"/>
      <c r="N262" s="133"/>
      <c r="O262" s="133"/>
      <c r="P262" s="133"/>
      <c r="Q262" s="133"/>
      <c r="R262" s="258"/>
      <c r="S262" s="259"/>
      <c r="T262" s="259"/>
      <c r="U262" s="258"/>
      <c r="V262" s="258"/>
    </row>
    <row r="263" spans="1:23" ht="25.5" customHeight="1">
      <c r="A263" s="9"/>
      <c r="B263" s="186"/>
      <c r="C263" s="296"/>
      <c r="D263" s="131"/>
      <c r="E263" s="267"/>
      <c r="F263" s="135"/>
      <c r="G263" s="135"/>
      <c r="H263" s="135"/>
      <c r="I263" s="131"/>
      <c r="J263" s="131"/>
      <c r="K263" s="131"/>
      <c r="L263" s="131"/>
      <c r="M263" s="135"/>
      <c r="N263" s="131"/>
      <c r="O263" s="131"/>
      <c r="P263" s="131"/>
      <c r="Q263" s="131"/>
      <c r="R263" s="217"/>
      <c r="S263" s="219"/>
      <c r="T263" s="219"/>
      <c r="U263" s="217"/>
      <c r="V263" s="217"/>
    </row>
    <row r="264" spans="1:23" ht="25.5" customHeight="1">
      <c r="A264" s="9"/>
      <c r="B264" s="186"/>
      <c r="C264" s="296"/>
      <c r="D264" s="131"/>
      <c r="E264" s="267"/>
      <c r="F264" s="135"/>
      <c r="G264" s="135"/>
      <c r="H264" s="135"/>
      <c r="I264" s="131"/>
      <c r="J264" s="131"/>
      <c r="K264" s="131"/>
      <c r="L264" s="131"/>
      <c r="M264" s="135"/>
      <c r="N264" s="131"/>
      <c r="O264" s="131"/>
      <c r="P264" s="131"/>
      <c r="Q264" s="131"/>
      <c r="R264" s="217"/>
      <c r="S264" s="219"/>
      <c r="T264" s="219"/>
      <c r="U264" s="217"/>
      <c r="V264" s="217"/>
    </row>
    <row r="265" spans="1:23" ht="25.5" customHeight="1">
      <c r="A265" s="9"/>
      <c r="B265" s="186"/>
      <c r="C265" s="296"/>
      <c r="D265" s="131"/>
      <c r="E265" s="267"/>
      <c r="F265" s="135"/>
      <c r="G265" s="135"/>
      <c r="H265" s="135"/>
      <c r="I265" s="131"/>
      <c r="J265" s="131"/>
      <c r="K265" s="131"/>
      <c r="L265" s="131"/>
      <c r="M265" s="135"/>
      <c r="N265" s="131"/>
      <c r="O265" s="131"/>
      <c r="P265" s="131"/>
      <c r="Q265" s="131"/>
      <c r="R265" s="217"/>
      <c r="S265" s="219"/>
      <c r="T265" s="219"/>
      <c r="U265" s="217"/>
      <c r="V265" s="217"/>
    </row>
    <row r="266" spans="1:23" ht="25.5" customHeight="1">
      <c r="A266" s="9"/>
      <c r="B266" s="186"/>
      <c r="C266" s="296"/>
      <c r="D266" s="131"/>
      <c r="E266" s="267"/>
      <c r="F266" s="135"/>
      <c r="G266" s="135"/>
      <c r="H266" s="135"/>
      <c r="I266" s="131"/>
      <c r="J266" s="131"/>
      <c r="K266" s="131"/>
      <c r="L266" s="131"/>
      <c r="M266" s="135"/>
      <c r="N266" s="131"/>
      <c r="O266" s="131"/>
      <c r="P266" s="131"/>
      <c r="Q266" s="131"/>
      <c r="R266" s="217"/>
      <c r="S266" s="219"/>
      <c r="T266" s="219"/>
      <c r="U266" s="217"/>
      <c r="V266" s="217"/>
    </row>
    <row r="267" spans="1:23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1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</row>
    <row r="268" spans="1:23" ht="25.5" customHeight="1" thickBot="1">
      <c r="A268" s="15"/>
      <c r="B268" s="14" t="s">
        <v>5</v>
      </c>
      <c r="C268" s="170">
        <f>SUM(C260:C267)</f>
        <v>0</v>
      </c>
      <c r="D268" s="255">
        <f>SUM(D260:D267)</f>
        <v>0</v>
      </c>
      <c r="E268" s="254">
        <f t="shared" ref="E268:V268" si="8">SUM(E260:E267)</f>
        <v>0</v>
      </c>
      <c r="F268" s="254">
        <f t="shared" si="8"/>
        <v>0</v>
      </c>
      <c r="G268" s="255">
        <f t="shared" si="8"/>
        <v>0</v>
      </c>
      <c r="H268" s="254">
        <f t="shared" si="8"/>
        <v>0</v>
      </c>
      <c r="I268" s="255">
        <f t="shared" si="8"/>
        <v>0</v>
      </c>
      <c r="J268" s="255">
        <f t="shared" si="8"/>
        <v>0</v>
      </c>
      <c r="K268" s="255">
        <f t="shared" si="8"/>
        <v>0</v>
      </c>
      <c r="L268" s="255">
        <f t="shared" si="8"/>
        <v>0</v>
      </c>
      <c r="M268" s="254">
        <f t="shared" si="8"/>
        <v>0</v>
      </c>
      <c r="N268" s="255">
        <f t="shared" si="8"/>
        <v>0</v>
      </c>
      <c r="O268" s="255">
        <f t="shared" si="8"/>
        <v>0</v>
      </c>
      <c r="P268" s="255">
        <f t="shared" si="8"/>
        <v>0</v>
      </c>
      <c r="Q268" s="255">
        <f t="shared" si="8"/>
        <v>0</v>
      </c>
      <c r="R268" s="255">
        <f t="shared" si="8"/>
        <v>0</v>
      </c>
      <c r="S268" s="255">
        <f t="shared" si="8"/>
        <v>0</v>
      </c>
      <c r="T268" s="255"/>
      <c r="U268" s="255">
        <f t="shared" si="8"/>
        <v>0</v>
      </c>
      <c r="V268" s="255">
        <f t="shared" si="8"/>
        <v>0</v>
      </c>
      <c r="W268" s="314">
        <f>SUM(D268:V268)</f>
        <v>0</v>
      </c>
    </row>
    <row r="269" spans="1:23" ht="25.5" customHeight="1" thickTop="1">
      <c r="A269" s="20" t="s">
        <v>24</v>
      </c>
      <c r="B269" s="23"/>
      <c r="C269" s="190"/>
      <c r="D269" s="133"/>
      <c r="E269" s="269"/>
      <c r="F269" s="136"/>
      <c r="G269" s="136"/>
      <c r="H269" s="136"/>
      <c r="I269" s="133"/>
      <c r="J269" s="133"/>
      <c r="K269" s="133"/>
      <c r="L269" s="133"/>
      <c r="M269" s="136"/>
      <c r="N269" s="133"/>
      <c r="O269" s="133"/>
      <c r="P269" s="133"/>
      <c r="Q269" s="133"/>
      <c r="R269" s="258"/>
      <c r="S269" s="259"/>
      <c r="T269" s="259"/>
      <c r="U269" s="258"/>
      <c r="V269" s="258"/>
    </row>
    <row r="270" spans="1:23" ht="25.5" customHeight="1">
      <c r="A270" s="20"/>
      <c r="B270" s="130"/>
      <c r="C270" s="192"/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>
      <c r="A271" s="20"/>
      <c r="B271" s="130"/>
      <c r="C271" s="192"/>
      <c r="D271" s="131"/>
      <c r="E271" s="267"/>
      <c r="F271" s="135"/>
      <c r="G271" s="135"/>
      <c r="H271" s="135"/>
      <c r="I271" s="131"/>
      <c r="J271" s="131"/>
      <c r="K271" s="131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</row>
    <row r="272" spans="1:23" ht="25.5" customHeight="1" thickBot="1">
      <c r="A272" s="15"/>
      <c r="B272" s="14" t="s">
        <v>5</v>
      </c>
      <c r="C272" s="298">
        <f>SUM(C270:C271)</f>
        <v>0</v>
      </c>
      <c r="D272" s="255">
        <f>SUM(D270:D271)</f>
        <v>0</v>
      </c>
      <c r="E272" s="254">
        <f t="shared" ref="E272:V272" si="9">SUM(E270:E271)</f>
        <v>0</v>
      </c>
      <c r="F272" s="254">
        <f t="shared" si="9"/>
        <v>0</v>
      </c>
      <c r="G272" s="255">
        <f t="shared" si="9"/>
        <v>0</v>
      </c>
      <c r="H272" s="254">
        <f t="shared" si="9"/>
        <v>0</v>
      </c>
      <c r="I272" s="255">
        <f t="shared" si="9"/>
        <v>0</v>
      </c>
      <c r="J272" s="255">
        <f t="shared" si="9"/>
        <v>0</v>
      </c>
      <c r="K272" s="255">
        <f t="shared" si="9"/>
        <v>0</v>
      </c>
      <c r="L272" s="255">
        <f t="shared" si="9"/>
        <v>0</v>
      </c>
      <c r="M272" s="254">
        <f t="shared" si="9"/>
        <v>0</v>
      </c>
      <c r="N272" s="255">
        <f t="shared" si="9"/>
        <v>0</v>
      </c>
      <c r="O272" s="255">
        <f t="shared" si="9"/>
        <v>0</v>
      </c>
      <c r="P272" s="255">
        <f t="shared" si="9"/>
        <v>0</v>
      </c>
      <c r="Q272" s="255">
        <f t="shared" si="9"/>
        <v>0</v>
      </c>
      <c r="R272" s="255">
        <f t="shared" si="9"/>
        <v>0</v>
      </c>
      <c r="S272" s="255">
        <f t="shared" si="9"/>
        <v>0</v>
      </c>
      <c r="T272" s="255"/>
      <c r="U272" s="255">
        <f t="shared" si="9"/>
        <v>0</v>
      </c>
      <c r="V272" s="255">
        <f t="shared" si="9"/>
        <v>0</v>
      </c>
      <c r="W272" s="314">
        <f>SUM(D272:V272)</f>
        <v>0</v>
      </c>
    </row>
    <row r="273" spans="1:23" ht="25.5" customHeight="1" thickTop="1">
      <c r="A273" s="20" t="s">
        <v>44</v>
      </c>
      <c r="B273" s="23"/>
      <c r="C273" s="193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85"/>
      <c r="C274" s="192"/>
      <c r="D274" s="133"/>
      <c r="E274" s="269"/>
      <c r="F274" s="136"/>
      <c r="G274" s="136"/>
      <c r="H274" s="136"/>
      <c r="I274" s="133"/>
      <c r="J274" s="133"/>
      <c r="K274" s="133"/>
      <c r="L274" s="133"/>
      <c r="M274" s="136"/>
      <c r="N274" s="133"/>
      <c r="O274" s="133"/>
      <c r="P274" s="133"/>
      <c r="Q274" s="133"/>
      <c r="R274" s="258"/>
      <c r="S274" s="259"/>
      <c r="T274" s="259"/>
      <c r="U274" s="258"/>
      <c r="V274" s="258"/>
    </row>
    <row r="275" spans="1:23" ht="25.5" customHeight="1">
      <c r="A275" s="20"/>
      <c r="B275" s="185"/>
      <c r="C275" s="190"/>
      <c r="D275" s="133"/>
      <c r="E275" s="269"/>
      <c r="F275" s="136"/>
      <c r="G275" s="136"/>
      <c r="H275" s="136"/>
      <c r="I275" s="133"/>
      <c r="J275" s="133"/>
      <c r="K275" s="133"/>
      <c r="L275" s="133"/>
      <c r="M275" s="136"/>
      <c r="N275" s="133"/>
      <c r="O275" s="133"/>
      <c r="P275" s="133"/>
      <c r="Q275" s="133"/>
      <c r="R275" s="258"/>
      <c r="S275" s="259"/>
      <c r="T275" s="259"/>
      <c r="U275" s="258"/>
      <c r="V275" s="258"/>
    </row>
    <row r="276" spans="1:23" ht="25.5" customHeight="1" thickBot="1">
      <c r="A276" s="15"/>
      <c r="B276" s="53" t="s">
        <v>5</v>
      </c>
      <c r="C276" s="105">
        <f>SUM(C274:C275)</f>
        <v>0</v>
      </c>
      <c r="D276" s="255">
        <f>SUM(D274:D275)</f>
        <v>0</v>
      </c>
      <c r="E276" s="254">
        <f t="shared" ref="E276:V276" si="10">SUM(E274:E275)</f>
        <v>0</v>
      </c>
      <c r="F276" s="254">
        <f t="shared" si="10"/>
        <v>0</v>
      </c>
      <c r="G276" s="255">
        <f t="shared" si="10"/>
        <v>0</v>
      </c>
      <c r="H276" s="254">
        <f t="shared" si="10"/>
        <v>0</v>
      </c>
      <c r="I276" s="255">
        <f t="shared" si="10"/>
        <v>0</v>
      </c>
      <c r="J276" s="255">
        <f t="shared" si="10"/>
        <v>0</v>
      </c>
      <c r="K276" s="255">
        <f t="shared" si="10"/>
        <v>0</v>
      </c>
      <c r="L276" s="255">
        <f t="shared" si="10"/>
        <v>0</v>
      </c>
      <c r="M276" s="254">
        <f t="shared" si="10"/>
        <v>0</v>
      </c>
      <c r="N276" s="255">
        <f t="shared" si="10"/>
        <v>0</v>
      </c>
      <c r="O276" s="255">
        <f t="shared" si="10"/>
        <v>0</v>
      </c>
      <c r="P276" s="255">
        <f t="shared" si="10"/>
        <v>0</v>
      </c>
      <c r="Q276" s="255">
        <f t="shared" si="10"/>
        <v>0</v>
      </c>
      <c r="R276" s="255">
        <f t="shared" si="10"/>
        <v>0</v>
      </c>
      <c r="S276" s="255">
        <f t="shared" si="10"/>
        <v>0</v>
      </c>
      <c r="T276" s="255"/>
      <c r="U276" s="255">
        <f t="shared" si="10"/>
        <v>0</v>
      </c>
      <c r="V276" s="255">
        <f t="shared" si="10"/>
        <v>0</v>
      </c>
      <c r="W276" s="314">
        <f>SUM(D276:V276)</f>
        <v>0</v>
      </c>
    </row>
    <row r="277" spans="1:23" ht="25.5" customHeight="1" thickTop="1">
      <c r="A277" s="20" t="s">
        <v>276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</row>
    <row r="278" spans="1:23" ht="25.5" customHeight="1">
      <c r="A278" s="20"/>
      <c r="B278" s="185" t="s">
        <v>226</v>
      </c>
      <c r="C278" s="192">
        <f>+E278+M278+F278+H278</f>
        <v>0</v>
      </c>
      <c r="D278" s="133"/>
      <c r="E278" s="267"/>
      <c r="F278" s="135"/>
      <c r="G278" s="135"/>
      <c r="H278" s="135"/>
      <c r="I278" s="131"/>
      <c r="J278" s="131"/>
      <c r="K278" s="131"/>
      <c r="L278" s="131"/>
      <c r="M278" s="135"/>
      <c r="N278" s="133"/>
      <c r="O278" s="133"/>
      <c r="P278" s="133"/>
      <c r="Q278" s="133"/>
      <c r="R278" s="258"/>
      <c r="S278" s="259"/>
      <c r="T278" s="259"/>
      <c r="U278" s="258"/>
      <c r="V278" s="258"/>
    </row>
    <row r="279" spans="1:23" ht="25.5" customHeight="1">
      <c r="A279" s="20"/>
      <c r="B279" s="185" t="s">
        <v>233</v>
      </c>
      <c r="C279" s="299">
        <v>7500</v>
      </c>
      <c r="D279" s="133"/>
      <c r="E279" s="267"/>
      <c r="F279" s="135"/>
      <c r="G279" s="135"/>
      <c r="H279" s="135"/>
      <c r="I279" s="131"/>
      <c r="J279" s="131"/>
      <c r="K279" s="131"/>
      <c r="L279" s="131"/>
      <c r="M279" s="135"/>
      <c r="N279" s="133"/>
      <c r="O279" s="133"/>
      <c r="P279" s="133"/>
      <c r="Q279" s="133"/>
      <c r="R279" s="258"/>
      <c r="S279" s="259"/>
      <c r="T279" s="259"/>
      <c r="U279" s="258"/>
      <c r="V279" s="258"/>
    </row>
    <row r="280" spans="1:23" ht="25.5" customHeight="1">
      <c r="A280" s="20"/>
      <c r="B280" s="274" t="s">
        <v>378</v>
      </c>
      <c r="C280" s="299">
        <v>37500</v>
      </c>
      <c r="D280" s="131"/>
      <c r="E280" s="267"/>
      <c r="F280" s="135"/>
      <c r="G280" s="135"/>
      <c r="H280" s="135"/>
      <c r="I280" s="131"/>
      <c r="J280" s="131"/>
      <c r="K280" s="131"/>
      <c r="L280" s="131"/>
      <c r="M280" s="135"/>
      <c r="N280" s="131"/>
      <c r="O280" s="131"/>
      <c r="P280" s="131"/>
      <c r="Q280" s="131"/>
      <c r="R280" s="217"/>
      <c r="S280" s="219"/>
      <c r="T280" s="219"/>
      <c r="U280" s="217"/>
      <c r="V280" s="217"/>
    </row>
    <row r="281" spans="1:23" ht="25.5" customHeight="1">
      <c r="A281" s="20"/>
      <c r="B281" s="185" t="s">
        <v>379</v>
      </c>
      <c r="C281" s="299">
        <v>10000</v>
      </c>
      <c r="D281" s="131"/>
      <c r="E281" s="267"/>
      <c r="F281" s="135"/>
      <c r="G281" s="135"/>
      <c r="H281" s="135"/>
      <c r="I281" s="131"/>
      <c r="J281" s="131"/>
      <c r="K281" s="131"/>
      <c r="L281" s="131"/>
      <c r="M281" s="135"/>
      <c r="N281" s="131"/>
      <c r="O281" s="131"/>
      <c r="P281" s="131"/>
      <c r="Q281" s="131"/>
      <c r="R281" s="217"/>
      <c r="S281" s="219"/>
      <c r="T281" s="219"/>
      <c r="U281" s="217"/>
      <c r="V281" s="217"/>
    </row>
    <row r="282" spans="1:23" ht="25.5" customHeight="1">
      <c r="A282" s="20"/>
      <c r="B282" s="185" t="s">
        <v>382</v>
      </c>
      <c r="C282" s="299">
        <v>1950</v>
      </c>
      <c r="D282" s="131"/>
      <c r="E282" s="267"/>
      <c r="F282" s="135"/>
      <c r="G282" s="135"/>
      <c r="H282" s="135"/>
      <c r="I282" s="131"/>
      <c r="J282" s="131"/>
      <c r="K282" s="131"/>
      <c r="L282" s="131"/>
      <c r="M282" s="135"/>
      <c r="N282" s="131"/>
      <c r="O282" s="131"/>
      <c r="P282" s="131"/>
      <c r="Q282" s="131"/>
      <c r="R282" s="217"/>
      <c r="S282" s="219"/>
      <c r="T282" s="219"/>
      <c r="U282" s="217"/>
      <c r="V282" s="217"/>
    </row>
    <row r="283" spans="1:23" ht="25.5" customHeight="1">
      <c r="A283" s="20"/>
      <c r="B283" s="185" t="s">
        <v>380</v>
      </c>
      <c r="C283" s="299">
        <f>4550+8575</f>
        <v>13125</v>
      </c>
      <c r="D283" s="131"/>
      <c r="E283" s="267">
        <v>8575</v>
      </c>
      <c r="F283" s="135"/>
      <c r="G283" s="135"/>
      <c r="H283" s="135"/>
      <c r="I283" s="131"/>
      <c r="J283" s="131"/>
      <c r="K283" s="131"/>
      <c r="L283" s="131"/>
      <c r="M283" s="135"/>
      <c r="N283" s="131"/>
      <c r="O283" s="131"/>
      <c r="P283" s="131"/>
      <c r="Q283" s="131"/>
      <c r="R283" s="217"/>
      <c r="S283" s="219"/>
      <c r="T283" s="219"/>
      <c r="U283" s="217"/>
      <c r="V283" s="217"/>
    </row>
    <row r="284" spans="1:23" ht="25.5" customHeight="1">
      <c r="A284" s="20"/>
      <c r="B284" s="185" t="s">
        <v>386</v>
      </c>
      <c r="C284" s="192">
        <v>409940.96</v>
      </c>
      <c r="D284" s="131"/>
      <c r="E284" s="267"/>
      <c r="F284" s="135"/>
      <c r="G284" s="135"/>
      <c r="H284" s="135"/>
      <c r="I284" s="131">
        <v>409940.96</v>
      </c>
      <c r="J284" s="131"/>
      <c r="K284" s="131"/>
      <c r="L284" s="131"/>
      <c r="M284" s="135"/>
      <c r="N284" s="131"/>
      <c r="O284" s="131"/>
      <c r="P284" s="131"/>
      <c r="Q284" s="131"/>
      <c r="R284" s="217"/>
      <c r="S284" s="219"/>
      <c r="T284" s="219"/>
      <c r="U284" s="217"/>
      <c r="V284" s="217"/>
    </row>
    <row r="285" spans="1:23" ht="25.5" customHeight="1">
      <c r="A285" s="20"/>
      <c r="B285" s="185" t="s">
        <v>387</v>
      </c>
      <c r="C285" s="192">
        <v>40000</v>
      </c>
      <c r="D285" s="131"/>
      <c r="E285" s="267"/>
      <c r="F285" s="135"/>
      <c r="G285" s="135"/>
      <c r="H285" s="135">
        <v>40000</v>
      </c>
      <c r="I285" s="131"/>
      <c r="J285" s="131"/>
      <c r="K285" s="131"/>
      <c r="L285" s="131"/>
      <c r="M285" s="135"/>
      <c r="N285" s="131"/>
      <c r="O285" s="131"/>
      <c r="P285" s="131"/>
      <c r="Q285" s="131"/>
      <c r="R285" s="217"/>
      <c r="S285" s="219"/>
      <c r="T285" s="219"/>
      <c r="U285" s="217"/>
      <c r="V285" s="217"/>
    </row>
    <row r="286" spans="1:23" ht="25.5" customHeight="1">
      <c r="A286" s="20"/>
      <c r="B286" s="23"/>
      <c r="C286" s="290"/>
      <c r="D286" s="195"/>
      <c r="E286" s="270"/>
      <c r="F286" s="196"/>
      <c r="G286" s="196"/>
      <c r="H286" s="196"/>
      <c r="I286" s="195"/>
      <c r="J286" s="195"/>
      <c r="K286" s="195"/>
      <c r="L286" s="195"/>
      <c r="M286" s="196"/>
      <c r="N286" s="195"/>
      <c r="O286" s="195"/>
      <c r="P286" s="195"/>
      <c r="Q286" s="195"/>
      <c r="R286" s="218"/>
      <c r="S286" s="220"/>
      <c r="T286" s="220"/>
      <c r="U286" s="218"/>
      <c r="V286" s="218"/>
    </row>
    <row r="287" spans="1:23" ht="25.5" customHeight="1">
      <c r="A287" s="20"/>
      <c r="B287" s="23"/>
      <c r="C287" s="290"/>
      <c r="D287" s="195"/>
      <c r="E287" s="270"/>
      <c r="F287" s="196"/>
      <c r="G287" s="196"/>
      <c r="H287" s="196"/>
      <c r="I287" s="195"/>
      <c r="J287" s="195"/>
      <c r="K287" s="195"/>
      <c r="L287" s="195"/>
      <c r="M287" s="196"/>
      <c r="N287" s="195"/>
      <c r="O287" s="195"/>
      <c r="P287" s="195"/>
      <c r="Q287" s="195"/>
      <c r="R287" s="218"/>
      <c r="S287" s="220"/>
      <c r="T287" s="220"/>
      <c r="U287" s="218"/>
      <c r="V287" s="218"/>
    </row>
    <row r="288" spans="1:23" ht="25.5" customHeight="1" thickBot="1">
      <c r="A288" s="15"/>
      <c r="B288" s="53" t="s">
        <v>5</v>
      </c>
      <c r="C288" s="105">
        <f>SUM(C278:C285)</f>
        <v>520015.96</v>
      </c>
      <c r="D288" s="132">
        <f>SUM(D278:D285)</f>
        <v>0</v>
      </c>
      <c r="E288" s="137">
        <f>SUM(E278:E285)</f>
        <v>8575</v>
      </c>
      <c r="F288" s="137">
        <f>SUM(F278:F285)</f>
        <v>0</v>
      </c>
      <c r="G288" s="132">
        <f t="shared" ref="G288:V288" si="11">SUM(G278:G285)</f>
        <v>0</v>
      </c>
      <c r="H288" s="137">
        <f>SUM(H278:H285)</f>
        <v>40000</v>
      </c>
      <c r="I288" s="132">
        <f t="shared" si="11"/>
        <v>409940.96</v>
      </c>
      <c r="J288" s="132">
        <f t="shared" si="11"/>
        <v>0</v>
      </c>
      <c r="K288" s="132">
        <f t="shared" si="11"/>
        <v>0</v>
      </c>
      <c r="L288" s="132">
        <f t="shared" si="11"/>
        <v>0</v>
      </c>
      <c r="M288" s="137">
        <f>SUM(M278:M285)</f>
        <v>0</v>
      </c>
      <c r="N288" s="132">
        <f t="shared" si="11"/>
        <v>0</v>
      </c>
      <c r="O288" s="132">
        <f t="shared" si="11"/>
        <v>0</v>
      </c>
      <c r="P288" s="132">
        <f t="shared" si="11"/>
        <v>0</v>
      </c>
      <c r="Q288" s="132">
        <f t="shared" si="11"/>
        <v>0</v>
      </c>
      <c r="R288" s="132">
        <f t="shared" si="11"/>
        <v>0</v>
      </c>
      <c r="S288" s="132">
        <f t="shared" si="11"/>
        <v>0</v>
      </c>
      <c r="T288" s="132"/>
      <c r="U288" s="132">
        <f t="shared" si="11"/>
        <v>0</v>
      </c>
      <c r="V288" s="132">
        <f t="shared" si="11"/>
        <v>0</v>
      </c>
      <c r="W288" s="318">
        <f>SUM(D288:V288)</f>
        <v>458515.96</v>
      </c>
    </row>
    <row r="289" spans="1:23" ht="25.5" customHeight="1" thickTop="1" thickBot="1">
      <c r="A289" s="16"/>
      <c r="B289" s="52" t="s">
        <v>49</v>
      </c>
      <c r="C289" s="229">
        <f>+C268+C258+C221+C210+C204++C49+C38+C21+C176+C28+C224</f>
        <v>39148280</v>
      </c>
      <c r="D289" s="229">
        <f>+D268+D258+D221+D210+D204++D49+D38+D21+D176+D28+D224</f>
        <v>756962</v>
      </c>
      <c r="E289" s="229">
        <f t="shared" ref="E289:V289" si="12">+E268+E258+E221+E210+E204++E49+E38+E21+E176+E28+E224</f>
        <v>842159.92999999993</v>
      </c>
      <c r="F289" s="229">
        <f t="shared" si="12"/>
        <v>195348</v>
      </c>
      <c r="G289" s="229">
        <f t="shared" si="12"/>
        <v>0</v>
      </c>
      <c r="H289" s="229">
        <f t="shared" si="12"/>
        <v>882839.89</v>
      </c>
      <c r="I289" s="229">
        <f t="shared" si="12"/>
        <v>898900</v>
      </c>
      <c r="J289" s="229">
        <f t="shared" si="12"/>
        <v>0</v>
      </c>
      <c r="K289" s="229">
        <f t="shared" si="12"/>
        <v>0</v>
      </c>
      <c r="L289" s="229">
        <f t="shared" si="12"/>
        <v>0</v>
      </c>
      <c r="M289" s="229">
        <f t="shared" si="12"/>
        <v>222675.6</v>
      </c>
      <c r="N289" s="229">
        <f t="shared" si="12"/>
        <v>0</v>
      </c>
      <c r="O289" s="229">
        <f t="shared" si="12"/>
        <v>0</v>
      </c>
      <c r="P289" s="229">
        <f t="shared" si="12"/>
        <v>0</v>
      </c>
      <c r="Q289" s="229">
        <f t="shared" si="12"/>
        <v>4880</v>
      </c>
      <c r="R289" s="229">
        <f t="shared" si="12"/>
        <v>0</v>
      </c>
      <c r="S289" s="229">
        <f t="shared" si="12"/>
        <v>0</v>
      </c>
      <c r="T289" s="229"/>
      <c r="U289" s="229">
        <f t="shared" si="12"/>
        <v>0</v>
      </c>
      <c r="V289" s="51">
        <f t="shared" si="12"/>
        <v>0</v>
      </c>
    </row>
    <row r="290" spans="1:23" ht="25.5" customHeight="1" thickTop="1" thickBot="1">
      <c r="A290" s="16"/>
      <c r="B290" s="41" t="s">
        <v>25</v>
      </c>
      <c r="C290" s="260">
        <f>+C288+C276+C272+C268+C258+C224+C221+C210+C176+C49+C28+C21+C38++C204</f>
        <v>39668295.960000001</v>
      </c>
      <c r="D290" s="260">
        <f>+D288+D276+D272+D268+D258+D224+D221+D210+D176+D49+D28+D21+D38++D204</f>
        <v>756962</v>
      </c>
      <c r="E290" s="260">
        <f>+E288+E276+E272+E268+E258+E224+E221+E210+E176+E49+E28+E21+E38++E204</f>
        <v>850734.92999999993</v>
      </c>
      <c r="F290" s="260">
        <f>+F288+F276+F272+F268+F258+F224+F221+F210+F176+F49+F28+F21+F38++F204</f>
        <v>195348</v>
      </c>
      <c r="G290" s="260">
        <f t="shared" ref="G290:V290" si="13">+G288+G276+G272+G268+G258+G224+G221+G210+G176+G49+G28+G21+G38++G204</f>
        <v>0</v>
      </c>
      <c r="H290" s="260">
        <f>+H288+H276+H272+H268+H258+H224+H221+H210+H176+H49+H28+H21+H38++H204</f>
        <v>922839.89</v>
      </c>
      <c r="I290" s="260">
        <f t="shared" si="13"/>
        <v>1308840.96</v>
      </c>
      <c r="J290" s="260">
        <f t="shared" si="13"/>
        <v>0</v>
      </c>
      <c r="K290" s="260">
        <f t="shared" si="13"/>
        <v>0</v>
      </c>
      <c r="L290" s="260">
        <f t="shared" si="13"/>
        <v>0</v>
      </c>
      <c r="M290" s="260">
        <f>+M288+M276+M272+M268+M258+M224+M221+M210+M176+M49+M28+M21+M38++M204</f>
        <v>222675.6</v>
      </c>
      <c r="N290" s="260">
        <f t="shared" si="13"/>
        <v>0</v>
      </c>
      <c r="O290" s="260">
        <f t="shared" si="13"/>
        <v>0</v>
      </c>
      <c r="P290" s="260">
        <f t="shared" si="13"/>
        <v>0</v>
      </c>
      <c r="Q290" s="260">
        <f t="shared" si="13"/>
        <v>4880</v>
      </c>
      <c r="R290" s="260">
        <f t="shared" si="13"/>
        <v>0</v>
      </c>
      <c r="S290" s="260">
        <f t="shared" si="13"/>
        <v>0</v>
      </c>
      <c r="T290" s="260"/>
      <c r="U290" s="260">
        <f t="shared" si="13"/>
        <v>0</v>
      </c>
      <c r="V290" s="309">
        <f t="shared" si="13"/>
        <v>0</v>
      </c>
      <c r="W290" s="319">
        <f>SUM(W5:W288)</f>
        <v>5479069.3799999999</v>
      </c>
    </row>
    <row r="291" spans="1:23" ht="25.5" customHeight="1" thickTop="1">
      <c r="B291" s="246" t="s">
        <v>388</v>
      </c>
      <c r="C291" s="249"/>
      <c r="D291" s="300"/>
      <c r="E291" s="301"/>
      <c r="F291" s="302"/>
      <c r="G291" s="302"/>
      <c r="H291" s="302"/>
      <c r="I291" s="300"/>
      <c r="J291" s="300"/>
      <c r="K291" s="300"/>
      <c r="L291" s="300"/>
      <c r="M291" s="302"/>
      <c r="N291" s="300"/>
      <c r="O291" s="300"/>
      <c r="P291" s="300"/>
      <c r="Q291" s="300"/>
      <c r="R291" s="303"/>
      <c r="S291" s="304"/>
      <c r="T291" s="304"/>
      <c r="U291" s="303"/>
      <c r="V291" s="303"/>
      <c r="W291" s="246" t="s">
        <v>384</v>
      </c>
    </row>
    <row r="292" spans="1:23" ht="25.5" customHeight="1">
      <c r="C292" s="249"/>
      <c r="D292" s="35"/>
      <c r="E292" s="266"/>
      <c r="F292" s="134"/>
      <c r="G292" s="134"/>
      <c r="H292" s="134"/>
      <c r="I292" s="35"/>
      <c r="J292" s="35"/>
      <c r="K292" s="35"/>
      <c r="L292" s="35"/>
      <c r="M292" s="134"/>
      <c r="N292" s="35"/>
      <c r="O292" s="35"/>
      <c r="P292" s="35"/>
      <c r="Q292" s="35"/>
      <c r="R292" s="34"/>
      <c r="S292" s="171"/>
      <c r="T292" s="171"/>
      <c r="U292" s="34"/>
      <c r="V292" s="34"/>
      <c r="W292"/>
    </row>
    <row r="293" spans="1:23" ht="25.5" customHeight="1">
      <c r="C293" s="249"/>
      <c r="D293" s="35"/>
      <c r="E293" s="266"/>
      <c r="F293" s="134"/>
      <c r="G293" s="134"/>
      <c r="H293" s="134"/>
      <c r="I293" s="35"/>
      <c r="J293" s="35"/>
      <c r="K293" s="35"/>
      <c r="L293" s="35"/>
      <c r="M293" s="134"/>
      <c r="N293" s="35"/>
      <c r="O293" s="35"/>
      <c r="P293" s="35"/>
      <c r="Q293" s="35"/>
      <c r="R293" s="34"/>
      <c r="S293" s="171"/>
      <c r="T293" s="171"/>
      <c r="U293" s="34"/>
      <c r="V293" s="34"/>
      <c r="W293" s="253">
        <f>39148280-C289</f>
        <v>0</v>
      </c>
    </row>
    <row r="294" spans="1:23" ht="25.5" customHeight="1">
      <c r="C294" s="182"/>
      <c r="D294" s="181"/>
      <c r="E294" s="272"/>
      <c r="F294" s="265"/>
      <c r="G294" s="265"/>
      <c r="H294" s="265"/>
      <c r="I294" s="181"/>
      <c r="J294" s="181"/>
      <c r="K294" s="181"/>
      <c r="L294" s="181"/>
      <c r="M294" s="265"/>
      <c r="N294" s="181"/>
      <c r="O294" s="181"/>
      <c r="P294" s="181"/>
      <c r="Q294" s="181"/>
      <c r="R294" s="221"/>
      <c r="S294" s="234"/>
      <c r="T294" s="234"/>
      <c r="U294" s="221"/>
      <c r="V294" s="221"/>
    </row>
    <row r="295" spans="1:23" ht="25.5" customHeight="1">
      <c r="C295" s="182"/>
      <c r="D295" s="181"/>
      <c r="E295" s="272"/>
      <c r="F295" s="265"/>
      <c r="G295" s="265"/>
      <c r="H295" s="265"/>
      <c r="I295" s="181"/>
      <c r="J295" s="181"/>
      <c r="K295" s="181"/>
      <c r="L295" s="181"/>
      <c r="M295" s="265"/>
      <c r="N295" s="181"/>
      <c r="O295" s="181"/>
      <c r="P295" s="181"/>
      <c r="Q295" s="181"/>
      <c r="R295" s="221"/>
      <c r="S295" s="234"/>
      <c r="T295" s="234"/>
      <c r="U295" s="221"/>
      <c r="V295" s="221"/>
    </row>
    <row r="296" spans="1:23" ht="25.5" customHeight="1">
      <c r="C296" s="182"/>
      <c r="D296" s="181"/>
      <c r="E296" s="272"/>
      <c r="F296" s="265"/>
      <c r="G296" s="265"/>
      <c r="H296" s="265"/>
      <c r="I296" s="181"/>
      <c r="J296" s="181"/>
      <c r="K296" s="181"/>
      <c r="L296" s="181"/>
      <c r="M296" s="265"/>
      <c r="N296" s="181"/>
      <c r="O296" s="181"/>
      <c r="P296" s="181"/>
      <c r="Q296" s="181"/>
      <c r="R296" s="221"/>
      <c r="S296" s="234"/>
      <c r="T296" s="234"/>
      <c r="U296" s="221"/>
      <c r="V296" s="221"/>
    </row>
    <row r="297" spans="1:23" ht="25.5" customHeight="1">
      <c r="D297" s="181"/>
      <c r="E297" s="272"/>
      <c r="F297" s="265"/>
      <c r="G297" s="265"/>
      <c r="H297" s="265"/>
      <c r="I297" s="181"/>
      <c r="J297" s="181"/>
      <c r="K297" s="181"/>
      <c r="L297" s="181"/>
      <c r="M297" s="265"/>
      <c r="N297" s="181"/>
      <c r="O297" s="181"/>
      <c r="P297" s="181"/>
      <c r="Q297" s="181"/>
      <c r="R297" s="221"/>
      <c r="S297" s="234"/>
      <c r="T297" s="234"/>
      <c r="U297" s="221"/>
      <c r="V297" s="221"/>
    </row>
    <row r="298" spans="1:23" ht="25.5" customHeight="1"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</row>
    <row r="299" spans="1:23" ht="25.5" customHeight="1"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</row>
    <row r="300" spans="1:23" ht="25.5" customHeight="1"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</row>
    <row r="301" spans="1:23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</row>
    <row r="302" spans="1:23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3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3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4:22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4:22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4:22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4:22" ht="25.5" customHeight="1"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</row>
    <row r="309" spans="4:22" ht="25.5" customHeight="1"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</row>
    <row r="310" spans="4:22" ht="25.5" customHeight="1"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</row>
    <row r="311" spans="4:22" ht="25.5" customHeight="1"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</row>
    <row r="312" spans="4:22" ht="25.5" customHeight="1"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</row>
    <row r="313" spans="4:22" ht="25.5" customHeight="1"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</row>
    <row r="314" spans="4:22" ht="25.5" customHeight="1"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</row>
    <row r="315" spans="4:22" ht="25.5" customHeight="1"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</row>
    <row r="316" spans="4:22" ht="25.5" customHeight="1"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</row>
    <row r="317" spans="4:22" ht="25.5" customHeight="1"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</row>
    <row r="318" spans="4:22" ht="25.5" customHeight="1"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</row>
    <row r="319" spans="4:22" ht="25.5" customHeight="1"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</row>
    <row r="320" spans="4:22" ht="25.5" customHeight="1"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</row>
    <row r="321" spans="4:22" ht="25.5" customHeight="1"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</row>
    <row r="322" spans="4:22" ht="25.5" customHeight="1"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</row>
    <row r="323" spans="4:22" ht="25.5" customHeight="1"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</row>
    <row r="324" spans="4:22" ht="25.5" customHeight="1"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</row>
    <row r="325" spans="4:22" ht="25.5" customHeight="1"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</row>
    <row r="326" spans="4:22" ht="25.5" customHeight="1"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</row>
    <row r="327" spans="4:22" ht="25.5" customHeight="1"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</row>
    <row r="328" spans="4:22" ht="25.5" customHeight="1"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</row>
    <row r="329" spans="4:22" ht="25.5" customHeight="1"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</row>
    <row r="330" spans="4:22" ht="25.5" customHeight="1"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</row>
    <row r="331" spans="4:22" ht="25.5" customHeight="1"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</row>
    <row r="332" spans="4:22" ht="25.5" customHeight="1"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</row>
    <row r="333" spans="4:22" ht="25.5" customHeight="1"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</row>
    <row r="334" spans="4:22" ht="25.5" customHeight="1"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</row>
    <row r="335" spans="4:22" ht="25.5" customHeight="1"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</row>
    <row r="336" spans="4:22" ht="25.5" customHeight="1"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</row>
    <row r="337" spans="4:22" ht="25.5" customHeight="1"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</row>
    <row r="338" spans="4:22" ht="25.5" customHeight="1"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</row>
    <row r="339" spans="4:22" ht="25.5" customHeight="1"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</row>
    <row r="340" spans="4:22" ht="25.5" customHeight="1"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</row>
    <row r="341" spans="4:22" ht="25.5" customHeight="1"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</row>
    <row r="342" spans="4:22" ht="25.5" customHeight="1"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</row>
    <row r="343" spans="4:22" ht="25.5" customHeight="1"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</row>
    <row r="344" spans="4:22" ht="25.5" customHeight="1"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</row>
    <row r="345" spans="4:22" ht="25.5" customHeight="1"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</row>
    <row r="346" spans="4:22" ht="25.5" customHeight="1"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</row>
    <row r="347" spans="4:22" ht="25.5" customHeight="1"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</row>
    <row r="348" spans="4:22" ht="25.5" customHeight="1"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</row>
    <row r="349" spans="4:22" ht="25.5" customHeight="1"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</row>
    <row r="350" spans="4:22" ht="25.5" customHeight="1"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</row>
    <row r="351" spans="4:22" ht="25.5" customHeight="1"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</row>
    <row r="352" spans="4:22" ht="25.5" customHeight="1"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</row>
    <row r="353" spans="4:22" ht="25.5" customHeight="1"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</row>
    <row r="354" spans="4:22" ht="25.5" customHeight="1"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</row>
    <row r="355" spans="4:22" ht="25.5" customHeight="1"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</row>
    <row r="356" spans="4:22" ht="25.5" customHeight="1"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</row>
    <row r="357" spans="4:22" ht="25.5" customHeight="1"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</row>
    <row r="358" spans="4:22" ht="25.5" customHeight="1"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</row>
    <row r="359" spans="4:22" ht="25.5" customHeight="1"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</row>
    <row r="360" spans="4:22" ht="25.5" customHeight="1"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</row>
    <row r="361" spans="4:22" ht="25.5" customHeight="1"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</row>
    <row r="362" spans="4:22" ht="25.5" customHeight="1"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</row>
    <row r="363" spans="4:22" ht="25.5" customHeight="1"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</row>
    <row r="364" spans="4:22" ht="25.5" customHeight="1"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</row>
    <row r="365" spans="4:22" ht="25.5" customHeight="1"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</row>
    <row r="366" spans="4:22" ht="25.5" customHeight="1"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</row>
    <row r="367" spans="4:22" ht="25.5" customHeight="1"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</row>
    <row r="368" spans="4:22" ht="25.5" customHeight="1"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</row>
    <row r="369" spans="4:22" ht="25.5" customHeight="1"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</row>
    <row r="370" spans="4:22" ht="25.5" customHeight="1"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</row>
    <row r="371" spans="4:22" ht="25.5" customHeight="1"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</row>
    <row r="372" spans="4:22" ht="25.5" customHeight="1"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</row>
    <row r="373" spans="4:22" ht="25.5" customHeight="1"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</row>
    <row r="374" spans="4:22" ht="25.5" customHeight="1"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</row>
    <row r="375" spans="4:22" ht="25.5" customHeight="1"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</row>
    <row r="376" spans="4:22" ht="25.5" customHeight="1"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</row>
    <row r="377" spans="4:22" ht="25.5" customHeight="1"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</row>
  </sheetData>
  <mergeCells count="32"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R7:R8"/>
    <mergeCell ref="S7:S8"/>
    <mergeCell ref="U7:U8"/>
    <mergeCell ref="V7:V8"/>
  </mergeCells>
  <pageMargins left="0.15748031496062992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X377"/>
  <sheetViews>
    <sheetView workbookViewId="0">
      <pane ySplit="8" topLeftCell="A45" activePane="bottomLeft" state="frozen"/>
      <selection activeCell="D177" sqref="D177"/>
      <selection pane="bottomLeft" activeCell="A48" sqref="A48:IV48"/>
    </sheetView>
  </sheetViews>
  <sheetFormatPr defaultRowHeight="25.5" customHeight="1"/>
  <cols>
    <col min="1" max="1" width="1.140625" customWidth="1"/>
    <col min="2" max="2" width="28.7109375" customWidth="1"/>
    <col min="3" max="3" width="12.85546875" style="282" customWidth="1"/>
    <col min="4" max="4" width="10" style="33" customWidth="1"/>
    <col min="5" max="5" width="8.85546875" style="273" customWidth="1"/>
    <col min="6" max="6" width="8.85546875" style="138" customWidth="1"/>
    <col min="7" max="7" width="3.85546875" style="138" customWidth="1"/>
    <col min="8" max="8" width="8.85546875" style="138" customWidth="1"/>
    <col min="9" max="9" width="7.42578125" style="33" customWidth="1"/>
    <col min="10" max="10" width="5.140625" style="33" customWidth="1"/>
    <col min="11" max="11" width="7.7109375" style="33" customWidth="1"/>
    <col min="12" max="12" width="4.140625" style="33" customWidth="1"/>
    <col min="13" max="13" width="9.140625" style="138" customWidth="1"/>
    <col min="14" max="16" width="3.85546875" style="33" customWidth="1"/>
    <col min="17" max="17" width="4.28515625" style="33" customWidth="1"/>
    <col min="18" max="18" width="3.85546875" customWidth="1"/>
    <col min="19" max="20" width="7.85546875" style="168" customWidth="1"/>
    <col min="21" max="22" width="1.140625" customWidth="1"/>
    <col min="23" max="23" width="23.425781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390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28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65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80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9586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533200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197600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>
        <v>28939.279999999999</v>
      </c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/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2" t="s">
        <v>81</v>
      </c>
      <c r="C19" s="285">
        <v>344150</v>
      </c>
      <c r="D19" s="131">
        <v>323840</v>
      </c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6"/>
      <c r="C20" s="290"/>
      <c r="D20" s="195"/>
      <c r="E20" s="270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SUM(C10:C19)</f>
        <v>10086782</v>
      </c>
      <c r="D21" s="132">
        <f>SUM(D10:D19)</f>
        <v>1095805.28</v>
      </c>
      <c r="E21" s="268">
        <f t="shared" ref="E21:V21" si="0">SUM(E10:E19)</f>
        <v>0</v>
      </c>
      <c r="F21" s="137">
        <f t="shared" si="0"/>
        <v>0</v>
      </c>
      <c r="G21" s="132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1095805.28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v>1283280</v>
      </c>
      <c r="D27" s="131"/>
      <c r="E27" s="267">
        <v>104880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2417520</v>
      </c>
      <c r="D28" s="132">
        <f>SUM(D23:D27)</f>
        <v>0</v>
      </c>
      <c r="E28" s="268">
        <f>SUM(E23:E27)</f>
        <v>199400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199400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</f>
        <v>7021960</v>
      </c>
      <c r="D30" s="133"/>
      <c r="E30" s="269">
        <v>218620</v>
      </c>
      <c r="F30" s="136">
        <v>76170</v>
      </c>
      <c r="G30" s="136"/>
      <c r="H30" s="136">
        <v>72410</v>
      </c>
      <c r="I30" s="133"/>
      <c r="J30" s="133"/>
      <c r="K30" s="133"/>
      <c r="L30" s="133"/>
      <c r="M30" s="136">
        <v>107990</v>
      </c>
      <c r="N30" s="133"/>
      <c r="O30" s="133"/>
      <c r="P30" s="133"/>
      <c r="Q30" s="133"/>
      <c r="R30" s="217"/>
      <c r="S30" s="219"/>
      <c r="T30" s="219"/>
      <c r="U30" s="217"/>
      <c r="V30" s="217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136">
        <v>0</v>
      </c>
      <c r="G31" s="136"/>
      <c r="H31" s="136">
        <v>154260</v>
      </c>
      <c r="I31" s="133"/>
      <c r="J31" s="133"/>
      <c r="K31" s="133"/>
      <c r="L31" s="133"/>
      <c r="M31" s="136">
        <v>0</v>
      </c>
      <c r="N31" s="133"/>
      <c r="O31" s="133"/>
      <c r="P31" s="133"/>
      <c r="Q31" s="133"/>
      <c r="R31" s="217"/>
      <c r="S31" s="219"/>
      <c r="T31" s="219"/>
      <c r="U31" s="217"/>
      <c r="V31" s="217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136">
        <v>0</v>
      </c>
      <c r="G32" s="136"/>
      <c r="H32" s="136">
        <v>0</v>
      </c>
      <c r="I32" s="133"/>
      <c r="J32" s="133"/>
      <c r="K32" s="133"/>
      <c r="L32" s="133"/>
      <c r="M32" s="136">
        <v>0</v>
      </c>
      <c r="N32" s="133"/>
      <c r="O32" s="133"/>
      <c r="P32" s="133"/>
      <c r="Q32" s="133"/>
      <c r="R32" s="217"/>
      <c r="S32" s="219"/>
      <c r="T32" s="219"/>
      <c r="U32" s="217"/>
      <c r="V32" s="217"/>
    </row>
    <row r="33" spans="1:23" ht="25.5" customHeight="1">
      <c r="A33" s="20"/>
      <c r="B33" s="130" t="s">
        <v>8</v>
      </c>
      <c r="C33" s="32">
        <f>132000+42000+42000+42000</f>
        <v>258000</v>
      </c>
      <c r="D33" s="133"/>
      <c r="E33" s="269">
        <v>11000</v>
      </c>
      <c r="F33" s="136">
        <v>0</v>
      </c>
      <c r="G33" s="136"/>
      <c r="H33" s="136">
        <v>3500</v>
      </c>
      <c r="I33" s="133"/>
      <c r="J33" s="133"/>
      <c r="K33" s="133"/>
      <c r="L33" s="133"/>
      <c r="M33" s="136">
        <v>3500</v>
      </c>
      <c r="N33" s="133"/>
      <c r="O33" s="133"/>
      <c r="P33" s="133"/>
      <c r="Q33" s="133"/>
      <c r="R33" s="217"/>
      <c r="S33" s="219"/>
      <c r="T33" s="219"/>
      <c r="U33" s="217"/>
      <c r="V33" s="217"/>
    </row>
    <row r="34" spans="1:23" ht="25.5" customHeight="1">
      <c r="A34" s="9"/>
      <c r="B34" s="130" t="s">
        <v>186</v>
      </c>
      <c r="C34" s="31">
        <f>787000+589000+559480+350880</f>
        <v>2286360</v>
      </c>
      <c r="D34" s="131"/>
      <c r="E34" s="269">
        <v>64830</v>
      </c>
      <c r="F34" s="135">
        <v>37630</v>
      </c>
      <c r="G34" s="135"/>
      <c r="H34" s="135">
        <v>46910</v>
      </c>
      <c r="I34" s="131"/>
      <c r="J34" s="131"/>
      <c r="K34" s="131"/>
      <c r="L34" s="131"/>
      <c r="M34" s="135">
        <v>29240</v>
      </c>
      <c r="N34" s="131"/>
      <c r="O34" s="131"/>
      <c r="P34" s="131"/>
      <c r="Q34" s="131"/>
      <c r="R34" s="217"/>
      <c r="S34" s="219"/>
      <c r="T34" s="219"/>
      <c r="U34" s="217"/>
      <c r="V34" s="217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7">
        <v>0</v>
      </c>
      <c r="F35" s="135">
        <v>0</v>
      </c>
      <c r="G35" s="135"/>
      <c r="H35" s="135">
        <v>20970</v>
      </c>
      <c r="I35" s="131"/>
      <c r="J35" s="131"/>
      <c r="K35" s="131"/>
      <c r="L35" s="131"/>
      <c r="M35" s="135">
        <v>0</v>
      </c>
      <c r="N35" s="131"/>
      <c r="O35" s="131"/>
      <c r="P35" s="131"/>
      <c r="Q35" s="131"/>
      <c r="R35" s="217"/>
      <c r="S35" s="219"/>
      <c r="T35" s="219"/>
      <c r="U35" s="217"/>
      <c r="V35" s="217"/>
      <c r="W35" s="315"/>
    </row>
    <row r="36" spans="1:23" ht="25.5" customHeight="1">
      <c r="A36" s="9"/>
      <c r="B36" s="130" t="s">
        <v>91</v>
      </c>
      <c r="C36" s="288">
        <f>76000+72000+84000</f>
        <v>232000</v>
      </c>
      <c r="D36" s="131"/>
      <c r="E36" s="267">
        <v>6375</v>
      </c>
      <c r="F36" s="135">
        <v>3570</v>
      </c>
      <c r="G36" s="135"/>
      <c r="H36" s="135">
        <v>6500</v>
      </c>
      <c r="I36" s="131"/>
      <c r="J36" s="131"/>
      <c r="K36" s="131"/>
      <c r="L36" s="131"/>
      <c r="M36" s="135">
        <v>0</v>
      </c>
      <c r="N36" s="131"/>
      <c r="O36" s="131"/>
      <c r="P36" s="131"/>
      <c r="Q36" s="131"/>
      <c r="R36" s="217"/>
      <c r="S36" s="219"/>
      <c r="T36" s="219"/>
      <c r="U36" s="217"/>
      <c r="V36" s="217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70">
        <v>0</v>
      </c>
      <c r="F37" s="196">
        <v>0</v>
      </c>
      <c r="G37" s="196"/>
      <c r="H37" s="196">
        <v>1830</v>
      </c>
      <c r="I37" s="195"/>
      <c r="J37" s="195"/>
      <c r="K37" s="195"/>
      <c r="L37" s="195"/>
      <c r="M37" s="196">
        <v>0</v>
      </c>
      <c r="N37" s="195"/>
      <c r="O37" s="195"/>
      <c r="P37" s="195"/>
      <c r="Q37" s="195"/>
      <c r="R37" s="218"/>
      <c r="S37" s="220"/>
      <c r="T37" s="220"/>
      <c r="U37" s="218"/>
      <c r="V37" s="218"/>
      <c r="W37" s="315"/>
    </row>
    <row r="38" spans="1:23" ht="25.5" customHeight="1" thickBot="1">
      <c r="A38" s="46"/>
      <c r="B38" s="47" t="s">
        <v>5</v>
      </c>
      <c r="C38" s="289">
        <f>SUM(C30:C37)</f>
        <v>11982100</v>
      </c>
      <c r="D38" s="255">
        <f>SUM(D30:D37)</f>
        <v>0</v>
      </c>
      <c r="E38" s="254">
        <f>SUM(E30:E37)</f>
        <v>301265</v>
      </c>
      <c r="F38" s="254">
        <f>SUM(F30:F37)</f>
        <v>117370</v>
      </c>
      <c r="G38" s="255">
        <f t="shared" ref="G38:V38" si="2">SUM(G30:G37)</f>
        <v>0</v>
      </c>
      <c r="H38" s="254">
        <f>SUM(H30:H37)</f>
        <v>306380</v>
      </c>
      <c r="I38" s="255">
        <f t="shared" si="2"/>
        <v>0</v>
      </c>
      <c r="J38" s="255">
        <f t="shared" si="2"/>
        <v>0</v>
      </c>
      <c r="K38" s="255">
        <f t="shared" si="2"/>
        <v>0</v>
      </c>
      <c r="L38" s="255">
        <f t="shared" si="2"/>
        <v>0</v>
      </c>
      <c r="M38" s="254">
        <f t="shared" si="2"/>
        <v>140730</v>
      </c>
      <c r="N38" s="255">
        <f t="shared" si="2"/>
        <v>0</v>
      </c>
      <c r="O38" s="255">
        <f t="shared" si="2"/>
        <v>0</v>
      </c>
      <c r="P38" s="255">
        <f t="shared" si="2"/>
        <v>0</v>
      </c>
      <c r="Q38" s="255">
        <f t="shared" si="2"/>
        <v>0</v>
      </c>
      <c r="R38" s="255">
        <f t="shared" si="2"/>
        <v>0</v>
      </c>
      <c r="S38" s="255">
        <f t="shared" si="2"/>
        <v>0</v>
      </c>
      <c r="T38" s="255"/>
      <c r="U38" s="255">
        <f t="shared" si="2"/>
        <v>0</v>
      </c>
      <c r="V38" s="255">
        <f t="shared" si="2"/>
        <v>0</v>
      </c>
      <c r="W38" s="316">
        <f>SUM(D38:V38)</f>
        <v>865745</v>
      </c>
    </row>
    <row r="39" spans="1:23" ht="25.5" customHeight="1" thickTop="1">
      <c r="A39" s="5" t="s">
        <v>98</v>
      </c>
      <c r="B39" s="6"/>
      <c r="C39" s="190"/>
      <c r="D39" s="133"/>
      <c r="E39" s="269"/>
      <c r="F39" s="136"/>
      <c r="G39" s="136"/>
      <c r="H39" s="136"/>
      <c r="I39" s="133"/>
      <c r="J39" s="133"/>
      <c r="K39" s="133"/>
      <c r="L39" s="133"/>
      <c r="M39" s="136"/>
      <c r="N39" s="133"/>
      <c r="O39" s="133"/>
      <c r="P39" s="133"/>
      <c r="Q39" s="133"/>
      <c r="R39" s="217"/>
      <c r="S39" s="219"/>
      <c r="T39" s="259"/>
      <c r="U39" s="258"/>
      <c r="V39" s="258"/>
      <c r="W39" s="317"/>
    </row>
    <row r="40" spans="1:23" ht="25.5" customHeight="1">
      <c r="A40" s="9"/>
      <c r="B40" s="130" t="s">
        <v>93</v>
      </c>
      <c r="C40" s="216">
        <v>5000</v>
      </c>
      <c r="D40" s="133"/>
      <c r="E40" s="269"/>
      <c r="F40" s="136"/>
      <c r="G40" s="136"/>
      <c r="H40" s="136"/>
      <c r="I40" s="133"/>
      <c r="J40" s="133"/>
      <c r="K40" s="133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5"/>
    </row>
    <row r="41" spans="1:23" ht="25.5" customHeight="1">
      <c r="A41" s="9"/>
      <c r="B41" s="130" t="s">
        <v>205</v>
      </c>
      <c r="C41" s="285">
        <v>10000</v>
      </c>
      <c r="D41" s="131"/>
      <c r="E41" s="267"/>
      <c r="F41" s="135"/>
      <c r="G41" s="135"/>
      <c r="H41" s="135"/>
      <c r="I41" s="131"/>
      <c r="J41" s="131"/>
      <c r="K41" s="131"/>
      <c r="L41" s="131"/>
      <c r="M41" s="135"/>
      <c r="N41" s="131"/>
      <c r="O41" s="131"/>
      <c r="P41" s="131"/>
      <c r="Q41" s="131"/>
      <c r="R41" s="217"/>
      <c r="S41" s="219"/>
      <c r="T41" s="219"/>
      <c r="U41" s="217"/>
      <c r="V41" s="217"/>
      <c r="W41" s="315"/>
    </row>
    <row r="42" spans="1:23" ht="25.5" customHeight="1">
      <c r="A42" s="9"/>
      <c r="B42" s="130" t="s">
        <v>94</v>
      </c>
      <c r="C42" s="285">
        <v>10000</v>
      </c>
      <c r="D42" s="131"/>
      <c r="E42" s="267"/>
      <c r="F42" s="135"/>
      <c r="G42" s="135"/>
      <c r="H42" s="135"/>
      <c r="I42" s="131"/>
      <c r="J42" s="131"/>
      <c r="K42" s="131"/>
      <c r="L42" s="131"/>
      <c r="M42" s="135"/>
      <c r="N42" s="131"/>
      <c r="O42" s="131"/>
      <c r="P42" s="131"/>
      <c r="Q42" s="131"/>
      <c r="R42" s="217"/>
      <c r="S42" s="219"/>
      <c r="T42" s="219"/>
      <c r="U42" s="217"/>
      <c r="V42" s="217"/>
      <c r="W42" s="311"/>
    </row>
    <row r="43" spans="1:23" ht="25.5" customHeight="1">
      <c r="A43" s="9"/>
      <c r="B43" s="130" t="s">
        <v>95</v>
      </c>
      <c r="C43" s="192">
        <v>5000</v>
      </c>
      <c r="D43" s="131"/>
      <c r="E43" s="267"/>
      <c r="F43" s="135"/>
      <c r="G43" s="135"/>
      <c r="H43" s="135"/>
      <c r="I43" s="131"/>
      <c r="J43" s="131"/>
      <c r="K43" s="131"/>
      <c r="L43" s="131"/>
      <c r="M43" s="135"/>
      <c r="N43" s="131"/>
      <c r="O43" s="131"/>
      <c r="P43" s="131"/>
      <c r="Q43" s="131"/>
      <c r="R43" s="217"/>
      <c r="S43" s="219"/>
      <c r="T43" s="219"/>
      <c r="U43" s="217"/>
      <c r="V43" s="217"/>
    </row>
    <row r="44" spans="1:23" ht="25.5" customHeight="1">
      <c r="A44" s="9"/>
      <c r="B44" s="130" t="s">
        <v>96</v>
      </c>
      <c r="C44" s="192">
        <v>5000</v>
      </c>
      <c r="D44" s="131"/>
      <c r="E44" s="267"/>
      <c r="F44" s="135"/>
      <c r="G44" s="135"/>
      <c r="H44" s="135"/>
      <c r="I44" s="131"/>
      <c r="J44" s="131"/>
      <c r="K44" s="131"/>
      <c r="L44" s="131"/>
      <c r="M44" s="135"/>
      <c r="N44" s="131"/>
      <c r="O44" s="131"/>
      <c r="P44" s="131"/>
      <c r="Q44" s="131"/>
      <c r="R44" s="217"/>
      <c r="S44" s="219"/>
      <c r="T44" s="219"/>
      <c r="U44" s="217"/>
      <c r="V44" s="217"/>
    </row>
    <row r="45" spans="1:23" ht="25.5" customHeight="1">
      <c r="A45" s="9"/>
      <c r="B45" s="130" t="s">
        <v>10</v>
      </c>
      <c r="C45" s="216">
        <f>144000+36000+78000+78000</f>
        <v>336000</v>
      </c>
      <c r="D45" s="133"/>
      <c r="E45" s="267">
        <v>10000</v>
      </c>
      <c r="F45" s="135">
        <v>3000</v>
      </c>
      <c r="G45" s="136"/>
      <c r="H45" s="135">
        <v>6500</v>
      </c>
      <c r="I45" s="133"/>
      <c r="J45" s="133"/>
      <c r="K45" s="133"/>
      <c r="L45" s="133"/>
      <c r="M45" s="135">
        <v>6500</v>
      </c>
      <c r="N45" s="133"/>
      <c r="O45" s="133"/>
      <c r="P45" s="133"/>
      <c r="Q45" s="133"/>
      <c r="R45" s="217"/>
      <c r="S45" s="219"/>
      <c r="T45" s="219"/>
      <c r="U45" s="217"/>
      <c r="V45" s="217"/>
    </row>
    <row r="46" spans="1:23" ht="25.5" customHeight="1">
      <c r="A46" s="9"/>
      <c r="B46" s="130" t="s">
        <v>9</v>
      </c>
      <c r="C46" s="216">
        <f>25000+10000+30000+20000</f>
        <v>85000</v>
      </c>
      <c r="D46" s="131"/>
      <c r="E46" s="267"/>
      <c r="F46" s="135"/>
      <c r="G46" s="135"/>
      <c r="H46" s="135"/>
      <c r="I46" s="131"/>
      <c r="J46" s="131"/>
      <c r="K46" s="131"/>
      <c r="L46" s="131"/>
      <c r="M46" s="135"/>
      <c r="N46" s="131"/>
      <c r="O46" s="131"/>
      <c r="P46" s="131"/>
      <c r="Q46" s="131"/>
      <c r="R46" s="217"/>
      <c r="S46" s="219"/>
      <c r="T46" s="219"/>
      <c r="U46" s="217"/>
      <c r="V46" s="217"/>
    </row>
    <row r="47" spans="1:23" ht="25.5" customHeight="1">
      <c r="A47" s="197"/>
      <c r="B47" s="198" t="s">
        <v>241</v>
      </c>
      <c r="C47" s="286">
        <v>44200</v>
      </c>
      <c r="D47" s="131"/>
      <c r="E47" s="267"/>
      <c r="F47" s="135"/>
      <c r="G47" s="135"/>
      <c r="H47" s="135"/>
      <c r="I47" s="131"/>
      <c r="J47" s="131"/>
      <c r="K47" s="131"/>
      <c r="L47" s="131"/>
      <c r="M47" s="135"/>
      <c r="N47" s="131"/>
      <c r="O47" s="131"/>
      <c r="P47" s="131"/>
      <c r="Q47" s="131"/>
      <c r="R47" s="217"/>
      <c r="S47" s="219"/>
      <c r="T47" s="219"/>
      <c r="U47" s="217"/>
      <c r="V47" s="217"/>
    </row>
    <row r="48" spans="1:23" ht="25.5" customHeight="1">
      <c r="A48" s="9"/>
      <c r="B48" s="6"/>
      <c r="C48" s="290"/>
      <c r="D48" s="195"/>
      <c r="E48" s="270"/>
      <c r="F48" s="196"/>
      <c r="G48" s="196"/>
      <c r="H48" s="196"/>
      <c r="I48" s="195"/>
      <c r="J48" s="195"/>
      <c r="K48" s="195"/>
      <c r="L48" s="195"/>
      <c r="M48" s="196"/>
      <c r="N48" s="195"/>
      <c r="O48" s="195"/>
      <c r="P48" s="195"/>
      <c r="Q48" s="195"/>
      <c r="R48" s="218"/>
      <c r="S48" s="220"/>
      <c r="T48" s="220"/>
      <c r="U48" s="218"/>
      <c r="V48" s="218"/>
    </row>
    <row r="49" spans="1:23" ht="25.5" customHeight="1" thickBot="1">
      <c r="A49" s="46"/>
      <c r="B49" s="47" t="s">
        <v>5</v>
      </c>
      <c r="C49" s="289">
        <f>SUM(C40:C47)</f>
        <v>500200</v>
      </c>
      <c r="D49" s="255">
        <f>SUM(D40:D47)</f>
        <v>0</v>
      </c>
      <c r="E49" s="254">
        <f t="shared" ref="E49:V49" si="3">SUM(E40:E47)</f>
        <v>10000</v>
      </c>
      <c r="F49" s="254">
        <f t="shared" si="3"/>
        <v>3000</v>
      </c>
      <c r="G49" s="255">
        <f t="shared" si="3"/>
        <v>0</v>
      </c>
      <c r="H49" s="254">
        <f t="shared" si="3"/>
        <v>6500</v>
      </c>
      <c r="I49" s="255">
        <f t="shared" si="3"/>
        <v>0</v>
      </c>
      <c r="J49" s="255">
        <f t="shared" si="3"/>
        <v>0</v>
      </c>
      <c r="K49" s="255">
        <f t="shared" si="3"/>
        <v>0</v>
      </c>
      <c r="L49" s="255">
        <f t="shared" si="3"/>
        <v>0</v>
      </c>
      <c r="M49" s="254">
        <f t="shared" si="3"/>
        <v>6500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26000</v>
      </c>
    </row>
    <row r="50" spans="1:23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3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3" ht="25.5" customHeight="1">
      <c r="A51" s="5"/>
      <c r="B51" s="130" t="s">
        <v>100</v>
      </c>
      <c r="C51" s="281">
        <f>15000+7000+20000+15000</f>
        <v>57000</v>
      </c>
      <c r="D51" s="133"/>
      <c r="E51" s="269"/>
      <c r="F51" s="136"/>
      <c r="G51" s="136"/>
      <c r="H51" s="136"/>
      <c r="I51" s="133"/>
      <c r="J51" s="133"/>
      <c r="K51" s="133"/>
      <c r="L51" s="133"/>
      <c r="M51" s="136"/>
      <c r="N51" s="133"/>
      <c r="O51" s="133"/>
      <c r="P51" s="133"/>
      <c r="Q51" s="133"/>
      <c r="R51" s="217"/>
      <c r="S51" s="219"/>
      <c r="T51" s="259"/>
      <c r="U51" s="258"/>
      <c r="V51" s="258"/>
    </row>
    <row r="52" spans="1:23" ht="25.5" customHeight="1">
      <c r="A52" s="5"/>
      <c r="B52" s="130" t="s">
        <v>226</v>
      </c>
      <c r="C52" s="281">
        <f>1044000+124000+384000+296000</f>
        <v>1848000</v>
      </c>
      <c r="D52" s="133"/>
      <c r="E52" s="269">
        <v>133033</v>
      </c>
      <c r="F52" s="136">
        <v>15500</v>
      </c>
      <c r="G52" s="136"/>
      <c r="H52" s="136">
        <v>52000</v>
      </c>
      <c r="I52" s="133"/>
      <c r="J52" s="133"/>
      <c r="K52" s="133"/>
      <c r="L52" s="133"/>
      <c r="M52" s="136">
        <v>32166</v>
      </c>
      <c r="N52" s="133"/>
      <c r="O52" s="133"/>
      <c r="P52" s="133"/>
      <c r="Q52" s="133"/>
      <c r="R52" s="217"/>
      <c r="S52" s="219"/>
      <c r="T52" s="219"/>
      <c r="U52" s="217"/>
      <c r="V52" s="217"/>
    </row>
    <row r="53" spans="1:23" ht="25.5" customHeight="1">
      <c r="A53" s="5"/>
      <c r="B53" s="130" t="s">
        <v>223</v>
      </c>
      <c r="C53" s="281">
        <v>200000</v>
      </c>
      <c r="D53" s="133"/>
      <c r="E53" s="269"/>
      <c r="F53" s="136"/>
      <c r="G53" s="136"/>
      <c r="H53" s="136"/>
      <c r="I53" s="133"/>
      <c r="J53" s="133"/>
      <c r="K53" s="133"/>
      <c r="L53" s="133"/>
      <c r="M53" s="136"/>
      <c r="N53" s="133"/>
      <c r="O53" s="133"/>
      <c r="P53" s="133"/>
      <c r="Q53" s="133"/>
      <c r="R53" s="217"/>
      <c r="S53" s="219"/>
      <c r="T53" s="219"/>
      <c r="U53" s="217"/>
      <c r="V53" s="217"/>
    </row>
    <row r="54" spans="1:23" ht="25.5" customHeight="1">
      <c r="A54" s="5"/>
      <c r="B54" s="130" t="s">
        <v>224</v>
      </c>
      <c r="C54" s="281">
        <v>20000</v>
      </c>
      <c r="D54" s="133"/>
      <c r="E54" s="269"/>
      <c r="F54" s="136"/>
      <c r="G54" s="136"/>
      <c r="H54" s="136"/>
      <c r="I54" s="133"/>
      <c r="J54" s="133"/>
      <c r="K54" s="133"/>
      <c r="L54" s="133"/>
      <c r="M54" s="136"/>
      <c r="N54" s="133"/>
      <c r="O54" s="133"/>
      <c r="P54" s="133"/>
      <c r="Q54" s="133"/>
      <c r="R54" s="217"/>
      <c r="S54" s="219"/>
      <c r="T54" s="219"/>
      <c r="U54" s="217"/>
      <c r="V54" s="217"/>
    </row>
    <row r="55" spans="1:23" ht="25.5" customHeight="1">
      <c r="A55" s="5"/>
      <c r="B55" s="130" t="s">
        <v>225</v>
      </c>
      <c r="C55" s="281">
        <v>10000</v>
      </c>
      <c r="D55" s="133"/>
      <c r="E55" s="269">
        <v>2920</v>
      </c>
      <c r="F55" s="136"/>
      <c r="G55" s="136"/>
      <c r="H55" s="136"/>
      <c r="I55" s="133"/>
      <c r="J55" s="133"/>
      <c r="K55" s="133"/>
      <c r="L55" s="133"/>
      <c r="M55" s="136"/>
      <c r="N55" s="133"/>
      <c r="O55" s="133"/>
      <c r="P55" s="133"/>
      <c r="Q55" s="133"/>
      <c r="R55" s="217"/>
      <c r="S55" s="219"/>
      <c r="T55" s="219"/>
      <c r="U55" s="217"/>
      <c r="V55" s="217"/>
    </row>
    <row r="56" spans="1:23" ht="25.5" customHeight="1">
      <c r="A56" s="5"/>
      <c r="B56" s="130" t="s">
        <v>227</v>
      </c>
      <c r="C56" s="281">
        <v>40000</v>
      </c>
      <c r="D56" s="133"/>
      <c r="E56" s="269"/>
      <c r="F56" s="136"/>
      <c r="G56" s="136"/>
      <c r="H56" s="136"/>
      <c r="I56" s="133"/>
      <c r="J56" s="133"/>
      <c r="K56" s="133"/>
      <c r="L56" s="133"/>
      <c r="M56" s="136"/>
      <c r="N56" s="133"/>
      <c r="O56" s="133"/>
      <c r="P56" s="133"/>
      <c r="Q56" s="133"/>
      <c r="R56" s="217"/>
      <c r="S56" s="219"/>
      <c r="T56" s="219"/>
      <c r="U56" s="217"/>
      <c r="V56" s="217"/>
    </row>
    <row r="57" spans="1:23" ht="25.5" customHeight="1">
      <c r="A57" s="5"/>
      <c r="B57" s="130" t="s">
        <v>228</v>
      </c>
      <c r="C57" s="281">
        <v>9000</v>
      </c>
      <c r="D57" s="133"/>
      <c r="E57" s="269"/>
      <c r="F57" s="136"/>
      <c r="G57" s="136"/>
      <c r="H57" s="136"/>
      <c r="I57" s="133"/>
      <c r="J57" s="133"/>
      <c r="K57" s="133"/>
      <c r="L57" s="133"/>
      <c r="M57" s="136"/>
      <c r="N57" s="133"/>
      <c r="O57" s="133"/>
      <c r="P57" s="133"/>
      <c r="Q57" s="133"/>
      <c r="R57" s="217"/>
      <c r="S57" s="219"/>
      <c r="T57" s="219"/>
      <c r="U57" s="217"/>
      <c r="V57" s="217"/>
    </row>
    <row r="58" spans="1:23" ht="25.5" customHeight="1">
      <c r="A58" s="5"/>
      <c r="B58" s="130" t="s">
        <v>11</v>
      </c>
      <c r="C58" s="281">
        <v>10000</v>
      </c>
      <c r="D58" s="133"/>
      <c r="E58" s="269">
        <v>1902</v>
      </c>
      <c r="F58" s="136"/>
      <c r="G58" s="136"/>
      <c r="H58" s="136"/>
      <c r="I58" s="133"/>
      <c r="J58" s="133"/>
      <c r="K58" s="133"/>
      <c r="L58" s="133"/>
      <c r="M58" s="136"/>
      <c r="N58" s="133"/>
      <c r="O58" s="133"/>
      <c r="P58" s="133"/>
      <c r="Q58" s="133"/>
      <c r="R58" s="217"/>
      <c r="S58" s="219"/>
      <c r="T58" s="219"/>
      <c r="U58" s="217"/>
      <c r="V58" s="217"/>
    </row>
    <row r="59" spans="1:23" ht="25.5" customHeight="1">
      <c r="A59" s="5"/>
      <c r="B59" s="130" t="s">
        <v>229</v>
      </c>
      <c r="C59" s="281">
        <v>10000</v>
      </c>
      <c r="D59" s="133"/>
      <c r="E59" s="269"/>
      <c r="F59" s="136"/>
      <c r="G59" s="136"/>
      <c r="H59" s="136"/>
      <c r="I59" s="133"/>
      <c r="J59" s="133"/>
      <c r="K59" s="133"/>
      <c r="L59" s="133"/>
      <c r="M59" s="136"/>
      <c r="N59" s="133"/>
      <c r="O59" s="133"/>
      <c r="P59" s="133"/>
      <c r="Q59" s="133"/>
      <c r="R59" s="217"/>
      <c r="S59" s="219"/>
      <c r="T59" s="219"/>
      <c r="U59" s="217"/>
      <c r="V59" s="217"/>
    </row>
    <row r="60" spans="1:23" ht="25.5" customHeight="1">
      <c r="A60" s="5"/>
      <c r="B60" s="130" t="s">
        <v>230</v>
      </c>
      <c r="C60" s="281">
        <v>20000</v>
      </c>
      <c r="D60" s="133"/>
      <c r="E60" s="269"/>
      <c r="F60" s="136"/>
      <c r="G60" s="136"/>
      <c r="H60" s="136"/>
      <c r="I60" s="133"/>
      <c r="J60" s="133"/>
      <c r="K60" s="133"/>
      <c r="L60" s="133"/>
      <c r="M60" s="136"/>
      <c r="N60" s="133"/>
      <c r="O60" s="133"/>
      <c r="P60" s="133"/>
      <c r="Q60" s="133"/>
      <c r="R60" s="217"/>
      <c r="S60" s="219"/>
      <c r="T60" s="219"/>
      <c r="U60" s="217"/>
      <c r="V60" s="217"/>
    </row>
    <row r="61" spans="1:23" ht="25.5" customHeight="1">
      <c r="A61" s="9"/>
      <c r="B61" s="130" t="s">
        <v>50</v>
      </c>
      <c r="C61" s="280">
        <v>10000</v>
      </c>
      <c r="D61" s="133"/>
      <c r="E61" s="269"/>
      <c r="F61" s="136"/>
      <c r="G61" s="136"/>
      <c r="H61" s="136"/>
      <c r="I61" s="133"/>
      <c r="J61" s="133"/>
      <c r="K61" s="133"/>
      <c r="L61" s="133"/>
      <c r="M61" s="136"/>
      <c r="N61" s="133"/>
      <c r="O61" s="133"/>
      <c r="P61" s="133"/>
      <c r="Q61" s="133"/>
      <c r="R61" s="217"/>
      <c r="S61" s="219"/>
      <c r="T61" s="219"/>
      <c r="U61" s="217"/>
      <c r="V61" s="217"/>
    </row>
    <row r="62" spans="1:23" ht="25.5" customHeight="1">
      <c r="A62" s="9"/>
      <c r="B62" s="130" t="s">
        <v>103</v>
      </c>
      <c r="C62" s="280">
        <v>10000</v>
      </c>
      <c r="D62" s="131"/>
      <c r="E62" s="267"/>
      <c r="F62" s="135"/>
      <c r="G62" s="135"/>
      <c r="H62" s="135"/>
      <c r="I62" s="131"/>
      <c r="J62" s="131"/>
      <c r="K62" s="131"/>
      <c r="L62" s="131"/>
      <c r="M62" s="135"/>
      <c r="N62" s="131"/>
      <c r="O62" s="131"/>
      <c r="P62" s="131"/>
      <c r="Q62" s="131"/>
      <c r="R62" s="217"/>
      <c r="S62" s="219"/>
      <c r="T62" s="219"/>
      <c r="U62" s="217"/>
      <c r="V62" s="217"/>
    </row>
    <row r="63" spans="1:23" ht="25.5" customHeight="1">
      <c r="A63" s="9"/>
      <c r="B63" s="187" t="s">
        <v>106</v>
      </c>
      <c r="C63" s="283">
        <f>200000+30000+30000+80000</f>
        <v>340000</v>
      </c>
      <c r="D63" s="131"/>
      <c r="E63" s="267">
        <v>19188</v>
      </c>
      <c r="F63" s="135"/>
      <c r="G63" s="135"/>
      <c r="H63" s="135">
        <v>42740</v>
      </c>
      <c r="I63" s="131"/>
      <c r="J63" s="131"/>
      <c r="K63" s="131"/>
      <c r="L63" s="131"/>
      <c r="M63" s="135"/>
      <c r="N63" s="131"/>
      <c r="O63" s="131"/>
      <c r="P63" s="131"/>
      <c r="Q63" s="131"/>
      <c r="R63" s="217"/>
      <c r="S63" s="219"/>
      <c r="T63" s="219"/>
      <c r="U63" s="217"/>
      <c r="V63" s="217"/>
    </row>
    <row r="64" spans="1:23" ht="25.5" customHeight="1">
      <c r="A64" s="9"/>
      <c r="B64" s="187" t="s">
        <v>231</v>
      </c>
      <c r="C64" s="283">
        <v>5000</v>
      </c>
      <c r="D64" s="131"/>
      <c r="E64" s="267"/>
      <c r="F64" s="135"/>
      <c r="G64" s="135"/>
      <c r="H64" s="135"/>
      <c r="I64" s="131"/>
      <c r="J64" s="131"/>
      <c r="K64" s="131"/>
      <c r="L64" s="131"/>
      <c r="M64" s="135"/>
      <c r="N64" s="131"/>
      <c r="O64" s="131"/>
      <c r="P64" s="131"/>
      <c r="Q64" s="131"/>
      <c r="R64" s="217"/>
      <c r="S64" s="219"/>
      <c r="T64" s="219"/>
      <c r="U64" s="217"/>
      <c r="V64" s="217"/>
    </row>
    <row r="65" spans="1:22" ht="25.5" customHeight="1">
      <c r="A65" s="9"/>
      <c r="B65" s="187" t="s">
        <v>204</v>
      </c>
      <c r="C65" s="283">
        <v>5000</v>
      </c>
      <c r="D65" s="131"/>
      <c r="E65" s="267"/>
      <c r="F65" s="135"/>
      <c r="G65" s="135"/>
      <c r="H65" s="135"/>
      <c r="I65" s="131"/>
      <c r="J65" s="131"/>
      <c r="K65" s="131"/>
      <c r="L65" s="131"/>
      <c r="M65" s="135"/>
      <c r="N65" s="131"/>
      <c r="O65" s="131"/>
      <c r="P65" s="131"/>
      <c r="Q65" s="131"/>
      <c r="R65" s="217"/>
      <c r="S65" s="219"/>
      <c r="T65" s="219"/>
      <c r="U65" s="217"/>
      <c r="V65" s="217"/>
    </row>
    <row r="66" spans="1:22" ht="25.5" customHeight="1">
      <c r="A66" s="9"/>
      <c r="B66" s="187" t="s">
        <v>232</v>
      </c>
      <c r="C66" s="283">
        <v>120000</v>
      </c>
      <c r="D66" s="131"/>
      <c r="E66" s="267"/>
      <c r="F66" s="135"/>
      <c r="G66" s="135"/>
      <c r="H66" s="135"/>
      <c r="I66" s="131"/>
      <c r="J66" s="131"/>
      <c r="K66" s="131"/>
      <c r="L66" s="131"/>
      <c r="M66" s="135"/>
      <c r="N66" s="131"/>
      <c r="O66" s="131"/>
      <c r="P66" s="131"/>
      <c r="Q66" s="131"/>
      <c r="R66" s="217"/>
      <c r="S66" s="219"/>
      <c r="T66" s="219"/>
      <c r="U66" s="217"/>
      <c r="V66" s="217"/>
    </row>
    <row r="67" spans="1:22" ht="25.5" customHeight="1">
      <c r="A67" s="9"/>
      <c r="B67" s="187" t="s">
        <v>233</v>
      </c>
      <c r="C67" s="283">
        <v>125000</v>
      </c>
      <c r="D67" s="131"/>
      <c r="E67" s="267"/>
      <c r="F67" s="135"/>
      <c r="G67" s="135"/>
      <c r="H67" s="135"/>
      <c r="I67" s="131"/>
      <c r="J67" s="131"/>
      <c r="K67" s="131"/>
      <c r="L67" s="131"/>
      <c r="M67" s="135"/>
      <c r="N67" s="131"/>
      <c r="O67" s="131"/>
      <c r="P67" s="131"/>
      <c r="Q67" s="131"/>
      <c r="R67" s="217"/>
      <c r="S67" s="219"/>
      <c r="T67" s="219"/>
      <c r="U67" s="217"/>
      <c r="V67" s="217"/>
    </row>
    <row r="68" spans="1:22" ht="25.5" customHeight="1">
      <c r="A68" s="9"/>
      <c r="B68" s="187" t="s">
        <v>234</v>
      </c>
      <c r="C68" s="283">
        <v>5000</v>
      </c>
      <c r="D68" s="131"/>
      <c r="E68" s="267"/>
      <c r="F68" s="135"/>
      <c r="G68" s="135"/>
      <c r="H68" s="135"/>
      <c r="I68" s="131"/>
      <c r="J68" s="131"/>
      <c r="K68" s="131"/>
      <c r="L68" s="131"/>
      <c r="M68" s="135"/>
      <c r="N68" s="131"/>
      <c r="O68" s="131"/>
      <c r="P68" s="131"/>
      <c r="Q68" s="131"/>
      <c r="R68" s="217"/>
      <c r="S68" s="219"/>
      <c r="T68" s="219"/>
      <c r="U68" s="217"/>
      <c r="V68" s="217"/>
    </row>
    <row r="69" spans="1:22" ht="25.5" customHeight="1">
      <c r="A69" s="9"/>
      <c r="B69" s="187" t="s">
        <v>235</v>
      </c>
      <c r="C69" s="283">
        <v>90000</v>
      </c>
      <c r="D69" s="131"/>
      <c r="E69" s="267"/>
      <c r="F69" s="135"/>
      <c r="G69" s="135"/>
      <c r="H69" s="135"/>
      <c r="I69" s="131"/>
      <c r="J69" s="131"/>
      <c r="K69" s="131"/>
      <c r="L69" s="131"/>
      <c r="M69" s="135"/>
      <c r="N69" s="131"/>
      <c r="O69" s="131"/>
      <c r="P69" s="131"/>
      <c r="Q69" s="131"/>
      <c r="R69" s="217"/>
      <c r="S69" s="219"/>
      <c r="T69" s="219"/>
      <c r="U69" s="217"/>
      <c r="V69" s="217"/>
    </row>
    <row r="70" spans="1:22" ht="25.5" customHeight="1">
      <c r="A70" s="9"/>
      <c r="B70" s="187" t="s">
        <v>236</v>
      </c>
      <c r="C70" s="283">
        <v>5000</v>
      </c>
      <c r="D70" s="131"/>
      <c r="E70" s="267"/>
      <c r="F70" s="135"/>
      <c r="G70" s="135"/>
      <c r="H70" s="135"/>
      <c r="I70" s="131"/>
      <c r="J70" s="131"/>
      <c r="K70" s="131"/>
      <c r="L70" s="131"/>
      <c r="M70" s="135"/>
      <c r="N70" s="131"/>
      <c r="O70" s="131"/>
      <c r="P70" s="131"/>
      <c r="Q70" s="131"/>
      <c r="R70" s="217"/>
      <c r="S70" s="219"/>
      <c r="T70" s="219"/>
      <c r="U70" s="217"/>
      <c r="V70" s="217"/>
    </row>
    <row r="71" spans="1:22" ht="25.5" customHeight="1">
      <c r="A71" s="9"/>
      <c r="B71" s="187" t="s">
        <v>237</v>
      </c>
      <c r="C71" s="283">
        <v>5000</v>
      </c>
      <c r="D71" s="131"/>
      <c r="E71" s="267"/>
      <c r="F71" s="135"/>
      <c r="G71" s="135"/>
      <c r="H71" s="135"/>
      <c r="I71" s="131"/>
      <c r="J71" s="131"/>
      <c r="K71" s="131"/>
      <c r="L71" s="131"/>
      <c r="M71" s="135"/>
      <c r="N71" s="131"/>
      <c r="O71" s="131"/>
      <c r="P71" s="131"/>
      <c r="Q71" s="131"/>
      <c r="R71" s="217"/>
      <c r="S71" s="219"/>
      <c r="T71" s="219"/>
      <c r="U71" s="217"/>
      <c r="V71" s="217"/>
    </row>
    <row r="72" spans="1:22" ht="25.5" customHeight="1">
      <c r="A72" s="165"/>
      <c r="B72" s="226" t="s">
        <v>277</v>
      </c>
      <c r="C72" s="279">
        <v>5000</v>
      </c>
      <c r="D72" s="131"/>
      <c r="E72" s="267"/>
      <c r="F72" s="135"/>
      <c r="G72" s="135"/>
      <c r="H72" s="135"/>
      <c r="I72" s="131"/>
      <c r="J72" s="131"/>
      <c r="K72" s="131"/>
      <c r="L72" s="131"/>
      <c r="M72" s="135"/>
      <c r="N72" s="131"/>
      <c r="O72" s="131"/>
      <c r="P72" s="131"/>
      <c r="Q72" s="131"/>
      <c r="R72" s="217"/>
      <c r="S72" s="219"/>
      <c r="T72" s="219"/>
      <c r="U72" s="217"/>
      <c r="V72" s="217"/>
    </row>
    <row r="73" spans="1:22" ht="25.5" customHeight="1">
      <c r="A73" s="165"/>
      <c r="B73" s="226" t="s">
        <v>107</v>
      </c>
      <c r="C73" s="279">
        <v>10000</v>
      </c>
      <c r="D73" s="131"/>
      <c r="E73" s="267"/>
      <c r="F73" s="135"/>
      <c r="G73" s="135"/>
      <c r="H73" s="135"/>
      <c r="I73" s="131"/>
      <c r="J73" s="131"/>
      <c r="K73" s="131"/>
      <c r="L73" s="131"/>
      <c r="M73" s="135"/>
      <c r="N73" s="131"/>
      <c r="O73" s="131"/>
      <c r="P73" s="131"/>
      <c r="Q73" s="131"/>
      <c r="R73" s="217"/>
      <c r="S73" s="219"/>
      <c r="T73" s="219"/>
      <c r="U73" s="217"/>
      <c r="V73" s="217"/>
    </row>
    <row r="74" spans="1:22" ht="25.5" customHeight="1">
      <c r="A74" s="9"/>
      <c r="B74" s="226" t="s">
        <v>278</v>
      </c>
      <c r="C74" s="279">
        <v>10000</v>
      </c>
      <c r="D74" s="195"/>
      <c r="E74" s="270"/>
      <c r="F74" s="196"/>
      <c r="G74" s="196"/>
      <c r="H74" s="196"/>
      <c r="I74" s="195"/>
      <c r="J74" s="195"/>
      <c r="K74" s="195"/>
      <c r="L74" s="195"/>
      <c r="M74" s="196"/>
      <c r="N74" s="195"/>
      <c r="O74" s="195"/>
      <c r="P74" s="195"/>
      <c r="Q74" s="195"/>
      <c r="R74" s="217"/>
      <c r="S74" s="219"/>
      <c r="T74" s="220"/>
      <c r="U74" s="218"/>
      <c r="V74" s="218"/>
    </row>
    <row r="75" spans="1:22" ht="25.5" customHeight="1">
      <c r="A75" s="165"/>
      <c r="B75" s="226" t="s">
        <v>279</v>
      </c>
      <c r="C75" s="279">
        <v>10000</v>
      </c>
      <c r="D75" s="195"/>
      <c r="E75" s="270"/>
      <c r="F75" s="196"/>
      <c r="G75" s="196"/>
      <c r="H75" s="196"/>
      <c r="I75" s="195"/>
      <c r="J75" s="195"/>
      <c r="K75" s="195"/>
      <c r="L75" s="195"/>
      <c r="M75" s="196"/>
      <c r="N75" s="195"/>
      <c r="O75" s="195"/>
      <c r="P75" s="195"/>
      <c r="Q75" s="195"/>
      <c r="R75" s="218"/>
      <c r="S75" s="220"/>
      <c r="T75" s="220"/>
      <c r="U75" s="218"/>
      <c r="V75" s="218"/>
    </row>
    <row r="76" spans="1:22" ht="25.5" customHeight="1">
      <c r="A76" s="9"/>
      <c r="B76" s="226" t="s">
        <v>280</v>
      </c>
      <c r="C76" s="279">
        <v>10000</v>
      </c>
      <c r="D76" s="195"/>
      <c r="E76" s="270"/>
      <c r="F76" s="196"/>
      <c r="G76" s="196"/>
      <c r="H76" s="196"/>
      <c r="I76" s="195"/>
      <c r="J76" s="195"/>
      <c r="K76" s="195"/>
      <c r="L76" s="195"/>
      <c r="M76" s="196"/>
      <c r="N76" s="195"/>
      <c r="O76" s="195"/>
      <c r="P76" s="195"/>
      <c r="Q76" s="195"/>
      <c r="R76" s="218"/>
      <c r="S76" s="220"/>
      <c r="T76" s="220"/>
      <c r="U76" s="218"/>
      <c r="V76" s="218"/>
    </row>
    <row r="77" spans="1:22" ht="25.5" customHeight="1">
      <c r="A77" s="9"/>
      <c r="B77" s="226" t="s">
        <v>281</v>
      </c>
      <c r="C77" s="279">
        <v>5000</v>
      </c>
      <c r="D77" s="195"/>
      <c r="E77" s="270"/>
      <c r="F77" s="196"/>
      <c r="G77" s="196"/>
      <c r="H77" s="196"/>
      <c r="I77" s="195"/>
      <c r="J77" s="195"/>
      <c r="K77" s="195"/>
      <c r="L77" s="195"/>
      <c r="M77" s="196"/>
      <c r="N77" s="195"/>
      <c r="O77" s="195"/>
      <c r="P77" s="195"/>
      <c r="Q77" s="195"/>
      <c r="R77" s="218"/>
      <c r="S77" s="220"/>
      <c r="T77" s="220"/>
      <c r="U77" s="218"/>
      <c r="V77" s="218"/>
    </row>
    <row r="78" spans="1:22" ht="25.5" customHeight="1">
      <c r="A78" s="9"/>
      <c r="B78" s="226" t="s">
        <v>282</v>
      </c>
      <c r="C78" s="279">
        <v>5000</v>
      </c>
      <c r="D78" s="195"/>
      <c r="E78" s="270"/>
      <c r="F78" s="196"/>
      <c r="G78" s="196"/>
      <c r="H78" s="196"/>
      <c r="I78" s="195"/>
      <c r="J78" s="195"/>
      <c r="K78" s="195"/>
      <c r="L78" s="195"/>
      <c r="M78" s="196"/>
      <c r="N78" s="195"/>
      <c r="O78" s="195"/>
      <c r="P78" s="195"/>
      <c r="Q78" s="195"/>
      <c r="R78" s="218"/>
      <c r="S78" s="220"/>
      <c r="T78" s="220"/>
      <c r="U78" s="218"/>
      <c r="V78" s="218"/>
    </row>
    <row r="79" spans="1:22" ht="25.5" customHeight="1">
      <c r="A79" s="9"/>
      <c r="B79" s="226" t="s">
        <v>238</v>
      </c>
      <c r="C79" s="279">
        <f>70000+40000+10000+20000</f>
        <v>140000</v>
      </c>
      <c r="D79" s="195"/>
      <c r="E79" s="270">
        <v>15567.01</v>
      </c>
      <c r="F79" s="196"/>
      <c r="G79" s="196"/>
      <c r="H79" s="196"/>
      <c r="I79" s="195"/>
      <c r="J79" s="195"/>
      <c r="K79" s="195"/>
      <c r="L79" s="195"/>
      <c r="M79" s="196"/>
      <c r="N79" s="195"/>
      <c r="O79" s="195"/>
      <c r="P79" s="195"/>
      <c r="Q79" s="195"/>
      <c r="R79" s="218"/>
      <c r="S79" s="220"/>
      <c r="T79" s="220"/>
      <c r="U79" s="218"/>
      <c r="V79" s="218"/>
    </row>
    <row r="80" spans="1:22" ht="25.5" customHeight="1">
      <c r="A80" s="9"/>
      <c r="B80" s="226" t="s">
        <v>121</v>
      </c>
      <c r="C80" s="279">
        <v>100000</v>
      </c>
      <c r="D80" s="195"/>
      <c r="E80" s="270"/>
      <c r="F80" s="196"/>
      <c r="G80" s="196"/>
      <c r="H80" s="196"/>
      <c r="I80" s="195"/>
      <c r="J80" s="195"/>
      <c r="K80" s="195"/>
      <c r="L80" s="195"/>
      <c r="M80" s="196"/>
      <c r="N80" s="195"/>
      <c r="O80" s="195"/>
      <c r="P80" s="195"/>
      <c r="Q80" s="195"/>
      <c r="R80" s="218"/>
      <c r="S80" s="220"/>
      <c r="T80" s="220"/>
      <c r="U80" s="218"/>
      <c r="V80" s="218"/>
    </row>
    <row r="81" spans="1:22" ht="25.5" customHeight="1">
      <c r="A81" s="9"/>
      <c r="B81" s="226" t="s">
        <v>295</v>
      </c>
      <c r="C81" s="279">
        <v>40000</v>
      </c>
      <c r="D81" s="195"/>
      <c r="E81" s="270"/>
      <c r="F81" s="196"/>
      <c r="G81" s="196"/>
      <c r="H81" s="196"/>
      <c r="I81" s="195"/>
      <c r="J81" s="195"/>
      <c r="K81" s="195"/>
      <c r="L81" s="195"/>
      <c r="M81" s="196"/>
      <c r="N81" s="195"/>
      <c r="O81" s="195"/>
      <c r="P81" s="195"/>
      <c r="Q81" s="195"/>
      <c r="R81" s="218"/>
      <c r="S81" s="220"/>
      <c r="T81" s="220"/>
      <c r="U81" s="218"/>
      <c r="V81" s="218"/>
    </row>
    <row r="82" spans="1:22" ht="25.5" customHeight="1">
      <c r="A82" s="9"/>
      <c r="B82" s="226" t="s">
        <v>296</v>
      </c>
      <c r="C82" s="279">
        <v>30000</v>
      </c>
      <c r="D82" s="195"/>
      <c r="E82" s="270"/>
      <c r="F82" s="196"/>
      <c r="G82" s="196"/>
      <c r="H82" s="196"/>
      <c r="I82" s="195"/>
      <c r="J82" s="195"/>
      <c r="K82" s="195"/>
      <c r="L82" s="195"/>
      <c r="M82" s="196"/>
      <c r="N82" s="195"/>
      <c r="O82" s="195"/>
      <c r="P82" s="195"/>
      <c r="Q82" s="195"/>
      <c r="R82" s="218"/>
      <c r="S82" s="220"/>
      <c r="T82" s="220"/>
      <c r="U82" s="218"/>
      <c r="V82" s="218"/>
    </row>
    <row r="83" spans="1:22" ht="25.5" customHeight="1">
      <c r="A83" s="9"/>
      <c r="B83" s="226" t="s">
        <v>210</v>
      </c>
      <c r="C83" s="279">
        <v>10000</v>
      </c>
      <c r="D83" s="195"/>
      <c r="E83" s="270"/>
      <c r="F83" s="196"/>
      <c r="G83" s="196"/>
      <c r="H83" s="196"/>
      <c r="I83" s="195"/>
      <c r="J83" s="195"/>
      <c r="K83" s="195"/>
      <c r="L83" s="195"/>
      <c r="M83" s="196"/>
      <c r="N83" s="195"/>
      <c r="O83" s="195"/>
      <c r="P83" s="195"/>
      <c r="Q83" s="195"/>
      <c r="R83" s="218"/>
      <c r="S83" s="220"/>
      <c r="T83" s="220"/>
      <c r="U83" s="218"/>
      <c r="V83" s="218"/>
    </row>
    <row r="84" spans="1:22" ht="25.5" customHeight="1">
      <c r="A84" s="9"/>
      <c r="B84" s="187" t="s">
        <v>297</v>
      </c>
      <c r="C84" s="279">
        <v>20000</v>
      </c>
      <c r="D84" s="195"/>
      <c r="E84" s="270"/>
      <c r="F84" s="196"/>
      <c r="G84" s="196"/>
      <c r="H84" s="196"/>
      <c r="I84" s="195"/>
      <c r="J84" s="195"/>
      <c r="K84" s="195"/>
      <c r="L84" s="195"/>
      <c r="M84" s="196"/>
      <c r="N84" s="195"/>
      <c r="O84" s="195"/>
      <c r="P84" s="195"/>
      <c r="Q84" s="195"/>
      <c r="R84" s="218"/>
      <c r="S84" s="220"/>
      <c r="T84" s="220"/>
      <c r="U84" s="218"/>
      <c r="V84" s="218"/>
    </row>
    <row r="85" spans="1:22" ht="25.5" customHeight="1">
      <c r="A85" s="9"/>
      <c r="B85" s="187" t="s">
        <v>298</v>
      </c>
      <c r="C85" s="279">
        <v>20000</v>
      </c>
      <c r="D85" s="195"/>
      <c r="E85" s="270"/>
      <c r="F85" s="196"/>
      <c r="G85" s="196"/>
      <c r="H85" s="196"/>
      <c r="I85" s="195"/>
      <c r="J85" s="195"/>
      <c r="K85" s="195"/>
      <c r="L85" s="195"/>
      <c r="M85" s="196"/>
      <c r="N85" s="195"/>
      <c r="O85" s="195"/>
      <c r="P85" s="195"/>
      <c r="Q85" s="195"/>
      <c r="R85" s="218"/>
      <c r="S85" s="220"/>
      <c r="T85" s="220"/>
      <c r="U85" s="218"/>
      <c r="V85" s="218"/>
    </row>
    <row r="86" spans="1:22" ht="25.5" customHeight="1">
      <c r="A86" s="9"/>
      <c r="B86" s="187" t="s">
        <v>299</v>
      </c>
      <c r="C86" s="279">
        <v>15000</v>
      </c>
      <c r="D86" s="195"/>
      <c r="E86" s="270"/>
      <c r="F86" s="196"/>
      <c r="G86" s="196"/>
      <c r="H86" s="196"/>
      <c r="I86" s="195"/>
      <c r="J86" s="195"/>
      <c r="K86" s="195"/>
      <c r="L86" s="195"/>
      <c r="M86" s="196"/>
      <c r="N86" s="195"/>
      <c r="O86" s="195"/>
      <c r="P86" s="195"/>
      <c r="Q86" s="195"/>
      <c r="R86" s="218"/>
      <c r="S86" s="220"/>
      <c r="T86" s="220"/>
      <c r="U86" s="218"/>
      <c r="V86" s="218"/>
    </row>
    <row r="87" spans="1:22" ht="25.5" customHeight="1">
      <c r="A87" s="9"/>
      <c r="B87" s="187" t="s">
        <v>300</v>
      </c>
      <c r="C87" s="279">
        <v>10000</v>
      </c>
      <c r="D87" s="195"/>
      <c r="E87" s="270"/>
      <c r="F87" s="196"/>
      <c r="G87" s="196"/>
      <c r="H87" s="196"/>
      <c r="I87" s="195"/>
      <c r="J87" s="195"/>
      <c r="K87" s="195"/>
      <c r="L87" s="195"/>
      <c r="M87" s="196"/>
      <c r="N87" s="195"/>
      <c r="O87" s="195"/>
      <c r="P87" s="195"/>
      <c r="Q87" s="195"/>
      <c r="R87" s="218"/>
      <c r="S87" s="220"/>
      <c r="T87" s="220"/>
      <c r="U87" s="218"/>
      <c r="V87" s="218"/>
    </row>
    <row r="88" spans="1:22" ht="25.5" customHeight="1">
      <c r="A88" s="9"/>
      <c r="B88" s="187" t="s">
        <v>301</v>
      </c>
      <c r="C88" s="279">
        <v>345100</v>
      </c>
      <c r="D88" s="195"/>
      <c r="E88" s="270"/>
      <c r="F88" s="196"/>
      <c r="G88" s="196"/>
      <c r="H88" s="196"/>
      <c r="I88" s="195"/>
      <c r="J88" s="195"/>
      <c r="K88" s="195"/>
      <c r="L88" s="195"/>
      <c r="M88" s="196"/>
      <c r="N88" s="195"/>
      <c r="O88" s="195"/>
      <c r="P88" s="195"/>
      <c r="Q88" s="195"/>
      <c r="R88" s="218"/>
      <c r="S88" s="220"/>
      <c r="T88" s="220"/>
      <c r="U88" s="218"/>
      <c r="V88" s="218"/>
    </row>
    <row r="89" spans="1:22" ht="25.5" customHeight="1">
      <c r="A89" s="9"/>
      <c r="B89" s="187" t="s">
        <v>242</v>
      </c>
      <c r="C89" s="279">
        <v>40000</v>
      </c>
      <c r="D89" s="195"/>
      <c r="E89" s="270"/>
      <c r="F89" s="196"/>
      <c r="G89" s="196"/>
      <c r="H89" s="196"/>
      <c r="I89" s="195"/>
      <c r="J89" s="195"/>
      <c r="K89" s="195"/>
      <c r="L89" s="195"/>
      <c r="M89" s="196"/>
      <c r="N89" s="195"/>
      <c r="O89" s="195"/>
      <c r="P89" s="195"/>
      <c r="Q89" s="195"/>
      <c r="R89" s="218"/>
      <c r="S89" s="220"/>
      <c r="T89" s="220"/>
      <c r="U89" s="218"/>
      <c r="V89" s="218"/>
    </row>
    <row r="90" spans="1:22" ht="25.5" customHeight="1">
      <c r="A90" s="9"/>
      <c r="B90" s="187" t="s">
        <v>307</v>
      </c>
      <c r="C90" s="279">
        <v>10000</v>
      </c>
      <c r="D90" s="131"/>
      <c r="E90" s="267"/>
      <c r="F90" s="135"/>
      <c r="G90" s="135"/>
      <c r="H90" s="135"/>
      <c r="I90" s="131"/>
      <c r="J90" s="131"/>
      <c r="K90" s="131"/>
      <c r="L90" s="131"/>
      <c r="M90" s="135"/>
      <c r="N90" s="131"/>
      <c r="O90" s="131"/>
      <c r="P90" s="131"/>
      <c r="Q90" s="131"/>
      <c r="R90" s="217"/>
      <c r="S90" s="219"/>
      <c r="T90" s="219"/>
      <c r="U90" s="217"/>
      <c r="V90" s="217"/>
    </row>
    <row r="91" spans="1:22" ht="25.5" customHeight="1">
      <c r="A91" s="9"/>
      <c r="B91" s="187" t="s">
        <v>134</v>
      </c>
      <c r="C91" s="279">
        <v>15000</v>
      </c>
      <c r="D91" s="195"/>
      <c r="E91" s="270"/>
      <c r="F91" s="196"/>
      <c r="G91" s="196"/>
      <c r="H91" s="196"/>
      <c r="I91" s="195"/>
      <c r="J91" s="195"/>
      <c r="K91" s="195"/>
      <c r="L91" s="195"/>
      <c r="M91" s="196"/>
      <c r="N91" s="195"/>
      <c r="O91" s="195"/>
      <c r="P91" s="195"/>
      <c r="Q91" s="195"/>
      <c r="R91" s="218"/>
      <c r="S91" s="220"/>
      <c r="T91" s="220"/>
      <c r="U91" s="218"/>
      <c r="V91" s="218"/>
    </row>
    <row r="92" spans="1:22" ht="25.5" customHeight="1">
      <c r="A92" s="9"/>
      <c r="B92" s="187" t="s">
        <v>308</v>
      </c>
      <c r="C92" s="279">
        <v>2500</v>
      </c>
      <c r="D92" s="195"/>
      <c r="E92" s="270"/>
      <c r="F92" s="196"/>
      <c r="G92" s="196"/>
      <c r="H92" s="196"/>
      <c r="I92" s="195"/>
      <c r="J92" s="195"/>
      <c r="K92" s="195"/>
      <c r="L92" s="195"/>
      <c r="M92" s="196"/>
      <c r="N92" s="195"/>
      <c r="O92" s="195"/>
      <c r="P92" s="195"/>
      <c r="Q92" s="195"/>
      <c r="R92" s="218"/>
      <c r="S92" s="220"/>
      <c r="T92" s="220"/>
      <c r="U92" s="218"/>
      <c r="V92" s="218"/>
    </row>
    <row r="93" spans="1:22" ht="25.5" customHeight="1">
      <c r="A93" s="9"/>
      <c r="B93" s="187" t="s">
        <v>309</v>
      </c>
      <c r="C93" s="279">
        <v>2500</v>
      </c>
      <c r="D93" s="195"/>
      <c r="E93" s="270"/>
      <c r="F93" s="196"/>
      <c r="G93" s="196"/>
      <c r="H93" s="196"/>
      <c r="I93" s="195"/>
      <c r="J93" s="195"/>
      <c r="K93" s="195"/>
      <c r="L93" s="195"/>
      <c r="M93" s="196"/>
      <c r="N93" s="195"/>
      <c r="O93" s="195"/>
      <c r="P93" s="195"/>
      <c r="Q93" s="195"/>
      <c r="R93" s="218"/>
      <c r="S93" s="220"/>
      <c r="T93" s="220"/>
      <c r="U93" s="218"/>
      <c r="V93" s="218"/>
    </row>
    <row r="94" spans="1:22" ht="25.5" customHeight="1">
      <c r="A94" s="9"/>
      <c r="B94" s="187" t="s">
        <v>310</v>
      </c>
      <c r="C94" s="279">
        <v>2500</v>
      </c>
      <c r="D94" s="195"/>
      <c r="E94" s="270"/>
      <c r="F94" s="196"/>
      <c r="G94" s="196"/>
      <c r="H94" s="196"/>
      <c r="I94" s="195"/>
      <c r="J94" s="195"/>
      <c r="K94" s="195"/>
      <c r="L94" s="195"/>
      <c r="M94" s="196"/>
      <c r="N94" s="195"/>
      <c r="O94" s="195"/>
      <c r="P94" s="195"/>
      <c r="Q94" s="195"/>
      <c r="R94" s="218"/>
      <c r="S94" s="220"/>
      <c r="T94" s="220"/>
      <c r="U94" s="218"/>
      <c r="V94" s="218"/>
    </row>
    <row r="95" spans="1:22" ht="25.5" customHeight="1">
      <c r="A95" s="9"/>
      <c r="B95" s="187" t="s">
        <v>311</v>
      </c>
      <c r="C95" s="279">
        <v>2500</v>
      </c>
      <c r="D95" s="195"/>
      <c r="E95" s="270"/>
      <c r="F95" s="196"/>
      <c r="G95" s="196"/>
      <c r="H95" s="196"/>
      <c r="I95" s="195"/>
      <c r="J95" s="195"/>
      <c r="K95" s="195"/>
      <c r="L95" s="195"/>
      <c r="M95" s="196"/>
      <c r="N95" s="195"/>
      <c r="O95" s="195"/>
      <c r="P95" s="195"/>
      <c r="Q95" s="195"/>
      <c r="R95" s="218"/>
      <c r="S95" s="220"/>
      <c r="T95" s="220"/>
      <c r="U95" s="218"/>
      <c r="V95" s="218"/>
    </row>
    <row r="96" spans="1:22" ht="25.5" customHeight="1">
      <c r="A96" s="9"/>
      <c r="B96" s="187" t="s">
        <v>243</v>
      </c>
      <c r="C96" s="279">
        <v>2000</v>
      </c>
      <c r="D96" s="195"/>
      <c r="E96" s="270"/>
      <c r="F96" s="196"/>
      <c r="G96" s="196"/>
      <c r="H96" s="196"/>
      <c r="I96" s="195"/>
      <c r="J96" s="195"/>
      <c r="K96" s="195"/>
      <c r="L96" s="195"/>
      <c r="M96" s="196"/>
      <c r="N96" s="195"/>
      <c r="O96" s="195"/>
      <c r="P96" s="195"/>
      <c r="Q96" s="195"/>
      <c r="R96" s="218"/>
      <c r="S96" s="220"/>
      <c r="T96" s="220"/>
      <c r="U96" s="218"/>
      <c r="V96" s="218"/>
    </row>
    <row r="97" spans="1:22" ht="25.5" customHeight="1">
      <c r="A97" s="9"/>
      <c r="B97" s="187" t="s">
        <v>248</v>
      </c>
      <c r="C97" s="279">
        <v>2000</v>
      </c>
      <c r="D97" s="195"/>
      <c r="E97" s="270"/>
      <c r="F97" s="196"/>
      <c r="G97" s="196"/>
      <c r="H97" s="196"/>
      <c r="I97" s="195"/>
      <c r="J97" s="195"/>
      <c r="K97" s="195"/>
      <c r="L97" s="195"/>
      <c r="M97" s="196"/>
      <c r="N97" s="195"/>
      <c r="O97" s="195"/>
      <c r="P97" s="195"/>
      <c r="Q97" s="195"/>
      <c r="R97" s="218"/>
      <c r="S97" s="220"/>
      <c r="T97" s="220"/>
      <c r="U97" s="218"/>
      <c r="V97" s="218"/>
    </row>
    <row r="98" spans="1:22" ht="25.5" customHeight="1">
      <c r="A98" s="9"/>
      <c r="B98" s="187" t="s">
        <v>244</v>
      </c>
      <c r="C98" s="279">
        <v>2000</v>
      </c>
      <c r="D98" s="195"/>
      <c r="E98" s="270"/>
      <c r="F98" s="196"/>
      <c r="G98" s="196"/>
      <c r="H98" s="196"/>
      <c r="I98" s="195"/>
      <c r="J98" s="195"/>
      <c r="K98" s="195"/>
      <c r="L98" s="195"/>
      <c r="M98" s="196"/>
      <c r="N98" s="195"/>
      <c r="O98" s="195"/>
      <c r="P98" s="195"/>
      <c r="Q98" s="195"/>
      <c r="R98" s="218"/>
      <c r="S98" s="220"/>
      <c r="T98" s="220"/>
      <c r="U98" s="218"/>
      <c r="V98" s="218"/>
    </row>
    <row r="99" spans="1:22" ht="25.5" customHeight="1">
      <c r="A99" s="9"/>
      <c r="B99" s="187" t="s">
        <v>245</v>
      </c>
      <c r="C99" s="279">
        <v>2000</v>
      </c>
      <c r="D99" s="195"/>
      <c r="E99" s="270"/>
      <c r="F99" s="196"/>
      <c r="G99" s="196"/>
      <c r="H99" s="196"/>
      <c r="I99" s="195"/>
      <c r="J99" s="195"/>
      <c r="K99" s="195"/>
      <c r="L99" s="195"/>
      <c r="M99" s="196"/>
      <c r="N99" s="195"/>
      <c r="O99" s="195"/>
      <c r="P99" s="195"/>
      <c r="Q99" s="195"/>
      <c r="R99" s="218"/>
      <c r="S99" s="220"/>
      <c r="T99" s="220"/>
      <c r="U99" s="218"/>
      <c r="V99" s="218"/>
    </row>
    <row r="100" spans="1:22" ht="25.5" customHeight="1">
      <c r="A100" s="9"/>
      <c r="B100" s="187" t="s">
        <v>246</v>
      </c>
      <c r="C100" s="279">
        <v>2000</v>
      </c>
      <c r="D100" s="195"/>
      <c r="E100" s="270"/>
      <c r="F100" s="196"/>
      <c r="G100" s="196"/>
      <c r="H100" s="196"/>
      <c r="I100" s="195"/>
      <c r="J100" s="195"/>
      <c r="K100" s="195"/>
      <c r="L100" s="195"/>
      <c r="M100" s="196"/>
      <c r="N100" s="195"/>
      <c r="O100" s="195"/>
      <c r="P100" s="195"/>
      <c r="Q100" s="195"/>
      <c r="R100" s="218"/>
      <c r="S100" s="220"/>
      <c r="T100" s="220"/>
      <c r="U100" s="218"/>
      <c r="V100" s="218"/>
    </row>
    <row r="101" spans="1:22" ht="25.5" customHeight="1">
      <c r="A101" s="9"/>
      <c r="B101" s="187" t="s">
        <v>247</v>
      </c>
      <c r="C101" s="279">
        <v>2000</v>
      </c>
      <c r="D101" s="195"/>
      <c r="E101" s="270"/>
      <c r="F101" s="196"/>
      <c r="G101" s="196"/>
      <c r="H101" s="196"/>
      <c r="I101" s="195"/>
      <c r="J101" s="195"/>
      <c r="K101" s="195"/>
      <c r="L101" s="195"/>
      <c r="M101" s="196"/>
      <c r="N101" s="195"/>
      <c r="O101" s="195"/>
      <c r="P101" s="195"/>
      <c r="Q101" s="195"/>
      <c r="R101" s="218"/>
      <c r="S101" s="220"/>
      <c r="T101" s="220"/>
      <c r="U101" s="218"/>
      <c r="V101" s="218"/>
    </row>
    <row r="102" spans="1:22" ht="25.5" customHeight="1">
      <c r="A102" s="9"/>
      <c r="B102" s="187" t="s">
        <v>249</v>
      </c>
      <c r="C102" s="279">
        <v>2000</v>
      </c>
      <c r="D102" s="195"/>
      <c r="E102" s="270"/>
      <c r="F102" s="196"/>
      <c r="G102" s="196"/>
      <c r="H102" s="196"/>
      <c r="I102" s="195"/>
      <c r="J102" s="195"/>
      <c r="K102" s="195"/>
      <c r="L102" s="195"/>
      <c r="M102" s="196"/>
      <c r="N102" s="195"/>
      <c r="O102" s="195"/>
      <c r="P102" s="195"/>
      <c r="Q102" s="195"/>
      <c r="R102" s="218"/>
      <c r="S102" s="220"/>
      <c r="T102" s="220"/>
      <c r="U102" s="218"/>
      <c r="V102" s="218"/>
    </row>
    <row r="103" spans="1:22" ht="25.5" customHeight="1">
      <c r="A103" s="9"/>
      <c r="B103" s="187" t="s">
        <v>250</v>
      </c>
      <c r="C103" s="279">
        <v>2000</v>
      </c>
      <c r="D103" s="195"/>
      <c r="E103" s="270"/>
      <c r="F103" s="196"/>
      <c r="G103" s="196"/>
      <c r="H103" s="196"/>
      <c r="I103" s="195"/>
      <c r="J103" s="195"/>
      <c r="K103" s="195"/>
      <c r="L103" s="195"/>
      <c r="M103" s="196"/>
      <c r="N103" s="195"/>
      <c r="O103" s="195"/>
      <c r="P103" s="195"/>
      <c r="Q103" s="195"/>
      <c r="R103" s="218"/>
      <c r="S103" s="220"/>
      <c r="T103" s="220"/>
      <c r="U103" s="218"/>
      <c r="V103" s="218"/>
    </row>
    <row r="104" spans="1:22" ht="25.5" customHeight="1">
      <c r="A104" s="9"/>
      <c r="B104" s="187" t="s">
        <v>251</v>
      </c>
      <c r="C104" s="279">
        <v>2000</v>
      </c>
      <c r="D104" s="195"/>
      <c r="E104" s="270"/>
      <c r="F104" s="196"/>
      <c r="G104" s="196"/>
      <c r="H104" s="196"/>
      <c r="I104" s="195"/>
      <c r="J104" s="195"/>
      <c r="K104" s="195"/>
      <c r="L104" s="195"/>
      <c r="M104" s="196"/>
      <c r="N104" s="195"/>
      <c r="O104" s="195"/>
      <c r="P104" s="195"/>
      <c r="Q104" s="195"/>
      <c r="R104" s="218"/>
      <c r="S104" s="220"/>
      <c r="T104" s="220"/>
      <c r="U104" s="218"/>
      <c r="V104" s="218"/>
    </row>
    <row r="105" spans="1:22" ht="25.5" customHeight="1">
      <c r="A105" s="9"/>
      <c r="B105" s="187" t="s">
        <v>252</v>
      </c>
      <c r="C105" s="279">
        <v>2000</v>
      </c>
      <c r="D105" s="195"/>
      <c r="E105" s="270"/>
      <c r="F105" s="196"/>
      <c r="G105" s="196"/>
      <c r="H105" s="196"/>
      <c r="I105" s="195"/>
      <c r="J105" s="195"/>
      <c r="K105" s="195"/>
      <c r="L105" s="195"/>
      <c r="M105" s="196"/>
      <c r="N105" s="195"/>
      <c r="O105" s="195"/>
      <c r="P105" s="195"/>
      <c r="Q105" s="195"/>
      <c r="R105" s="218"/>
      <c r="S105" s="220"/>
      <c r="T105" s="220"/>
      <c r="U105" s="218"/>
      <c r="V105" s="218"/>
    </row>
    <row r="106" spans="1:22" ht="25.5" customHeight="1">
      <c r="A106" s="9"/>
      <c r="B106" s="187" t="s">
        <v>253</v>
      </c>
      <c r="C106" s="279">
        <v>2000</v>
      </c>
      <c r="D106" s="195"/>
      <c r="E106" s="270"/>
      <c r="F106" s="196"/>
      <c r="G106" s="196"/>
      <c r="H106" s="196"/>
      <c r="I106" s="195"/>
      <c r="J106" s="195"/>
      <c r="K106" s="195"/>
      <c r="L106" s="195"/>
      <c r="M106" s="196"/>
      <c r="N106" s="195"/>
      <c r="O106" s="195"/>
      <c r="P106" s="195"/>
      <c r="Q106" s="195"/>
      <c r="R106" s="218"/>
      <c r="S106" s="220"/>
      <c r="T106" s="220"/>
      <c r="U106" s="218"/>
      <c r="V106" s="218"/>
    </row>
    <row r="107" spans="1:22" ht="25.5" customHeight="1">
      <c r="A107" s="9"/>
      <c r="B107" s="187" t="s">
        <v>254</v>
      </c>
      <c r="C107" s="279">
        <v>2000</v>
      </c>
      <c r="D107" s="195"/>
      <c r="E107" s="270"/>
      <c r="F107" s="196"/>
      <c r="G107" s="196"/>
      <c r="H107" s="196"/>
      <c r="I107" s="195"/>
      <c r="J107" s="195"/>
      <c r="K107" s="195"/>
      <c r="L107" s="195"/>
      <c r="M107" s="196"/>
      <c r="N107" s="195"/>
      <c r="O107" s="195"/>
      <c r="P107" s="195"/>
      <c r="Q107" s="195"/>
      <c r="R107" s="218"/>
      <c r="S107" s="220"/>
      <c r="T107" s="220"/>
      <c r="U107" s="218"/>
      <c r="V107" s="218"/>
    </row>
    <row r="108" spans="1:22" ht="25.5" customHeight="1">
      <c r="A108" s="9"/>
      <c r="B108" s="187" t="s">
        <v>312</v>
      </c>
      <c r="C108" s="279">
        <v>2500</v>
      </c>
      <c r="D108" s="195"/>
      <c r="E108" s="270"/>
      <c r="F108" s="196"/>
      <c r="G108" s="196"/>
      <c r="H108" s="196"/>
      <c r="I108" s="195"/>
      <c r="J108" s="195"/>
      <c r="K108" s="195"/>
      <c r="L108" s="195"/>
      <c r="M108" s="196"/>
      <c r="N108" s="195"/>
      <c r="O108" s="195"/>
      <c r="P108" s="195"/>
      <c r="Q108" s="195"/>
      <c r="R108" s="218"/>
      <c r="S108" s="220"/>
      <c r="T108" s="220"/>
      <c r="U108" s="218"/>
      <c r="V108" s="218"/>
    </row>
    <row r="109" spans="1:22" ht="25.5" customHeight="1">
      <c r="A109" s="9"/>
      <c r="B109" s="187" t="s">
        <v>313</v>
      </c>
      <c r="C109" s="279">
        <v>2500</v>
      </c>
      <c r="D109" s="131"/>
      <c r="E109" s="267"/>
      <c r="F109" s="135"/>
      <c r="G109" s="135"/>
      <c r="H109" s="135"/>
      <c r="I109" s="131"/>
      <c r="J109" s="131"/>
      <c r="K109" s="131"/>
      <c r="L109" s="131"/>
      <c r="M109" s="135"/>
      <c r="N109" s="131"/>
      <c r="O109" s="131"/>
      <c r="P109" s="131"/>
      <c r="Q109" s="131"/>
      <c r="R109" s="217"/>
      <c r="S109" s="219"/>
      <c r="T109" s="219"/>
      <c r="U109" s="217"/>
      <c r="V109" s="217"/>
    </row>
    <row r="110" spans="1:22" ht="25.5" customHeight="1">
      <c r="A110" s="9"/>
      <c r="B110" s="187" t="s">
        <v>314</v>
      </c>
      <c r="C110" s="279">
        <v>2500</v>
      </c>
      <c r="D110" s="195"/>
      <c r="E110" s="270"/>
      <c r="F110" s="196"/>
      <c r="G110" s="196"/>
      <c r="H110" s="196"/>
      <c r="I110" s="195"/>
      <c r="J110" s="195"/>
      <c r="K110" s="195"/>
      <c r="L110" s="195"/>
      <c r="M110" s="196"/>
      <c r="N110" s="195"/>
      <c r="O110" s="195"/>
      <c r="P110" s="195"/>
      <c r="Q110" s="195"/>
      <c r="R110" s="218"/>
      <c r="S110" s="220"/>
      <c r="T110" s="220"/>
      <c r="U110" s="218"/>
      <c r="V110" s="218"/>
    </row>
    <row r="111" spans="1:22" ht="25.5" customHeight="1">
      <c r="A111" s="9"/>
      <c r="B111" s="187" t="s">
        <v>255</v>
      </c>
      <c r="C111" s="279">
        <v>4000</v>
      </c>
      <c r="D111" s="195"/>
      <c r="E111" s="270"/>
      <c r="F111" s="196"/>
      <c r="G111" s="196"/>
      <c r="H111" s="196"/>
      <c r="I111" s="195"/>
      <c r="J111" s="195"/>
      <c r="K111" s="195"/>
      <c r="L111" s="195"/>
      <c r="M111" s="196"/>
      <c r="N111" s="195"/>
      <c r="O111" s="195"/>
      <c r="P111" s="195"/>
      <c r="Q111" s="195"/>
      <c r="R111" s="218"/>
      <c r="S111" s="220"/>
      <c r="T111" s="220"/>
      <c r="U111" s="218"/>
      <c r="V111" s="218"/>
    </row>
    <row r="112" spans="1:22" ht="25.5" customHeight="1">
      <c r="A112" s="9"/>
      <c r="B112" s="187" t="s">
        <v>256</v>
      </c>
      <c r="C112" s="279">
        <v>2500</v>
      </c>
      <c r="D112" s="195"/>
      <c r="E112" s="270"/>
      <c r="F112" s="196"/>
      <c r="G112" s="196"/>
      <c r="H112" s="196"/>
      <c r="I112" s="195"/>
      <c r="J112" s="195"/>
      <c r="K112" s="195"/>
      <c r="L112" s="195"/>
      <c r="M112" s="196"/>
      <c r="N112" s="195"/>
      <c r="O112" s="195"/>
      <c r="P112" s="195"/>
      <c r="Q112" s="195"/>
      <c r="R112" s="218"/>
      <c r="S112" s="220"/>
      <c r="T112" s="220"/>
      <c r="U112" s="218"/>
      <c r="V112" s="218"/>
    </row>
    <row r="113" spans="1:22" ht="25.5" customHeight="1">
      <c r="A113" s="9"/>
      <c r="B113" s="187" t="s">
        <v>257</v>
      </c>
      <c r="C113" s="279">
        <v>2500</v>
      </c>
      <c r="D113" s="195"/>
      <c r="E113" s="270"/>
      <c r="F113" s="196"/>
      <c r="G113" s="196"/>
      <c r="H113" s="196"/>
      <c r="I113" s="195"/>
      <c r="J113" s="195"/>
      <c r="K113" s="195"/>
      <c r="L113" s="195"/>
      <c r="M113" s="196"/>
      <c r="N113" s="195"/>
      <c r="O113" s="195"/>
      <c r="P113" s="195"/>
      <c r="Q113" s="195"/>
      <c r="R113" s="218"/>
      <c r="S113" s="220"/>
      <c r="T113" s="220"/>
      <c r="U113" s="218"/>
      <c r="V113" s="218"/>
    </row>
    <row r="114" spans="1:22" ht="25.5" customHeight="1">
      <c r="A114" s="9"/>
      <c r="B114" s="187" t="s">
        <v>258</v>
      </c>
      <c r="C114" s="279">
        <v>2500</v>
      </c>
      <c r="D114" s="195"/>
      <c r="E114" s="270"/>
      <c r="F114" s="196"/>
      <c r="G114" s="196"/>
      <c r="H114" s="196"/>
      <c r="I114" s="195"/>
      <c r="J114" s="195"/>
      <c r="K114" s="195"/>
      <c r="L114" s="195"/>
      <c r="M114" s="196"/>
      <c r="N114" s="195"/>
      <c r="O114" s="195"/>
      <c r="P114" s="195"/>
      <c r="Q114" s="195"/>
      <c r="R114" s="218"/>
      <c r="S114" s="220"/>
      <c r="T114" s="220"/>
      <c r="U114" s="218"/>
      <c r="V114" s="218"/>
    </row>
    <row r="115" spans="1:22" ht="25.5" customHeight="1">
      <c r="A115" s="9"/>
      <c r="B115" s="187" t="s">
        <v>259</v>
      </c>
      <c r="C115" s="279">
        <v>1000</v>
      </c>
      <c r="D115" s="195"/>
      <c r="E115" s="270"/>
      <c r="F115" s="196"/>
      <c r="G115" s="196"/>
      <c r="H115" s="196"/>
      <c r="I115" s="195"/>
      <c r="J115" s="195"/>
      <c r="K115" s="195"/>
      <c r="L115" s="195"/>
      <c r="M115" s="196"/>
      <c r="N115" s="195"/>
      <c r="O115" s="195"/>
      <c r="P115" s="195"/>
      <c r="Q115" s="195"/>
      <c r="R115" s="218"/>
      <c r="S115" s="220"/>
      <c r="T115" s="220"/>
      <c r="U115" s="218"/>
      <c r="V115" s="218"/>
    </row>
    <row r="116" spans="1:22" ht="25.5" customHeight="1">
      <c r="A116" s="9"/>
      <c r="B116" s="187" t="s">
        <v>260</v>
      </c>
      <c r="C116" s="279">
        <v>1000</v>
      </c>
      <c r="D116" s="195"/>
      <c r="E116" s="270"/>
      <c r="F116" s="196"/>
      <c r="G116" s="196"/>
      <c r="H116" s="196"/>
      <c r="I116" s="195"/>
      <c r="J116" s="195"/>
      <c r="K116" s="195"/>
      <c r="L116" s="195"/>
      <c r="M116" s="196"/>
      <c r="N116" s="195"/>
      <c r="O116" s="195"/>
      <c r="P116" s="195"/>
      <c r="Q116" s="195"/>
      <c r="R116" s="218"/>
      <c r="S116" s="220"/>
      <c r="T116" s="220"/>
      <c r="U116" s="218"/>
      <c r="V116" s="218"/>
    </row>
    <row r="117" spans="1:22" ht="25.5" customHeight="1">
      <c r="A117" s="9"/>
      <c r="B117" s="187" t="s">
        <v>261</v>
      </c>
      <c r="C117" s="279">
        <v>1000</v>
      </c>
      <c r="D117" s="195"/>
      <c r="E117" s="270"/>
      <c r="F117" s="196"/>
      <c r="G117" s="196"/>
      <c r="H117" s="196"/>
      <c r="I117" s="195"/>
      <c r="J117" s="195"/>
      <c r="K117" s="195"/>
      <c r="L117" s="195"/>
      <c r="M117" s="196"/>
      <c r="N117" s="195"/>
      <c r="O117" s="195"/>
      <c r="P117" s="195"/>
      <c r="Q117" s="195"/>
      <c r="R117" s="218"/>
      <c r="S117" s="220"/>
      <c r="T117" s="220"/>
      <c r="U117" s="218"/>
      <c r="V117" s="218"/>
    </row>
    <row r="118" spans="1:22" ht="25.5" customHeight="1">
      <c r="A118" s="9"/>
      <c r="B118" s="187" t="s">
        <v>262</v>
      </c>
      <c r="C118" s="279">
        <v>1000</v>
      </c>
      <c r="D118" s="195"/>
      <c r="E118" s="270"/>
      <c r="F118" s="196"/>
      <c r="G118" s="196"/>
      <c r="H118" s="196"/>
      <c r="I118" s="195"/>
      <c r="J118" s="195"/>
      <c r="K118" s="195"/>
      <c r="L118" s="195"/>
      <c r="M118" s="196"/>
      <c r="N118" s="195"/>
      <c r="O118" s="195"/>
      <c r="P118" s="195"/>
      <c r="Q118" s="195"/>
      <c r="R118" s="218"/>
      <c r="S118" s="220"/>
      <c r="T118" s="220"/>
      <c r="U118" s="218"/>
      <c r="V118" s="218"/>
    </row>
    <row r="119" spans="1:22" ht="25.5" customHeight="1">
      <c r="A119" s="9"/>
      <c r="B119" s="187" t="s">
        <v>211</v>
      </c>
      <c r="C119" s="279">
        <v>392000</v>
      </c>
      <c r="D119" s="195"/>
      <c r="E119" s="270"/>
      <c r="F119" s="196"/>
      <c r="G119" s="196"/>
      <c r="H119" s="196"/>
      <c r="I119" s="195"/>
      <c r="J119" s="195"/>
      <c r="K119" s="195"/>
      <c r="L119" s="195"/>
      <c r="M119" s="196"/>
      <c r="N119" s="195"/>
      <c r="O119" s="195"/>
      <c r="P119" s="195"/>
      <c r="Q119" s="195"/>
      <c r="R119" s="218"/>
      <c r="S119" s="220"/>
      <c r="T119" s="220"/>
      <c r="U119" s="218"/>
      <c r="V119" s="218"/>
    </row>
    <row r="120" spans="1:22" ht="25.5" customHeight="1">
      <c r="A120" s="9"/>
      <c r="B120" s="187" t="s">
        <v>263</v>
      </c>
      <c r="C120" s="279">
        <v>200900</v>
      </c>
      <c r="D120" s="195"/>
      <c r="E120" s="270"/>
      <c r="F120" s="196"/>
      <c r="G120" s="196"/>
      <c r="H120" s="196"/>
      <c r="I120" s="195"/>
      <c r="J120" s="195"/>
      <c r="K120" s="195"/>
      <c r="L120" s="195"/>
      <c r="M120" s="196"/>
      <c r="N120" s="195"/>
      <c r="O120" s="195"/>
      <c r="P120" s="195"/>
      <c r="Q120" s="195"/>
      <c r="R120" s="218"/>
      <c r="S120" s="220"/>
      <c r="T120" s="220"/>
      <c r="U120" s="218"/>
      <c r="V120" s="218"/>
    </row>
    <row r="121" spans="1:22" ht="25.5" customHeight="1">
      <c r="A121" s="9"/>
      <c r="B121" s="187" t="s">
        <v>315</v>
      </c>
      <c r="C121" s="279">
        <v>230300</v>
      </c>
      <c r="D121" s="195"/>
      <c r="E121" s="270"/>
      <c r="F121" s="196"/>
      <c r="G121" s="196"/>
      <c r="H121" s="196"/>
      <c r="I121" s="195"/>
      <c r="J121" s="195"/>
      <c r="K121" s="195"/>
      <c r="L121" s="195"/>
      <c r="M121" s="196"/>
      <c r="N121" s="195"/>
      <c r="O121" s="195"/>
      <c r="P121" s="195"/>
      <c r="Q121" s="195"/>
      <c r="R121" s="218"/>
      <c r="S121" s="220"/>
      <c r="T121" s="220"/>
      <c r="U121" s="218"/>
      <c r="V121" s="218"/>
    </row>
    <row r="122" spans="1:22" ht="25.5" customHeight="1">
      <c r="A122" s="9"/>
      <c r="B122" s="187" t="s">
        <v>212</v>
      </c>
      <c r="C122" s="279">
        <v>171500</v>
      </c>
      <c r="D122" s="195"/>
      <c r="E122" s="270"/>
      <c r="F122" s="196"/>
      <c r="G122" s="196"/>
      <c r="H122" s="196"/>
      <c r="I122" s="195"/>
      <c r="J122" s="195"/>
      <c r="K122" s="195"/>
      <c r="L122" s="195"/>
      <c r="M122" s="196"/>
      <c r="N122" s="195"/>
      <c r="O122" s="195"/>
      <c r="P122" s="195"/>
      <c r="Q122" s="195"/>
      <c r="R122" s="218"/>
      <c r="S122" s="220"/>
      <c r="T122" s="220"/>
      <c r="U122" s="218"/>
      <c r="V122" s="218"/>
    </row>
    <row r="123" spans="1:22" ht="25.5" customHeight="1">
      <c r="A123" s="9"/>
      <c r="B123" s="187" t="s">
        <v>140</v>
      </c>
      <c r="C123" s="279">
        <v>50000</v>
      </c>
      <c r="D123" s="195"/>
      <c r="E123" s="270"/>
      <c r="F123" s="196"/>
      <c r="G123" s="196"/>
      <c r="H123" s="196"/>
      <c r="I123" s="195"/>
      <c r="J123" s="195"/>
      <c r="K123" s="195"/>
      <c r="L123" s="195"/>
      <c r="M123" s="196"/>
      <c r="N123" s="195"/>
      <c r="O123" s="195"/>
      <c r="P123" s="195"/>
      <c r="Q123" s="195"/>
      <c r="R123" s="218"/>
      <c r="S123" s="220"/>
      <c r="T123" s="220"/>
      <c r="U123" s="218"/>
      <c r="V123" s="218"/>
    </row>
    <row r="124" spans="1:22" ht="25.5" customHeight="1">
      <c r="A124" s="9"/>
      <c r="B124" s="187" t="s">
        <v>206</v>
      </c>
      <c r="C124" s="279">
        <v>20000</v>
      </c>
      <c r="D124" s="195"/>
      <c r="E124" s="270"/>
      <c r="F124" s="196"/>
      <c r="G124" s="196"/>
      <c r="H124" s="196"/>
      <c r="I124" s="195"/>
      <c r="J124" s="195"/>
      <c r="K124" s="195"/>
      <c r="L124" s="195"/>
      <c r="M124" s="196"/>
      <c r="N124" s="195"/>
      <c r="O124" s="195"/>
      <c r="P124" s="195"/>
      <c r="Q124" s="195"/>
      <c r="R124" s="218"/>
      <c r="S124" s="220"/>
      <c r="T124" s="220"/>
      <c r="U124" s="218"/>
      <c r="V124" s="218"/>
    </row>
    <row r="125" spans="1:22" ht="25.5" customHeight="1">
      <c r="A125" s="9"/>
      <c r="B125" s="187" t="s">
        <v>326</v>
      </c>
      <c r="C125" s="279">
        <v>5000</v>
      </c>
      <c r="D125" s="195"/>
      <c r="E125" s="270"/>
      <c r="F125" s="196"/>
      <c r="G125" s="196"/>
      <c r="H125" s="196"/>
      <c r="I125" s="195"/>
      <c r="J125" s="195"/>
      <c r="K125" s="195"/>
      <c r="L125" s="195"/>
      <c r="M125" s="196"/>
      <c r="N125" s="195"/>
      <c r="O125" s="195"/>
      <c r="P125" s="195"/>
      <c r="Q125" s="195"/>
      <c r="R125" s="218"/>
      <c r="S125" s="220"/>
      <c r="T125" s="220"/>
      <c r="U125" s="218"/>
      <c r="V125" s="218"/>
    </row>
    <row r="126" spans="1:22" ht="25.5" customHeight="1">
      <c r="A126" s="9"/>
      <c r="B126" s="187" t="s">
        <v>327</v>
      </c>
      <c r="C126" s="279">
        <v>5000</v>
      </c>
      <c r="D126" s="195"/>
      <c r="E126" s="270"/>
      <c r="F126" s="196"/>
      <c r="G126" s="196"/>
      <c r="H126" s="196"/>
      <c r="I126" s="195"/>
      <c r="J126" s="195"/>
      <c r="K126" s="195"/>
      <c r="L126" s="195"/>
      <c r="M126" s="196"/>
      <c r="N126" s="195"/>
      <c r="O126" s="195"/>
      <c r="P126" s="195"/>
      <c r="Q126" s="195"/>
      <c r="R126" s="218"/>
      <c r="S126" s="220"/>
      <c r="T126" s="220"/>
      <c r="U126" s="218"/>
      <c r="V126" s="218"/>
    </row>
    <row r="127" spans="1:22" ht="25.5" customHeight="1">
      <c r="A127" s="9"/>
      <c r="B127" s="187" t="s">
        <v>142</v>
      </c>
      <c r="C127" s="279">
        <v>20000</v>
      </c>
      <c r="D127" s="195"/>
      <c r="E127" s="270"/>
      <c r="F127" s="196"/>
      <c r="G127" s="196"/>
      <c r="H127" s="196"/>
      <c r="I127" s="195"/>
      <c r="J127" s="195"/>
      <c r="K127" s="195"/>
      <c r="L127" s="195"/>
      <c r="M127" s="196"/>
      <c r="N127" s="195"/>
      <c r="O127" s="195"/>
      <c r="P127" s="195"/>
      <c r="Q127" s="195"/>
      <c r="R127" s="218"/>
      <c r="S127" s="220"/>
      <c r="T127" s="220"/>
      <c r="U127" s="218"/>
      <c r="V127" s="218"/>
    </row>
    <row r="128" spans="1:22" ht="25.5" customHeight="1">
      <c r="A128" s="9"/>
      <c r="B128" s="226" t="s">
        <v>328</v>
      </c>
      <c r="C128" s="279">
        <v>10000</v>
      </c>
      <c r="D128" s="195"/>
      <c r="E128" s="270"/>
      <c r="F128" s="196"/>
      <c r="G128" s="196"/>
      <c r="H128" s="196"/>
      <c r="I128" s="195"/>
      <c r="J128" s="195"/>
      <c r="K128" s="195"/>
      <c r="L128" s="195"/>
      <c r="M128" s="196"/>
      <c r="N128" s="195"/>
      <c r="O128" s="195"/>
      <c r="P128" s="195"/>
      <c r="Q128" s="195"/>
      <c r="R128" s="218"/>
      <c r="S128" s="220"/>
      <c r="T128" s="220"/>
      <c r="U128" s="218"/>
      <c r="V128" s="218"/>
    </row>
    <row r="129" spans="1:22" ht="25.5" customHeight="1">
      <c r="A129" s="9"/>
      <c r="B129" s="226" t="s">
        <v>329</v>
      </c>
      <c r="C129" s="279">
        <v>10000</v>
      </c>
      <c r="D129" s="131"/>
      <c r="E129" s="267"/>
      <c r="F129" s="135"/>
      <c r="G129" s="135"/>
      <c r="H129" s="135"/>
      <c r="I129" s="131"/>
      <c r="J129" s="131"/>
      <c r="K129" s="131"/>
      <c r="L129" s="131"/>
      <c r="M129" s="135"/>
      <c r="N129" s="131"/>
      <c r="O129" s="131"/>
      <c r="P129" s="131"/>
      <c r="Q129" s="131"/>
      <c r="R129" s="217"/>
      <c r="S129" s="219"/>
      <c r="T129" s="219"/>
      <c r="U129" s="217"/>
      <c r="V129" s="217"/>
    </row>
    <row r="130" spans="1:22" ht="25.5" customHeight="1">
      <c r="A130" s="9"/>
      <c r="B130" s="226" t="s">
        <v>330</v>
      </c>
      <c r="C130" s="279">
        <v>10000</v>
      </c>
      <c r="D130" s="195"/>
      <c r="E130" s="270"/>
      <c r="F130" s="196"/>
      <c r="G130" s="196"/>
      <c r="H130" s="196"/>
      <c r="I130" s="195"/>
      <c r="J130" s="195"/>
      <c r="K130" s="195"/>
      <c r="L130" s="195"/>
      <c r="M130" s="196"/>
      <c r="N130" s="195"/>
      <c r="O130" s="195"/>
      <c r="P130" s="195"/>
      <c r="Q130" s="195"/>
      <c r="R130" s="218"/>
      <c r="S130" s="196"/>
      <c r="T130" s="196"/>
      <c r="U130" s="218"/>
      <c r="V130" s="218"/>
    </row>
    <row r="131" spans="1:22" ht="25.5" customHeight="1">
      <c r="A131" s="9"/>
      <c r="B131" s="226" t="s">
        <v>331</v>
      </c>
      <c r="C131" s="279">
        <v>10000</v>
      </c>
      <c r="D131" s="195"/>
      <c r="E131" s="270"/>
      <c r="F131" s="196"/>
      <c r="G131" s="196"/>
      <c r="H131" s="196"/>
      <c r="I131" s="195"/>
      <c r="J131" s="195"/>
      <c r="K131" s="195"/>
      <c r="L131" s="195"/>
      <c r="M131" s="196"/>
      <c r="N131" s="195"/>
      <c r="O131" s="195"/>
      <c r="P131" s="195"/>
      <c r="Q131" s="195"/>
      <c r="R131" s="218"/>
      <c r="S131" s="220"/>
      <c r="T131" s="220"/>
      <c r="U131" s="218"/>
      <c r="V131" s="218"/>
    </row>
    <row r="132" spans="1:22" ht="25.5" customHeight="1">
      <c r="A132" s="9"/>
      <c r="B132" s="226" t="s">
        <v>333</v>
      </c>
      <c r="C132" s="279">
        <v>15000</v>
      </c>
      <c r="D132" s="195"/>
      <c r="E132" s="270"/>
      <c r="F132" s="196"/>
      <c r="G132" s="196"/>
      <c r="H132" s="196"/>
      <c r="I132" s="195"/>
      <c r="J132" s="195"/>
      <c r="K132" s="195"/>
      <c r="L132" s="195"/>
      <c r="M132" s="196"/>
      <c r="N132" s="195"/>
      <c r="O132" s="195"/>
      <c r="P132" s="195"/>
      <c r="Q132" s="195"/>
      <c r="R132" s="218"/>
      <c r="S132" s="220"/>
      <c r="T132" s="220"/>
      <c r="U132" s="218"/>
      <c r="V132" s="218"/>
    </row>
    <row r="133" spans="1:22" ht="25.5" customHeight="1">
      <c r="A133" s="9"/>
      <c r="B133" s="226" t="s">
        <v>157</v>
      </c>
      <c r="C133" s="279">
        <v>10000</v>
      </c>
      <c r="D133" s="195"/>
      <c r="E133" s="270"/>
      <c r="F133" s="196"/>
      <c r="G133" s="196"/>
      <c r="H133" s="196"/>
      <c r="I133" s="195"/>
      <c r="J133" s="195"/>
      <c r="K133" s="195"/>
      <c r="L133" s="195"/>
      <c r="M133" s="196"/>
      <c r="N133" s="195"/>
      <c r="O133" s="195"/>
      <c r="P133" s="195"/>
      <c r="Q133" s="195"/>
      <c r="R133" s="218"/>
      <c r="S133" s="220"/>
      <c r="T133" s="220"/>
      <c r="U133" s="218"/>
      <c r="V133" s="218"/>
    </row>
    <row r="134" spans="1:22" ht="25.5" customHeight="1">
      <c r="A134" s="9"/>
      <c r="B134" s="226" t="s">
        <v>158</v>
      </c>
      <c r="C134" s="279">
        <v>10000</v>
      </c>
      <c r="D134" s="195"/>
      <c r="E134" s="270"/>
      <c r="F134" s="196"/>
      <c r="G134" s="196"/>
      <c r="H134" s="196"/>
      <c r="I134" s="195"/>
      <c r="J134" s="195"/>
      <c r="K134" s="195"/>
      <c r="L134" s="195"/>
      <c r="M134" s="196"/>
      <c r="N134" s="195"/>
      <c r="O134" s="195"/>
      <c r="P134" s="195"/>
      <c r="Q134" s="195"/>
      <c r="R134" s="218"/>
      <c r="S134" s="220"/>
      <c r="T134" s="220"/>
      <c r="U134" s="218"/>
      <c r="V134" s="218"/>
    </row>
    <row r="135" spans="1:22" ht="25.5" customHeight="1">
      <c r="A135" s="9"/>
      <c r="B135" s="226" t="s">
        <v>352</v>
      </c>
      <c r="C135" s="279">
        <v>10000</v>
      </c>
      <c r="D135" s="195"/>
      <c r="E135" s="270"/>
      <c r="F135" s="196"/>
      <c r="G135" s="196"/>
      <c r="H135" s="196"/>
      <c r="I135" s="195"/>
      <c r="J135" s="195"/>
      <c r="K135" s="195"/>
      <c r="L135" s="195"/>
      <c r="M135" s="196"/>
      <c r="N135" s="195"/>
      <c r="O135" s="195"/>
      <c r="P135" s="195"/>
      <c r="Q135" s="195"/>
      <c r="R135" s="218"/>
      <c r="S135" s="220"/>
      <c r="T135" s="220"/>
      <c r="U135" s="218"/>
      <c r="V135" s="218"/>
    </row>
    <row r="136" spans="1:22" ht="25.5" customHeight="1">
      <c r="A136" s="9"/>
      <c r="B136" s="226" t="s">
        <v>213</v>
      </c>
      <c r="C136" s="279">
        <v>15000</v>
      </c>
      <c r="D136" s="195"/>
      <c r="E136" s="270"/>
      <c r="F136" s="196"/>
      <c r="G136" s="196"/>
      <c r="H136" s="196"/>
      <c r="I136" s="195"/>
      <c r="J136" s="195"/>
      <c r="K136" s="195"/>
      <c r="L136" s="195"/>
      <c r="M136" s="196"/>
      <c r="N136" s="195"/>
      <c r="O136" s="195"/>
      <c r="P136" s="195"/>
      <c r="Q136" s="195"/>
      <c r="R136" s="218"/>
      <c r="S136" s="220"/>
      <c r="T136" s="220"/>
      <c r="U136" s="218"/>
      <c r="V136" s="218"/>
    </row>
    <row r="137" spans="1:22" ht="25.5" customHeight="1">
      <c r="A137" s="9"/>
      <c r="B137" s="226" t="s">
        <v>265</v>
      </c>
      <c r="C137" s="279">
        <v>20000</v>
      </c>
      <c r="D137" s="195"/>
      <c r="E137" s="270"/>
      <c r="F137" s="196"/>
      <c r="G137" s="196"/>
      <c r="H137" s="196"/>
      <c r="I137" s="195"/>
      <c r="J137" s="195"/>
      <c r="K137" s="195"/>
      <c r="L137" s="195"/>
      <c r="M137" s="196"/>
      <c r="N137" s="195"/>
      <c r="O137" s="195"/>
      <c r="P137" s="195"/>
      <c r="Q137" s="195"/>
      <c r="R137" s="218"/>
      <c r="S137" s="220"/>
      <c r="T137" s="220"/>
      <c r="U137" s="218"/>
      <c r="V137" s="218"/>
    </row>
    <row r="138" spans="1:22" ht="25.5" customHeight="1">
      <c r="A138" s="9"/>
      <c r="B138" s="226" t="s">
        <v>353</v>
      </c>
      <c r="C138" s="279">
        <v>5000</v>
      </c>
      <c r="D138" s="195"/>
      <c r="E138" s="270"/>
      <c r="F138" s="196"/>
      <c r="G138" s="196"/>
      <c r="H138" s="196"/>
      <c r="I138" s="195"/>
      <c r="J138" s="195"/>
      <c r="K138" s="195"/>
      <c r="L138" s="195"/>
      <c r="M138" s="196"/>
      <c r="N138" s="195"/>
      <c r="O138" s="195"/>
      <c r="P138" s="195"/>
      <c r="Q138" s="195"/>
      <c r="R138" s="218"/>
      <c r="S138" s="220"/>
      <c r="T138" s="220"/>
      <c r="U138" s="218"/>
      <c r="V138" s="218"/>
    </row>
    <row r="139" spans="1:22" ht="25.5" customHeight="1">
      <c r="A139" s="9"/>
      <c r="B139" s="226" t="s">
        <v>354</v>
      </c>
      <c r="C139" s="279">
        <v>10000</v>
      </c>
      <c r="D139" s="195"/>
      <c r="E139" s="270"/>
      <c r="F139" s="196"/>
      <c r="G139" s="196"/>
      <c r="H139" s="196"/>
      <c r="I139" s="195"/>
      <c r="J139" s="195"/>
      <c r="K139" s="195"/>
      <c r="L139" s="195"/>
      <c r="M139" s="196"/>
      <c r="N139" s="195"/>
      <c r="O139" s="195"/>
      <c r="P139" s="195"/>
      <c r="Q139" s="195"/>
      <c r="R139" s="218"/>
      <c r="S139" s="220"/>
      <c r="T139" s="220"/>
      <c r="U139" s="218"/>
      <c r="V139" s="218"/>
    </row>
    <row r="140" spans="1:22" ht="25.5" customHeight="1">
      <c r="A140" s="9"/>
      <c r="B140" s="187" t="s">
        <v>355</v>
      </c>
      <c r="C140" s="279">
        <v>20000</v>
      </c>
      <c r="D140" s="195"/>
      <c r="E140" s="270"/>
      <c r="F140" s="196"/>
      <c r="G140" s="196"/>
      <c r="H140" s="196"/>
      <c r="I140" s="195"/>
      <c r="J140" s="195"/>
      <c r="K140" s="195"/>
      <c r="L140" s="195"/>
      <c r="M140" s="196"/>
      <c r="N140" s="195"/>
      <c r="O140" s="195"/>
      <c r="P140" s="195"/>
      <c r="Q140" s="195"/>
      <c r="R140" s="218"/>
      <c r="S140" s="220"/>
      <c r="T140" s="220"/>
      <c r="U140" s="218"/>
      <c r="V140" s="218"/>
    </row>
    <row r="141" spans="1:22" ht="25.5" customHeight="1">
      <c r="A141" s="9"/>
      <c r="B141" s="187" t="s">
        <v>356</v>
      </c>
      <c r="C141" s="279">
        <v>20000</v>
      </c>
      <c r="D141" s="195"/>
      <c r="E141" s="270"/>
      <c r="F141" s="196"/>
      <c r="G141" s="196"/>
      <c r="H141" s="196"/>
      <c r="I141" s="195"/>
      <c r="J141" s="195"/>
      <c r="K141" s="195"/>
      <c r="L141" s="195"/>
      <c r="M141" s="196"/>
      <c r="N141" s="195"/>
      <c r="O141" s="195"/>
      <c r="P141" s="195"/>
      <c r="Q141" s="195"/>
      <c r="R141" s="218"/>
      <c r="S141" s="220"/>
      <c r="T141" s="220"/>
      <c r="U141" s="218"/>
      <c r="V141" s="218"/>
    </row>
    <row r="142" spans="1:22" ht="25.5" customHeight="1">
      <c r="A142" s="9"/>
      <c r="B142" s="187" t="s">
        <v>357</v>
      </c>
      <c r="C142" s="279">
        <v>10000</v>
      </c>
      <c r="D142" s="195"/>
      <c r="E142" s="270"/>
      <c r="F142" s="196"/>
      <c r="G142" s="196"/>
      <c r="H142" s="196"/>
      <c r="I142" s="195"/>
      <c r="J142" s="195"/>
      <c r="K142" s="195"/>
      <c r="L142" s="195"/>
      <c r="M142" s="196"/>
      <c r="N142" s="195"/>
      <c r="O142" s="195"/>
      <c r="P142" s="195"/>
      <c r="Q142" s="195"/>
      <c r="R142" s="218"/>
      <c r="S142" s="220"/>
      <c r="T142" s="220"/>
      <c r="U142" s="218"/>
      <c r="V142" s="218"/>
    </row>
    <row r="143" spans="1:22" ht="25.5" customHeight="1">
      <c r="A143" s="9"/>
      <c r="B143" s="187" t="s">
        <v>358</v>
      </c>
      <c r="C143" s="279">
        <v>10000</v>
      </c>
      <c r="D143" s="195"/>
      <c r="E143" s="270"/>
      <c r="F143" s="196"/>
      <c r="G143" s="196"/>
      <c r="H143" s="196"/>
      <c r="I143" s="195"/>
      <c r="J143" s="195"/>
      <c r="K143" s="195"/>
      <c r="L143" s="195"/>
      <c r="M143" s="196"/>
      <c r="N143" s="195"/>
      <c r="O143" s="195"/>
      <c r="P143" s="195"/>
      <c r="Q143" s="195"/>
      <c r="R143" s="218"/>
      <c r="S143" s="220"/>
      <c r="T143" s="220"/>
      <c r="U143" s="218"/>
      <c r="V143" s="218"/>
    </row>
    <row r="144" spans="1:22" ht="25.5" customHeight="1">
      <c r="A144" s="9"/>
      <c r="B144" s="187" t="s">
        <v>359</v>
      </c>
      <c r="C144" s="279">
        <v>5000</v>
      </c>
      <c r="D144" s="195"/>
      <c r="E144" s="270"/>
      <c r="F144" s="196"/>
      <c r="G144" s="196"/>
      <c r="H144" s="196"/>
      <c r="I144" s="195"/>
      <c r="J144" s="195"/>
      <c r="K144" s="195"/>
      <c r="L144" s="195"/>
      <c r="M144" s="196"/>
      <c r="N144" s="195"/>
      <c r="O144" s="195"/>
      <c r="P144" s="195"/>
      <c r="Q144" s="195"/>
      <c r="R144" s="218"/>
      <c r="S144" s="220"/>
      <c r="T144" s="220"/>
      <c r="U144" s="218"/>
      <c r="V144" s="218"/>
    </row>
    <row r="145" spans="1:22" ht="25.5" customHeight="1">
      <c r="A145" s="9"/>
      <c r="B145" s="187" t="s">
        <v>360</v>
      </c>
      <c r="C145" s="279">
        <v>5000</v>
      </c>
      <c r="D145" s="195"/>
      <c r="E145" s="270"/>
      <c r="F145" s="196"/>
      <c r="G145" s="196"/>
      <c r="H145" s="196"/>
      <c r="I145" s="195"/>
      <c r="J145" s="195"/>
      <c r="K145" s="195"/>
      <c r="L145" s="195"/>
      <c r="M145" s="196"/>
      <c r="N145" s="195"/>
      <c r="O145" s="195"/>
      <c r="P145" s="195"/>
      <c r="Q145" s="195"/>
      <c r="R145" s="218"/>
      <c r="S145" s="220"/>
      <c r="T145" s="220"/>
      <c r="U145" s="218"/>
      <c r="V145" s="218"/>
    </row>
    <row r="146" spans="1:22" ht="25.5" customHeight="1">
      <c r="A146" s="9"/>
      <c r="B146" s="187" t="s">
        <v>361</v>
      </c>
      <c r="C146" s="279">
        <v>5000</v>
      </c>
      <c r="D146" s="195"/>
      <c r="E146" s="270"/>
      <c r="F146" s="196"/>
      <c r="G146" s="196"/>
      <c r="H146" s="196"/>
      <c r="I146" s="195"/>
      <c r="J146" s="195"/>
      <c r="K146" s="195"/>
      <c r="L146" s="195"/>
      <c r="M146" s="196"/>
      <c r="N146" s="195"/>
      <c r="O146" s="195"/>
      <c r="P146" s="195"/>
      <c r="Q146" s="195"/>
      <c r="R146" s="218"/>
      <c r="S146" s="220"/>
      <c r="T146" s="220"/>
      <c r="U146" s="218"/>
      <c r="V146" s="218"/>
    </row>
    <row r="147" spans="1:22" ht="25.5" customHeight="1">
      <c r="A147" s="9"/>
      <c r="B147" s="187" t="s">
        <v>362</v>
      </c>
      <c r="C147" s="279">
        <v>5000</v>
      </c>
      <c r="D147" s="195"/>
      <c r="E147" s="270"/>
      <c r="F147" s="196"/>
      <c r="G147" s="196"/>
      <c r="H147" s="196"/>
      <c r="I147" s="195"/>
      <c r="J147" s="195"/>
      <c r="K147" s="195"/>
      <c r="L147" s="195"/>
      <c r="M147" s="196"/>
      <c r="N147" s="195"/>
      <c r="O147" s="195"/>
      <c r="P147" s="195"/>
      <c r="Q147" s="195"/>
      <c r="R147" s="218"/>
      <c r="S147" s="220"/>
      <c r="T147" s="220"/>
      <c r="U147" s="218"/>
      <c r="V147" s="218"/>
    </row>
    <row r="148" spans="1:22" ht="25.5" customHeight="1">
      <c r="A148" s="9"/>
      <c r="B148" s="187" t="s">
        <v>363</v>
      </c>
      <c r="C148" s="279">
        <v>5000</v>
      </c>
      <c r="D148" s="131"/>
      <c r="E148" s="267"/>
      <c r="F148" s="135"/>
      <c r="G148" s="135"/>
      <c r="H148" s="135"/>
      <c r="I148" s="131"/>
      <c r="J148" s="131"/>
      <c r="K148" s="131"/>
      <c r="L148" s="131"/>
      <c r="M148" s="135"/>
      <c r="N148" s="131"/>
      <c r="O148" s="131"/>
      <c r="P148" s="131"/>
      <c r="Q148" s="131"/>
      <c r="R148" s="217"/>
      <c r="S148" s="219"/>
      <c r="T148" s="219"/>
      <c r="U148" s="217"/>
      <c r="V148" s="217"/>
    </row>
    <row r="149" spans="1:22" ht="25.5" customHeight="1">
      <c r="A149" s="9"/>
      <c r="B149" s="187" t="s">
        <v>364</v>
      </c>
      <c r="C149" s="279">
        <v>5000</v>
      </c>
      <c r="D149" s="131"/>
      <c r="E149" s="267"/>
      <c r="F149" s="135"/>
      <c r="G149" s="135"/>
      <c r="H149" s="135"/>
      <c r="I149" s="131"/>
      <c r="J149" s="131"/>
      <c r="K149" s="131"/>
      <c r="L149" s="131"/>
      <c r="M149" s="135"/>
      <c r="N149" s="131"/>
      <c r="O149" s="131"/>
      <c r="P149" s="131"/>
      <c r="Q149" s="131"/>
      <c r="R149" s="217"/>
      <c r="S149" s="219"/>
      <c r="T149" s="219"/>
      <c r="U149" s="217"/>
      <c r="V149" s="217"/>
    </row>
    <row r="150" spans="1:22" ht="25.5" customHeight="1">
      <c r="A150" s="9"/>
      <c r="B150" s="187" t="s">
        <v>365</v>
      </c>
      <c r="C150" s="279">
        <v>5000</v>
      </c>
      <c r="D150" s="131"/>
      <c r="E150" s="267"/>
      <c r="F150" s="135"/>
      <c r="G150" s="135"/>
      <c r="H150" s="135"/>
      <c r="I150" s="131"/>
      <c r="J150" s="131"/>
      <c r="K150" s="131"/>
      <c r="L150" s="131"/>
      <c r="M150" s="135"/>
      <c r="N150" s="131"/>
      <c r="O150" s="131"/>
      <c r="P150" s="131"/>
      <c r="Q150" s="131"/>
      <c r="R150" s="217"/>
      <c r="S150" s="219"/>
      <c r="T150" s="219"/>
      <c r="U150" s="217"/>
      <c r="V150" s="217"/>
    </row>
    <row r="151" spans="1:22" ht="25.5" customHeight="1">
      <c r="A151" s="9"/>
      <c r="B151" s="187" t="s">
        <v>366</v>
      </c>
      <c r="C151" s="279">
        <v>5000</v>
      </c>
      <c r="D151" s="131"/>
      <c r="E151" s="267"/>
      <c r="F151" s="135"/>
      <c r="G151" s="135"/>
      <c r="H151" s="135"/>
      <c r="I151" s="131"/>
      <c r="J151" s="131"/>
      <c r="K151" s="131"/>
      <c r="L151" s="131"/>
      <c r="M151" s="135"/>
      <c r="N151" s="131"/>
      <c r="O151" s="131"/>
      <c r="P151" s="131"/>
      <c r="Q151" s="131"/>
      <c r="R151" s="217"/>
      <c r="S151" s="219"/>
      <c r="T151" s="219"/>
      <c r="U151" s="217"/>
      <c r="V151" s="217"/>
    </row>
    <row r="152" spans="1:22" ht="25.5" customHeight="1">
      <c r="A152" s="9"/>
      <c r="B152" s="187" t="s">
        <v>367</v>
      </c>
      <c r="C152" s="279">
        <v>5000</v>
      </c>
      <c r="D152" s="131"/>
      <c r="E152" s="267"/>
      <c r="F152" s="135"/>
      <c r="G152" s="135"/>
      <c r="H152" s="135"/>
      <c r="I152" s="131"/>
      <c r="J152" s="131"/>
      <c r="K152" s="131"/>
      <c r="L152" s="131"/>
      <c r="M152" s="135"/>
      <c r="N152" s="131"/>
      <c r="O152" s="131"/>
      <c r="P152" s="131"/>
      <c r="Q152" s="131"/>
      <c r="R152" s="217"/>
      <c r="S152" s="219"/>
      <c r="T152" s="219"/>
      <c r="U152" s="217"/>
      <c r="V152" s="217"/>
    </row>
    <row r="153" spans="1:22" ht="25.5" customHeight="1">
      <c r="A153" s="9"/>
      <c r="B153" s="187" t="s">
        <v>368</v>
      </c>
      <c r="C153" s="279">
        <v>5000</v>
      </c>
      <c r="D153" s="131"/>
      <c r="E153" s="267"/>
      <c r="F153" s="135"/>
      <c r="G153" s="135"/>
      <c r="H153" s="135"/>
      <c r="I153" s="131"/>
      <c r="J153" s="131"/>
      <c r="K153" s="131"/>
      <c r="L153" s="131"/>
      <c r="M153" s="135"/>
      <c r="N153" s="131"/>
      <c r="O153" s="131"/>
      <c r="P153" s="131"/>
      <c r="Q153" s="131"/>
      <c r="R153" s="217"/>
      <c r="S153" s="219"/>
      <c r="T153" s="219"/>
      <c r="U153" s="217"/>
      <c r="V153" s="217"/>
    </row>
    <row r="154" spans="1:22" ht="25.5" customHeight="1">
      <c r="A154" s="9"/>
      <c r="B154" s="187" t="s">
        <v>369</v>
      </c>
      <c r="C154" s="279">
        <v>10000</v>
      </c>
      <c r="D154" s="131"/>
      <c r="E154" s="267"/>
      <c r="F154" s="135"/>
      <c r="G154" s="135"/>
      <c r="H154" s="135"/>
      <c r="I154" s="131"/>
      <c r="J154" s="131"/>
      <c r="K154" s="131"/>
      <c r="L154" s="131"/>
      <c r="M154" s="135"/>
      <c r="N154" s="131"/>
      <c r="O154" s="131"/>
      <c r="P154" s="131"/>
      <c r="Q154" s="131"/>
      <c r="R154" s="217"/>
      <c r="S154" s="219"/>
      <c r="T154" s="219"/>
      <c r="U154" s="217"/>
      <c r="V154" s="217"/>
    </row>
    <row r="155" spans="1:22" ht="25.5" customHeight="1">
      <c r="A155" s="9"/>
      <c r="B155" s="187" t="s">
        <v>370</v>
      </c>
      <c r="C155" s="279">
        <v>10000</v>
      </c>
      <c r="D155" s="131"/>
      <c r="E155" s="267"/>
      <c r="F155" s="135"/>
      <c r="G155" s="135"/>
      <c r="H155" s="135"/>
      <c r="I155" s="131"/>
      <c r="J155" s="131"/>
      <c r="K155" s="131"/>
      <c r="L155" s="131"/>
      <c r="M155" s="135"/>
      <c r="N155" s="131"/>
      <c r="O155" s="131"/>
      <c r="P155" s="131"/>
      <c r="Q155" s="131"/>
      <c r="R155" s="217"/>
      <c r="S155" s="219"/>
      <c r="T155" s="219"/>
      <c r="U155" s="217"/>
      <c r="V155" s="217"/>
    </row>
    <row r="156" spans="1:22" ht="25.5" customHeight="1">
      <c r="A156" s="9"/>
      <c r="B156" s="187" t="s">
        <v>163</v>
      </c>
      <c r="C156" s="279">
        <v>350000</v>
      </c>
      <c r="D156" s="131"/>
      <c r="E156" s="267"/>
      <c r="F156" s="135"/>
      <c r="G156" s="135"/>
      <c r="H156" s="135"/>
      <c r="I156" s="131"/>
      <c r="J156" s="131"/>
      <c r="K156" s="131"/>
      <c r="L156" s="131"/>
      <c r="M156" s="135"/>
      <c r="N156" s="131"/>
      <c r="O156" s="131"/>
      <c r="P156" s="131"/>
      <c r="Q156" s="131"/>
      <c r="R156" s="217"/>
      <c r="S156" s="219"/>
      <c r="T156" s="219"/>
      <c r="U156" s="217"/>
      <c r="V156" s="217"/>
    </row>
    <row r="157" spans="1:22" ht="25.5" customHeight="1">
      <c r="A157" s="9"/>
      <c r="B157" s="187" t="s">
        <v>214</v>
      </c>
      <c r="C157" s="279">
        <v>25000</v>
      </c>
      <c r="D157" s="131"/>
      <c r="E157" s="267"/>
      <c r="F157" s="135"/>
      <c r="G157" s="135"/>
      <c r="H157" s="135"/>
      <c r="I157" s="131"/>
      <c r="J157" s="131"/>
      <c r="K157" s="131"/>
      <c r="L157" s="131"/>
      <c r="M157" s="135"/>
      <c r="N157" s="131"/>
      <c r="O157" s="131"/>
      <c r="P157" s="131"/>
      <c r="Q157" s="131"/>
      <c r="R157" s="217"/>
      <c r="S157" s="219"/>
      <c r="T157" s="219"/>
      <c r="U157" s="217"/>
      <c r="V157" s="217"/>
    </row>
    <row r="158" spans="1:22" ht="25.5" customHeight="1">
      <c r="A158" s="9"/>
      <c r="B158" s="187" t="s">
        <v>167</v>
      </c>
      <c r="C158" s="279">
        <v>30000</v>
      </c>
      <c r="D158" s="131"/>
      <c r="E158" s="267"/>
      <c r="F158" s="135"/>
      <c r="G158" s="135"/>
      <c r="H158" s="135"/>
      <c r="I158" s="131"/>
      <c r="J158" s="131"/>
      <c r="K158" s="131"/>
      <c r="L158" s="131"/>
      <c r="M158" s="135"/>
      <c r="N158" s="131"/>
      <c r="O158" s="131"/>
      <c r="P158" s="131"/>
      <c r="Q158" s="131"/>
      <c r="R158" s="217"/>
      <c r="S158" s="219"/>
      <c r="T158" s="219"/>
      <c r="U158" s="217"/>
      <c r="V158" s="217"/>
    </row>
    <row r="159" spans="1:22" ht="25.5" customHeight="1">
      <c r="A159" s="9"/>
      <c r="B159" s="187" t="s">
        <v>371</v>
      </c>
      <c r="C159" s="279">
        <v>30000</v>
      </c>
      <c r="D159" s="131"/>
      <c r="E159" s="267"/>
      <c r="F159" s="135"/>
      <c r="G159" s="135"/>
      <c r="H159" s="135"/>
      <c r="I159" s="131"/>
      <c r="J159" s="131"/>
      <c r="K159" s="131"/>
      <c r="L159" s="131"/>
      <c r="M159" s="135"/>
      <c r="N159" s="131"/>
      <c r="O159" s="131"/>
      <c r="P159" s="131"/>
      <c r="Q159" s="131"/>
      <c r="R159" s="217"/>
      <c r="S159" s="219"/>
      <c r="T159" s="219"/>
      <c r="U159" s="217"/>
      <c r="V159" s="217"/>
    </row>
    <row r="160" spans="1:22" ht="25.5" customHeight="1">
      <c r="A160" s="9"/>
      <c r="B160" s="187" t="s">
        <v>170</v>
      </c>
      <c r="C160" s="279">
        <v>40000</v>
      </c>
      <c r="D160" s="131"/>
      <c r="E160" s="267"/>
      <c r="F160" s="135"/>
      <c r="G160" s="135"/>
      <c r="H160" s="135"/>
      <c r="I160" s="131"/>
      <c r="J160" s="131"/>
      <c r="K160" s="131"/>
      <c r="L160" s="131"/>
      <c r="M160" s="135"/>
      <c r="N160" s="131"/>
      <c r="O160" s="131"/>
      <c r="P160" s="131"/>
      <c r="Q160" s="131"/>
      <c r="R160" s="217"/>
      <c r="S160" s="219"/>
      <c r="T160" s="219"/>
      <c r="U160" s="217"/>
      <c r="V160" s="217"/>
    </row>
    <row r="161" spans="1:23" ht="25.5" customHeight="1">
      <c r="A161" s="9"/>
      <c r="B161" s="187" t="s">
        <v>266</v>
      </c>
      <c r="C161" s="279">
        <v>15000</v>
      </c>
      <c r="D161" s="131"/>
      <c r="E161" s="267"/>
      <c r="F161" s="135"/>
      <c r="G161" s="135"/>
      <c r="H161" s="135"/>
      <c r="I161" s="131"/>
      <c r="J161" s="131"/>
      <c r="K161" s="131"/>
      <c r="L161" s="131"/>
      <c r="M161" s="135"/>
      <c r="N161" s="131"/>
      <c r="O161" s="131"/>
      <c r="P161" s="131"/>
      <c r="Q161" s="131"/>
      <c r="R161" s="217"/>
      <c r="S161" s="219"/>
      <c r="T161" s="219"/>
      <c r="U161" s="217"/>
      <c r="V161" s="217"/>
    </row>
    <row r="162" spans="1:23" ht="25.5" customHeight="1">
      <c r="A162" s="9"/>
      <c r="B162" s="187" t="s">
        <v>372</v>
      </c>
      <c r="C162" s="279">
        <v>65000</v>
      </c>
      <c r="D162" s="131"/>
      <c r="E162" s="267"/>
      <c r="F162" s="135"/>
      <c r="G162" s="135"/>
      <c r="H162" s="135"/>
      <c r="I162" s="131"/>
      <c r="J162" s="131"/>
      <c r="K162" s="131"/>
      <c r="L162" s="131"/>
      <c r="M162" s="135"/>
      <c r="N162" s="131"/>
      <c r="O162" s="131"/>
      <c r="P162" s="131"/>
      <c r="Q162" s="131"/>
      <c r="R162" s="217"/>
      <c r="S162" s="135">
        <v>60000</v>
      </c>
      <c r="T162" s="135"/>
      <c r="U162" s="217"/>
      <c r="V162" s="217"/>
    </row>
    <row r="163" spans="1:23" ht="25.5" customHeight="1">
      <c r="A163" s="9"/>
      <c r="B163" s="187" t="s">
        <v>373</v>
      </c>
      <c r="C163" s="279">
        <v>65000</v>
      </c>
      <c r="D163" s="131"/>
      <c r="E163" s="267"/>
      <c r="F163" s="135"/>
      <c r="G163" s="135"/>
      <c r="H163" s="135"/>
      <c r="I163" s="131"/>
      <c r="J163" s="131"/>
      <c r="K163" s="131"/>
      <c r="L163" s="131"/>
      <c r="M163" s="135"/>
      <c r="N163" s="131"/>
      <c r="O163" s="131"/>
      <c r="P163" s="131"/>
      <c r="Q163" s="131"/>
      <c r="R163" s="217"/>
      <c r="S163" s="219"/>
      <c r="T163" s="219"/>
      <c r="U163" s="217"/>
      <c r="V163" s="217"/>
    </row>
    <row r="164" spans="1:23" ht="25.5" customHeight="1">
      <c r="A164" s="9"/>
      <c r="B164" s="187" t="s">
        <v>374</v>
      </c>
      <c r="C164" s="279">
        <v>20000</v>
      </c>
      <c r="D164" s="131"/>
      <c r="E164" s="267"/>
      <c r="F164" s="135"/>
      <c r="G164" s="135"/>
      <c r="H164" s="135"/>
      <c r="I164" s="131"/>
      <c r="J164" s="131"/>
      <c r="K164" s="131"/>
      <c r="L164" s="131"/>
      <c r="M164" s="135"/>
      <c r="N164" s="131"/>
      <c r="O164" s="131"/>
      <c r="P164" s="131"/>
      <c r="Q164" s="131"/>
      <c r="R164" s="217"/>
      <c r="S164" s="219"/>
      <c r="T164" s="219"/>
      <c r="U164" s="217"/>
      <c r="V164" s="217"/>
    </row>
    <row r="165" spans="1:23" ht="25.5" customHeight="1">
      <c r="A165" s="9"/>
      <c r="B165" s="187" t="s">
        <v>375</v>
      </c>
      <c r="C165" s="279">
        <v>20000</v>
      </c>
      <c r="D165" s="131"/>
      <c r="E165" s="267"/>
      <c r="F165" s="135"/>
      <c r="G165" s="135"/>
      <c r="H165" s="135"/>
      <c r="I165" s="131"/>
      <c r="J165" s="131"/>
      <c r="K165" s="131"/>
      <c r="L165" s="131"/>
      <c r="M165" s="135"/>
      <c r="N165" s="131"/>
      <c r="O165" s="131"/>
      <c r="P165" s="131"/>
      <c r="Q165" s="131"/>
      <c r="R165" s="217"/>
      <c r="S165" s="219"/>
      <c r="T165" s="219"/>
      <c r="U165" s="217"/>
      <c r="V165" s="217"/>
    </row>
    <row r="166" spans="1:23" ht="25.5" customHeight="1">
      <c r="A166" s="9"/>
      <c r="B166" s="187" t="s">
        <v>376</v>
      </c>
      <c r="C166" s="279">
        <v>25000</v>
      </c>
      <c r="D166" s="131"/>
      <c r="E166" s="267"/>
      <c r="F166" s="135"/>
      <c r="G166" s="135"/>
      <c r="H166" s="135"/>
      <c r="I166" s="131"/>
      <c r="J166" s="131"/>
      <c r="K166" s="131"/>
      <c r="L166" s="131"/>
      <c r="M166" s="135"/>
      <c r="N166" s="131"/>
      <c r="O166" s="131"/>
      <c r="P166" s="131"/>
      <c r="Q166" s="131"/>
      <c r="R166" s="217"/>
      <c r="S166" s="219"/>
      <c r="T166" s="219"/>
      <c r="U166" s="217"/>
      <c r="V166" s="217"/>
    </row>
    <row r="167" spans="1:23" ht="25.5" customHeight="1">
      <c r="A167" s="9"/>
      <c r="B167" s="187" t="s">
        <v>377</v>
      </c>
      <c r="C167" s="279">
        <v>20000</v>
      </c>
      <c r="D167" s="131"/>
      <c r="E167" s="267"/>
      <c r="F167" s="135"/>
      <c r="G167" s="135"/>
      <c r="H167" s="135"/>
      <c r="I167" s="131"/>
      <c r="J167" s="131"/>
      <c r="K167" s="131"/>
      <c r="L167" s="131"/>
      <c r="M167" s="135"/>
      <c r="N167" s="131"/>
      <c r="O167" s="131"/>
      <c r="P167" s="131"/>
      <c r="Q167" s="131"/>
      <c r="R167" s="217"/>
      <c r="S167" s="219"/>
      <c r="T167" s="219"/>
      <c r="U167" s="217"/>
      <c r="V167" s="217"/>
    </row>
    <row r="168" spans="1:23" ht="25.5" customHeight="1">
      <c r="A168" s="9"/>
      <c r="B168" s="187" t="s">
        <v>267</v>
      </c>
      <c r="C168" s="279">
        <v>15000</v>
      </c>
      <c r="D168" s="131"/>
      <c r="E168" s="267"/>
      <c r="F168" s="135"/>
      <c r="G168" s="135"/>
      <c r="H168" s="135"/>
      <c r="I168" s="131"/>
      <c r="J168" s="131"/>
      <c r="K168" s="131"/>
      <c r="L168" s="131"/>
      <c r="M168" s="135"/>
      <c r="N168" s="131"/>
      <c r="O168" s="131"/>
      <c r="P168" s="131"/>
      <c r="Q168" s="131"/>
      <c r="R168" s="217"/>
      <c r="S168" s="219"/>
      <c r="T168" s="219"/>
      <c r="U168" s="217"/>
      <c r="V168" s="217"/>
    </row>
    <row r="169" spans="1:23" ht="25.5" customHeight="1">
      <c r="A169" s="9"/>
      <c r="B169" s="187" t="s">
        <v>215</v>
      </c>
      <c r="C169" s="279">
        <v>10000</v>
      </c>
      <c r="D169" s="131"/>
      <c r="E169" s="267"/>
      <c r="F169" s="135"/>
      <c r="G169" s="135"/>
      <c r="H169" s="135"/>
      <c r="I169" s="131"/>
      <c r="J169" s="131"/>
      <c r="K169" s="131"/>
      <c r="L169" s="131"/>
      <c r="M169" s="135"/>
      <c r="N169" s="131"/>
      <c r="O169" s="131"/>
      <c r="P169" s="131"/>
      <c r="Q169" s="131"/>
      <c r="R169" s="217"/>
      <c r="S169" s="219"/>
      <c r="T169" s="219"/>
      <c r="U169" s="217"/>
      <c r="V169" s="217"/>
    </row>
    <row r="170" spans="1:23" ht="25.5" customHeight="1">
      <c r="A170" s="9"/>
      <c r="B170" s="187" t="s">
        <v>268</v>
      </c>
      <c r="C170" s="279">
        <v>5000</v>
      </c>
      <c r="D170" s="131"/>
      <c r="E170" s="267"/>
      <c r="F170" s="135"/>
      <c r="G170" s="135"/>
      <c r="H170" s="135"/>
      <c r="I170" s="131"/>
      <c r="J170" s="131"/>
      <c r="K170" s="131"/>
      <c r="L170" s="131"/>
      <c r="M170" s="135"/>
      <c r="N170" s="131"/>
      <c r="O170" s="131"/>
      <c r="P170" s="131"/>
      <c r="Q170" s="131"/>
      <c r="R170" s="217"/>
      <c r="S170" s="219"/>
      <c r="T170" s="219"/>
      <c r="U170" s="217"/>
      <c r="V170" s="217"/>
    </row>
    <row r="171" spans="1:23" ht="25.5" customHeight="1">
      <c r="A171" s="9"/>
      <c r="B171" s="187"/>
      <c r="C171" s="279"/>
      <c r="D171" s="131"/>
      <c r="E171" s="267"/>
      <c r="F171" s="135"/>
      <c r="G171" s="135"/>
      <c r="H171" s="135"/>
      <c r="I171" s="131"/>
      <c r="J171" s="131"/>
      <c r="K171" s="131"/>
      <c r="L171" s="131"/>
      <c r="M171" s="135"/>
      <c r="N171" s="131"/>
      <c r="O171" s="131"/>
      <c r="P171" s="131"/>
      <c r="Q171" s="131"/>
      <c r="R171" s="217"/>
      <c r="S171" s="219"/>
      <c r="T171" s="219"/>
      <c r="U171" s="217"/>
      <c r="V171" s="217"/>
    </row>
    <row r="172" spans="1:23" ht="25.5" customHeight="1">
      <c r="A172" s="9"/>
      <c r="B172" s="187"/>
      <c r="C172" s="279"/>
      <c r="D172" s="131"/>
      <c r="E172" s="267"/>
      <c r="F172" s="135"/>
      <c r="G172" s="135"/>
      <c r="H172" s="135"/>
      <c r="I172" s="131"/>
      <c r="J172" s="131"/>
      <c r="K172" s="131"/>
      <c r="L172" s="131"/>
      <c r="M172" s="135"/>
      <c r="N172" s="131"/>
      <c r="O172" s="131"/>
      <c r="P172" s="131"/>
      <c r="Q172" s="131"/>
      <c r="R172" s="217"/>
      <c r="S172" s="219"/>
      <c r="T172" s="219"/>
      <c r="U172" s="217"/>
      <c r="V172" s="217"/>
    </row>
    <row r="173" spans="1:23" ht="25.5" customHeight="1">
      <c r="A173" s="9"/>
      <c r="B173" s="187"/>
      <c r="C173" s="279"/>
      <c r="D173" s="131"/>
      <c r="E173" s="267"/>
      <c r="F173" s="135"/>
      <c r="G173" s="135"/>
      <c r="H173" s="135"/>
      <c r="I173" s="131"/>
      <c r="J173" s="131"/>
      <c r="K173" s="131"/>
      <c r="L173" s="131"/>
      <c r="M173" s="135"/>
      <c r="N173" s="131"/>
      <c r="O173" s="131"/>
      <c r="P173" s="131"/>
      <c r="Q173" s="131"/>
      <c r="R173" s="217"/>
      <c r="S173" s="219"/>
      <c r="T173" s="219"/>
      <c r="U173" s="217"/>
      <c r="V173" s="217"/>
    </row>
    <row r="174" spans="1:23" ht="25.5" customHeight="1">
      <c r="A174" s="9"/>
      <c r="B174" s="187"/>
      <c r="C174" s="279"/>
      <c r="D174" s="131"/>
      <c r="E174" s="267"/>
      <c r="F174" s="135"/>
      <c r="G174" s="135"/>
      <c r="H174" s="135"/>
      <c r="I174" s="131"/>
      <c r="J174" s="131"/>
      <c r="K174" s="131"/>
      <c r="L174" s="131"/>
      <c r="M174" s="135"/>
      <c r="N174" s="131"/>
      <c r="O174" s="131"/>
      <c r="P174" s="131"/>
      <c r="Q174" s="131"/>
      <c r="R174" s="217"/>
      <c r="S174" s="219"/>
      <c r="T174" s="219"/>
      <c r="U174" s="217"/>
      <c r="V174" s="217"/>
      <c r="W174" s="310">
        <v>367348.01</v>
      </c>
    </row>
    <row r="175" spans="1:23" ht="25.5" customHeight="1">
      <c r="A175" s="9"/>
      <c r="B175" s="187"/>
      <c r="C175" s="279"/>
      <c r="D175" s="131"/>
      <c r="E175" s="267"/>
      <c r="F175" s="135"/>
      <c r="G175" s="135"/>
      <c r="H175" s="135"/>
      <c r="I175" s="131"/>
      <c r="J175" s="131"/>
      <c r="K175" s="131"/>
      <c r="L175" s="131"/>
      <c r="M175" s="135"/>
      <c r="N175" s="131"/>
      <c r="O175" s="131"/>
      <c r="P175" s="131"/>
      <c r="Q175" s="131"/>
      <c r="R175" s="217"/>
      <c r="S175" s="219"/>
      <c r="T175" s="219"/>
      <c r="U175" s="217"/>
      <c r="V175" s="217"/>
    </row>
    <row r="176" spans="1:23" ht="25.5" customHeight="1" thickBot="1">
      <c r="A176" s="15"/>
      <c r="B176" s="14" t="s">
        <v>5</v>
      </c>
      <c r="C176" s="170">
        <f>SUM(C51:C175)</f>
        <v>5945800</v>
      </c>
      <c r="D176" s="255">
        <f>SUM(D51:D175)</f>
        <v>0</v>
      </c>
      <c r="E176" s="254">
        <f>SUM(E51:E175)</f>
        <v>172610.01</v>
      </c>
      <c r="F176" s="254">
        <f>SUM(F51:F175)</f>
        <v>15500</v>
      </c>
      <c r="G176" s="255">
        <f t="shared" ref="G176:V176" si="4">SUM(G51:G175)</f>
        <v>0</v>
      </c>
      <c r="H176" s="254">
        <f>SUM(H51:H175)</f>
        <v>94740</v>
      </c>
      <c r="I176" s="255">
        <f t="shared" si="4"/>
        <v>0</v>
      </c>
      <c r="J176" s="255">
        <f t="shared" si="4"/>
        <v>0</v>
      </c>
      <c r="K176" s="255">
        <f t="shared" si="4"/>
        <v>0</v>
      </c>
      <c r="L176" s="255">
        <f t="shared" si="4"/>
        <v>0</v>
      </c>
      <c r="M176" s="254">
        <f>SUM(M51:M175)</f>
        <v>32166</v>
      </c>
      <c r="N176" s="255">
        <f t="shared" si="4"/>
        <v>0</v>
      </c>
      <c r="O176" s="255">
        <f t="shared" si="4"/>
        <v>0</v>
      </c>
      <c r="P176" s="255">
        <f t="shared" si="4"/>
        <v>0</v>
      </c>
      <c r="Q176" s="255">
        <f t="shared" si="4"/>
        <v>0</v>
      </c>
      <c r="R176" s="255">
        <f t="shared" si="4"/>
        <v>0</v>
      </c>
      <c r="S176" s="255">
        <f>SUM(S51:S175)</f>
        <v>60000</v>
      </c>
      <c r="T176" s="255"/>
      <c r="U176" s="255">
        <f t="shared" si="4"/>
        <v>0</v>
      </c>
      <c r="V176" s="255">
        <f t="shared" si="4"/>
        <v>0</v>
      </c>
      <c r="W176" s="314">
        <f>SUM(D176:V176)</f>
        <v>375016.01</v>
      </c>
    </row>
    <row r="177" spans="1:23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3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3" ht="25.5" customHeight="1">
      <c r="A178" s="9"/>
      <c r="B178" s="130" t="s">
        <v>111</v>
      </c>
      <c r="C178" s="216">
        <f>50000+25000+5000+25000+10000</f>
        <v>115000</v>
      </c>
      <c r="D178" s="131"/>
      <c r="E178" s="267"/>
      <c r="F178" s="135"/>
      <c r="G178" s="135"/>
      <c r="H178" s="135">
        <v>4095</v>
      </c>
      <c r="I178" s="131"/>
      <c r="J178" s="131"/>
      <c r="K178" s="131"/>
      <c r="L178" s="131"/>
      <c r="M178" s="135"/>
      <c r="N178" s="131"/>
      <c r="O178" s="131"/>
      <c r="P178" s="131"/>
      <c r="Q178" s="131"/>
      <c r="R178" s="217"/>
      <c r="S178" s="219"/>
      <c r="T178" s="219"/>
      <c r="U178" s="217"/>
      <c r="V178" s="217"/>
      <c r="W178" s="321">
        <f>+W176-W174</f>
        <v>7668</v>
      </c>
    </row>
    <row r="179" spans="1:23" s="67" customFormat="1" ht="25.5" customHeight="1">
      <c r="A179" s="9"/>
      <c r="B179" s="130" t="s">
        <v>302</v>
      </c>
      <c r="C179" s="216">
        <v>10000</v>
      </c>
      <c r="D179" s="131"/>
      <c r="E179" s="267"/>
      <c r="F179" s="135"/>
      <c r="G179" s="135"/>
      <c r="H179" s="135"/>
      <c r="I179" s="131"/>
      <c r="J179" s="131"/>
      <c r="K179" s="131"/>
      <c r="L179" s="131"/>
      <c r="M179" s="135"/>
      <c r="N179" s="131"/>
      <c r="O179" s="131"/>
      <c r="P179" s="131"/>
      <c r="Q179" s="131"/>
      <c r="R179" s="217"/>
      <c r="S179" s="219"/>
      <c r="T179" s="219"/>
      <c r="U179" s="217"/>
      <c r="V179" s="217"/>
      <c r="W179" s="312"/>
    </row>
    <row r="180" spans="1:23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>
        <v>1039</v>
      </c>
      <c r="F180" s="135"/>
      <c r="G180" s="135"/>
      <c r="H180" s="135"/>
      <c r="I180" s="131"/>
      <c r="J180" s="131"/>
      <c r="K180" s="131"/>
      <c r="L180" s="131"/>
      <c r="M180" s="135"/>
      <c r="N180" s="131"/>
      <c r="O180" s="131"/>
      <c r="P180" s="131"/>
      <c r="Q180" s="131"/>
      <c r="R180" s="217"/>
      <c r="S180" s="219"/>
      <c r="T180" s="219"/>
      <c r="U180" s="217"/>
      <c r="V180" s="217"/>
      <c r="W180" s="312"/>
    </row>
    <row r="181" spans="1:23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>
        <v>5520</v>
      </c>
      <c r="F181" s="135"/>
      <c r="G181" s="135"/>
      <c r="H181" s="135"/>
      <c r="I181" s="131"/>
      <c r="J181" s="131"/>
      <c r="K181" s="131"/>
      <c r="L181" s="131"/>
      <c r="M181" s="135"/>
      <c r="N181" s="131"/>
      <c r="O181" s="131"/>
      <c r="P181" s="131"/>
      <c r="Q181" s="131"/>
      <c r="R181" s="217"/>
      <c r="S181" s="219"/>
      <c r="T181" s="219"/>
      <c r="U181" s="217"/>
      <c r="V181" s="217"/>
      <c r="W181" s="312"/>
    </row>
    <row r="182" spans="1:23" ht="25.5" customHeight="1">
      <c r="A182" s="9"/>
      <c r="B182" s="130" t="s">
        <v>17</v>
      </c>
      <c r="C182" s="216">
        <f>15000+25000+20000</f>
        <v>60000</v>
      </c>
      <c r="D182" s="133"/>
      <c r="E182" s="269"/>
      <c r="F182" s="136"/>
      <c r="G182" s="136"/>
      <c r="H182" s="136"/>
      <c r="I182" s="133"/>
      <c r="J182" s="133"/>
      <c r="K182" s="133"/>
      <c r="L182" s="133"/>
      <c r="M182" s="136"/>
      <c r="N182" s="133"/>
      <c r="O182" s="133"/>
      <c r="P182" s="133"/>
      <c r="Q182" s="133"/>
      <c r="R182" s="217"/>
      <c r="S182" s="219"/>
      <c r="T182" s="259"/>
      <c r="U182" s="258"/>
      <c r="V182" s="258"/>
    </row>
    <row r="183" spans="1:23" ht="25.5" customHeight="1">
      <c r="A183" s="9"/>
      <c r="B183" s="130" t="s">
        <v>13</v>
      </c>
      <c r="C183" s="216">
        <v>15000</v>
      </c>
      <c r="D183" s="131"/>
      <c r="E183" s="267"/>
      <c r="F183" s="135"/>
      <c r="G183" s="135"/>
      <c r="H183" s="135"/>
      <c r="I183" s="131"/>
      <c r="J183" s="131"/>
      <c r="K183" s="131"/>
      <c r="L183" s="131"/>
      <c r="M183" s="135"/>
      <c r="N183" s="131"/>
      <c r="O183" s="131"/>
      <c r="P183" s="131"/>
      <c r="Q183" s="131"/>
      <c r="R183" s="217"/>
      <c r="S183" s="219"/>
      <c r="T183" s="219"/>
      <c r="U183" s="217"/>
      <c r="V183" s="217"/>
    </row>
    <row r="184" spans="1:23" ht="25.5" customHeight="1">
      <c r="A184" s="9"/>
      <c r="B184" s="130" t="s">
        <v>14</v>
      </c>
      <c r="C184" s="216">
        <f>240000+5000+20000</f>
        <v>265000</v>
      </c>
      <c r="D184" s="133"/>
      <c r="E184" s="269">
        <v>19971</v>
      </c>
      <c r="F184" s="136">
        <v>121</v>
      </c>
      <c r="G184" s="136"/>
      <c r="H184" s="136"/>
      <c r="I184" s="133"/>
      <c r="J184" s="133"/>
      <c r="K184" s="133"/>
      <c r="L184" s="133"/>
      <c r="M184" s="136">
        <v>1036.9000000000001</v>
      </c>
      <c r="N184" s="133"/>
      <c r="O184" s="133"/>
      <c r="P184" s="133"/>
      <c r="Q184" s="133"/>
      <c r="R184" s="217"/>
      <c r="S184" s="219"/>
      <c r="T184" s="219"/>
      <c r="U184" s="217"/>
      <c r="V184" s="217"/>
    </row>
    <row r="185" spans="1:23" ht="25.5" customHeight="1">
      <c r="A185" s="9"/>
      <c r="B185" s="130" t="s">
        <v>112</v>
      </c>
      <c r="C185" s="216">
        <f>5000+5000+5000</f>
        <v>15000</v>
      </c>
      <c r="D185" s="133"/>
      <c r="E185" s="269"/>
      <c r="F185" s="136"/>
      <c r="G185" s="136"/>
      <c r="H185" s="136"/>
      <c r="I185" s="133"/>
      <c r="J185" s="133"/>
      <c r="K185" s="133"/>
      <c r="L185" s="133"/>
      <c r="M185" s="136"/>
      <c r="N185" s="133"/>
      <c r="O185" s="133"/>
      <c r="P185" s="133"/>
      <c r="Q185" s="133"/>
      <c r="R185" s="217"/>
      <c r="S185" s="219"/>
      <c r="T185" s="219"/>
      <c r="U185" s="217"/>
      <c r="V185" s="217"/>
    </row>
    <row r="186" spans="1:23" ht="25.5" customHeight="1">
      <c r="A186" s="9"/>
      <c r="B186" s="130" t="s">
        <v>208</v>
      </c>
      <c r="C186" s="216">
        <v>5000</v>
      </c>
      <c r="D186" s="133"/>
      <c r="E186" s="269"/>
      <c r="F186" s="136"/>
      <c r="G186" s="136"/>
      <c r="H186" s="136"/>
      <c r="I186" s="133"/>
      <c r="J186" s="133"/>
      <c r="K186" s="133"/>
      <c r="L186" s="133"/>
      <c r="M186" s="136"/>
      <c r="N186" s="133"/>
      <c r="O186" s="133"/>
      <c r="P186" s="133"/>
      <c r="Q186" s="133"/>
      <c r="R186" s="217"/>
      <c r="S186" s="219"/>
      <c r="T186" s="219"/>
      <c r="U186" s="217"/>
      <c r="V186" s="217"/>
    </row>
    <row r="187" spans="1:23" ht="25.5" customHeight="1">
      <c r="A187" s="9"/>
      <c r="B187" s="130" t="s">
        <v>15</v>
      </c>
      <c r="C187" s="216">
        <f>40000+15000+15000+40000</f>
        <v>110000</v>
      </c>
      <c r="D187" s="195"/>
      <c r="E187" s="270">
        <v>3597</v>
      </c>
      <c r="F187" s="196"/>
      <c r="G187" s="196"/>
      <c r="H187" s="196">
        <v>470</v>
      </c>
      <c r="I187" s="195"/>
      <c r="J187" s="195"/>
      <c r="K187" s="195"/>
      <c r="L187" s="195"/>
      <c r="M187" s="196">
        <v>24900</v>
      </c>
      <c r="N187" s="195"/>
      <c r="O187" s="195"/>
      <c r="P187" s="195"/>
      <c r="Q187" s="195"/>
      <c r="R187" s="218"/>
      <c r="S187" s="220"/>
      <c r="T187" s="220"/>
      <c r="U187" s="218"/>
      <c r="V187" s="218"/>
    </row>
    <row r="188" spans="1:23" ht="25.5" customHeight="1">
      <c r="A188" s="9"/>
      <c r="B188" s="130" t="s">
        <v>303</v>
      </c>
      <c r="C188" s="216">
        <v>10000</v>
      </c>
      <c r="D188" s="195"/>
      <c r="E188" s="270"/>
      <c r="F188" s="196"/>
      <c r="G188" s="196"/>
      <c r="H188" s="196"/>
      <c r="I188" s="195"/>
      <c r="J188" s="195"/>
      <c r="K188" s="195"/>
      <c r="L188" s="195"/>
      <c r="M188" s="196"/>
      <c r="N188" s="195"/>
      <c r="O188" s="195"/>
      <c r="P188" s="195"/>
      <c r="Q188" s="195"/>
      <c r="R188" s="218"/>
      <c r="S188" s="220"/>
      <c r="T188" s="220"/>
      <c r="U188" s="218"/>
      <c r="V188" s="218"/>
    </row>
    <row r="189" spans="1:23" ht="25.5" customHeight="1">
      <c r="A189" s="9"/>
      <c r="B189" s="130" t="s">
        <v>304</v>
      </c>
      <c r="C189" s="216">
        <f>5000+20000</f>
        <v>25000</v>
      </c>
      <c r="D189" s="195"/>
      <c r="E189" s="270"/>
      <c r="F189" s="196"/>
      <c r="G189" s="196"/>
      <c r="H189" s="196"/>
      <c r="I189" s="195"/>
      <c r="J189" s="195"/>
      <c r="K189" s="195"/>
      <c r="L189" s="195"/>
      <c r="M189" s="196"/>
      <c r="N189" s="195"/>
      <c r="O189" s="195"/>
      <c r="P189" s="195"/>
      <c r="Q189" s="195"/>
      <c r="R189" s="218"/>
      <c r="S189" s="220"/>
      <c r="T189" s="220"/>
      <c r="U189" s="218"/>
      <c r="V189" s="218"/>
    </row>
    <row r="190" spans="1:23" ht="25.5" customHeight="1">
      <c r="A190" s="9"/>
      <c r="B190" s="130" t="s">
        <v>332</v>
      </c>
      <c r="C190" s="216">
        <v>10000</v>
      </c>
      <c r="D190" s="195"/>
      <c r="E190" s="270"/>
      <c r="F190" s="196"/>
      <c r="G190" s="196"/>
      <c r="H190" s="196"/>
      <c r="I190" s="195"/>
      <c r="J190" s="195"/>
      <c r="K190" s="195"/>
      <c r="L190" s="195"/>
      <c r="M190" s="196"/>
      <c r="N190" s="195"/>
      <c r="O190" s="195"/>
      <c r="P190" s="195"/>
      <c r="Q190" s="195"/>
      <c r="R190" s="218"/>
      <c r="S190" s="220"/>
      <c r="T190" s="220"/>
      <c r="U190" s="218"/>
      <c r="V190" s="218"/>
    </row>
    <row r="191" spans="1:23" ht="25.5" customHeight="1">
      <c r="A191" s="9"/>
      <c r="B191" s="130" t="s">
        <v>46</v>
      </c>
      <c r="C191" s="216">
        <v>80000</v>
      </c>
      <c r="D191" s="195"/>
      <c r="E191" s="270"/>
      <c r="F191" s="196"/>
      <c r="G191" s="196"/>
      <c r="H191" s="196"/>
      <c r="I191" s="195"/>
      <c r="J191" s="195"/>
      <c r="K191" s="195"/>
      <c r="L191" s="195"/>
      <c r="M191" s="196"/>
      <c r="N191" s="195"/>
      <c r="O191" s="195"/>
      <c r="P191" s="195"/>
      <c r="Q191" s="195"/>
      <c r="R191" s="218"/>
      <c r="S191" s="220"/>
      <c r="T191" s="220"/>
      <c r="U191" s="218"/>
      <c r="V191" s="218"/>
    </row>
    <row r="192" spans="1:23" ht="25.5" customHeight="1">
      <c r="A192" s="9"/>
      <c r="B192" s="130" t="s">
        <v>316</v>
      </c>
      <c r="C192" s="216">
        <f>413900+525039+277849</f>
        <v>1216788</v>
      </c>
      <c r="D192" s="131"/>
      <c r="E192" s="267"/>
      <c r="F192" s="135"/>
      <c r="G192" s="135"/>
      <c r="H192" s="135"/>
      <c r="I192" s="131"/>
      <c r="J192" s="131"/>
      <c r="K192" s="131"/>
      <c r="L192" s="131"/>
      <c r="M192" s="135"/>
      <c r="N192" s="131"/>
      <c r="O192" s="131"/>
      <c r="P192" s="131"/>
      <c r="Q192" s="131"/>
      <c r="R192" s="217"/>
      <c r="S192" s="219"/>
      <c r="T192" s="220"/>
      <c r="U192" s="218"/>
      <c r="V192" s="218"/>
    </row>
    <row r="193" spans="1:23" ht="25.5" customHeight="1">
      <c r="A193" s="9"/>
      <c r="B193" s="130" t="s">
        <v>317</v>
      </c>
      <c r="C193" s="290"/>
      <c r="D193" s="133"/>
      <c r="E193" s="269"/>
      <c r="F193" s="136"/>
      <c r="G193" s="136"/>
      <c r="H193" s="136"/>
      <c r="I193" s="133"/>
      <c r="J193" s="133"/>
      <c r="K193" s="133"/>
      <c r="L193" s="133"/>
      <c r="M193" s="136"/>
      <c r="N193" s="133"/>
      <c r="O193" s="133"/>
      <c r="P193" s="133"/>
      <c r="Q193" s="133"/>
      <c r="R193" s="258"/>
      <c r="S193" s="259"/>
      <c r="T193" s="259"/>
      <c r="U193" s="217"/>
      <c r="V193" s="217"/>
    </row>
    <row r="194" spans="1:23" ht="25.5" customHeight="1">
      <c r="A194" s="9"/>
      <c r="B194" s="130" t="s">
        <v>318</v>
      </c>
      <c r="C194" s="216"/>
      <c r="D194" s="133"/>
      <c r="E194" s="269"/>
      <c r="F194" s="136"/>
      <c r="G194" s="136"/>
      <c r="H194" s="136"/>
      <c r="I194" s="323">
        <v>-8000</v>
      </c>
      <c r="J194" s="133"/>
      <c r="K194" s="133"/>
      <c r="L194" s="133"/>
      <c r="M194" s="136"/>
      <c r="N194" s="133"/>
      <c r="O194" s="133"/>
      <c r="P194" s="133"/>
      <c r="Q194" s="133"/>
      <c r="R194" s="217"/>
      <c r="S194" s="219"/>
      <c r="T194" s="219"/>
      <c r="U194" s="217"/>
      <c r="V194" s="217"/>
    </row>
    <row r="195" spans="1:23" ht="25.5" customHeight="1">
      <c r="A195" s="9"/>
      <c r="B195" s="185" t="s">
        <v>319</v>
      </c>
      <c r="C195" s="216">
        <v>153296</v>
      </c>
      <c r="D195" s="133"/>
      <c r="E195" s="269"/>
      <c r="F195" s="136"/>
      <c r="G195" s="136"/>
      <c r="H195" s="136"/>
      <c r="I195" s="133"/>
      <c r="J195" s="133"/>
      <c r="K195" s="133"/>
      <c r="L195" s="133"/>
      <c r="M195" s="136"/>
      <c r="N195" s="133"/>
      <c r="O195" s="133"/>
      <c r="P195" s="133"/>
      <c r="Q195" s="133"/>
      <c r="R195" s="217"/>
      <c r="S195" s="219"/>
      <c r="T195" s="219"/>
      <c r="U195" s="217"/>
      <c r="V195" s="217"/>
    </row>
    <row r="196" spans="1:23" ht="25.5" customHeight="1">
      <c r="A196" s="9"/>
      <c r="B196" s="185" t="s">
        <v>320</v>
      </c>
      <c r="C196" s="216">
        <v>78565</v>
      </c>
      <c r="D196" s="133"/>
      <c r="E196" s="269"/>
      <c r="F196" s="136"/>
      <c r="G196" s="136"/>
      <c r="H196" s="136"/>
      <c r="I196" s="133"/>
      <c r="J196" s="133"/>
      <c r="K196" s="133"/>
      <c r="L196" s="133"/>
      <c r="M196" s="136"/>
      <c r="N196" s="133"/>
      <c r="O196" s="133"/>
      <c r="P196" s="133"/>
      <c r="Q196" s="133"/>
      <c r="R196" s="217"/>
      <c r="S196" s="219"/>
      <c r="T196" s="219"/>
      <c r="U196" s="217"/>
      <c r="V196" s="217"/>
    </row>
    <row r="197" spans="1:23" ht="25.5" customHeight="1">
      <c r="A197" s="9"/>
      <c r="B197" s="185" t="s">
        <v>321</v>
      </c>
      <c r="C197" s="216">
        <v>90062</v>
      </c>
      <c r="D197" s="133"/>
      <c r="E197" s="269"/>
      <c r="F197" s="136"/>
      <c r="G197" s="136"/>
      <c r="H197" s="136"/>
      <c r="I197" s="133"/>
      <c r="J197" s="133"/>
      <c r="K197" s="133"/>
      <c r="L197" s="133"/>
      <c r="M197" s="136"/>
      <c r="N197" s="133"/>
      <c r="O197" s="133"/>
      <c r="P197" s="133"/>
      <c r="Q197" s="133"/>
      <c r="R197" s="217"/>
      <c r="S197" s="219"/>
      <c r="T197" s="219"/>
      <c r="U197" s="217"/>
      <c r="V197" s="217"/>
    </row>
    <row r="198" spans="1:23" ht="25.5" customHeight="1">
      <c r="A198" s="165"/>
      <c r="B198" s="185" t="s">
        <v>322</v>
      </c>
      <c r="C198" s="216">
        <v>67067</v>
      </c>
      <c r="D198" s="133"/>
      <c r="E198" s="269"/>
      <c r="F198" s="136"/>
      <c r="G198" s="136"/>
      <c r="H198" s="136"/>
      <c r="I198" s="133"/>
      <c r="J198" s="133"/>
      <c r="K198" s="133"/>
      <c r="L198" s="133"/>
      <c r="M198" s="136"/>
      <c r="N198" s="133"/>
      <c r="O198" s="133"/>
      <c r="P198" s="133"/>
      <c r="Q198" s="133"/>
      <c r="R198" s="217"/>
      <c r="S198" s="219"/>
      <c r="T198" s="219"/>
      <c r="U198" s="217"/>
      <c r="V198" s="217"/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85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9"/>
      <c r="B202" s="130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>
      <c r="A203" s="197"/>
      <c r="B203" s="198"/>
      <c r="C203" s="216"/>
      <c r="D203" s="133"/>
      <c r="E203" s="269"/>
      <c r="F203" s="136"/>
      <c r="G203" s="136"/>
      <c r="H203" s="136"/>
      <c r="I203" s="133"/>
      <c r="J203" s="133"/>
      <c r="K203" s="133"/>
      <c r="L203" s="133"/>
      <c r="M203" s="136"/>
      <c r="N203" s="133"/>
      <c r="O203" s="133"/>
      <c r="P203" s="133"/>
      <c r="Q203" s="133"/>
      <c r="R203" s="217"/>
      <c r="S203" s="219"/>
      <c r="T203" s="219"/>
      <c r="U203" s="217"/>
      <c r="V203" s="217"/>
    </row>
    <row r="204" spans="1:23" ht="25.5" customHeight="1" thickBot="1">
      <c r="A204" s="46"/>
      <c r="B204" s="47" t="s">
        <v>5</v>
      </c>
      <c r="C204" s="170">
        <f>SUM(C178:C203)</f>
        <v>2563778</v>
      </c>
      <c r="D204" s="255">
        <f>SUM(D178:D203)</f>
        <v>0</v>
      </c>
      <c r="E204" s="254">
        <f t="shared" ref="E204:V204" si="5">SUM(E178:E203)</f>
        <v>30127</v>
      </c>
      <c r="F204" s="254">
        <f t="shared" si="5"/>
        <v>121</v>
      </c>
      <c r="G204" s="255">
        <f t="shared" si="5"/>
        <v>0</v>
      </c>
      <c r="H204" s="254">
        <f t="shared" si="5"/>
        <v>4565</v>
      </c>
      <c r="I204" s="325">
        <f>SUM(I178:I203)</f>
        <v>-8000</v>
      </c>
      <c r="J204" s="255">
        <f t="shared" si="5"/>
        <v>0</v>
      </c>
      <c r="K204" s="255">
        <f t="shared" si="5"/>
        <v>0</v>
      </c>
      <c r="L204" s="255">
        <f t="shared" si="5"/>
        <v>0</v>
      </c>
      <c r="M204" s="254">
        <f t="shared" si="5"/>
        <v>25936.9</v>
      </c>
      <c r="N204" s="255">
        <f t="shared" si="5"/>
        <v>0</v>
      </c>
      <c r="O204" s="255">
        <f t="shared" si="5"/>
        <v>0</v>
      </c>
      <c r="P204" s="255">
        <f t="shared" si="5"/>
        <v>0</v>
      </c>
      <c r="Q204" s="255">
        <f t="shared" si="5"/>
        <v>0</v>
      </c>
      <c r="R204" s="255">
        <f t="shared" si="5"/>
        <v>0</v>
      </c>
      <c r="S204" s="255">
        <f t="shared" si="5"/>
        <v>0</v>
      </c>
      <c r="T204" s="255"/>
      <c r="U204" s="255">
        <f t="shared" si="5"/>
        <v>0</v>
      </c>
      <c r="V204" s="255">
        <f t="shared" si="5"/>
        <v>0</v>
      </c>
      <c r="W204" s="314">
        <f>SUM(D204:V204)</f>
        <v>52749.9</v>
      </c>
    </row>
    <row r="205" spans="1:23" ht="25.5" customHeight="1" thickTop="1">
      <c r="A205" s="5" t="s">
        <v>114</v>
      </c>
      <c r="B205" s="6"/>
      <c r="C205" s="190"/>
      <c r="D205" s="133"/>
      <c r="E205" s="269"/>
      <c r="F205" s="136"/>
      <c r="G205" s="136"/>
      <c r="H205" s="136"/>
      <c r="I205" s="133"/>
      <c r="J205" s="133"/>
      <c r="K205" s="133"/>
      <c r="L205" s="133"/>
      <c r="M205" s="136"/>
      <c r="N205" s="133"/>
      <c r="O205" s="133"/>
      <c r="P205" s="133"/>
      <c r="Q205" s="133"/>
      <c r="R205" s="258"/>
      <c r="S205" s="259"/>
      <c r="T205" s="259"/>
      <c r="U205" s="258"/>
      <c r="V205" s="258"/>
    </row>
    <row r="206" spans="1:23" ht="25.5" customHeight="1">
      <c r="A206" s="9"/>
      <c r="B206" s="130" t="s">
        <v>20</v>
      </c>
      <c r="C206" s="216">
        <f>240000+35000</f>
        <v>275000</v>
      </c>
      <c r="D206" s="261"/>
      <c r="E206" s="269">
        <v>18015.38</v>
      </c>
      <c r="F206" s="136"/>
      <c r="G206" s="136"/>
      <c r="H206" s="136">
        <v>2410.84</v>
      </c>
      <c r="I206" s="261"/>
      <c r="J206" s="261"/>
      <c r="K206" s="261"/>
      <c r="L206" s="261"/>
      <c r="M206" s="262"/>
      <c r="N206" s="261"/>
      <c r="O206" s="261"/>
      <c r="P206" s="261"/>
      <c r="Q206" s="261"/>
      <c r="R206" s="263"/>
      <c r="S206" s="264"/>
      <c r="T206" s="264"/>
      <c r="U206" s="263"/>
      <c r="V206" s="218"/>
    </row>
    <row r="207" spans="1:23" ht="25.5" customHeight="1">
      <c r="A207" s="9"/>
      <c r="B207" s="130" t="s">
        <v>283</v>
      </c>
      <c r="C207" s="216">
        <f>100000+12000</f>
        <v>112000</v>
      </c>
      <c r="D207" s="261"/>
      <c r="E207" s="269">
        <v>5128.79</v>
      </c>
      <c r="F207" s="136"/>
      <c r="G207" s="136"/>
      <c r="H207" s="136">
        <v>1000</v>
      </c>
      <c r="I207" s="261"/>
      <c r="J207" s="261"/>
      <c r="K207" s="261"/>
      <c r="L207" s="261"/>
      <c r="M207" s="262"/>
      <c r="N207" s="261"/>
      <c r="O207" s="261"/>
      <c r="P207" s="261"/>
      <c r="Q207" s="261"/>
      <c r="R207" s="263"/>
      <c r="S207" s="264"/>
      <c r="T207" s="264"/>
      <c r="U207" s="263"/>
      <c r="V207" s="218"/>
    </row>
    <row r="208" spans="1:23" ht="25.5" customHeight="1">
      <c r="A208" s="9"/>
      <c r="B208" s="130" t="s">
        <v>284</v>
      </c>
      <c r="C208" s="216">
        <v>15000</v>
      </c>
      <c r="D208" s="131"/>
      <c r="E208" s="267">
        <v>186</v>
      </c>
      <c r="F208" s="135"/>
      <c r="G208" s="135"/>
      <c r="H208" s="135"/>
      <c r="I208" s="131"/>
      <c r="J208" s="131"/>
      <c r="K208" s="131"/>
      <c r="L208" s="131"/>
      <c r="M208" s="135"/>
      <c r="N208" s="131"/>
      <c r="O208" s="131"/>
      <c r="P208" s="131"/>
      <c r="Q208" s="131"/>
      <c r="R208" s="217"/>
      <c r="S208" s="219"/>
      <c r="T208" s="219"/>
      <c r="U208" s="217"/>
      <c r="V208" s="218"/>
    </row>
    <row r="209" spans="1:23" ht="25.5" customHeight="1">
      <c r="A209" s="9"/>
      <c r="B209" s="130" t="s">
        <v>285</v>
      </c>
      <c r="C209" s="216">
        <f>72000+32000</f>
        <v>104000</v>
      </c>
      <c r="D209" s="131"/>
      <c r="E209" s="267">
        <v>5911.75</v>
      </c>
      <c r="F209" s="135"/>
      <c r="G209" s="135"/>
      <c r="H209" s="135">
        <v>2632.2</v>
      </c>
      <c r="I209" s="131"/>
      <c r="J209" s="131"/>
      <c r="K209" s="131"/>
      <c r="L209" s="131"/>
      <c r="M209" s="135"/>
      <c r="N209" s="131"/>
      <c r="O209" s="131"/>
      <c r="P209" s="131"/>
      <c r="Q209" s="131"/>
      <c r="R209" s="217"/>
      <c r="S209" s="219"/>
      <c r="T209" s="219"/>
      <c r="U209" s="217"/>
      <c r="V209" s="218"/>
    </row>
    <row r="210" spans="1:23" ht="25.5" customHeight="1" thickBot="1">
      <c r="A210" s="15"/>
      <c r="B210" s="14" t="s">
        <v>5</v>
      </c>
      <c r="C210" s="170">
        <f>SUM(C206:C209)</f>
        <v>506000</v>
      </c>
      <c r="D210" s="132"/>
      <c r="E210" s="268">
        <f>SUM(E206:E209)</f>
        <v>29241.920000000002</v>
      </c>
      <c r="F210" s="137"/>
      <c r="G210" s="137"/>
      <c r="H210" s="137">
        <f>SUM(H206:H209)</f>
        <v>6043.04</v>
      </c>
      <c r="I210" s="132"/>
      <c r="J210" s="132"/>
      <c r="K210" s="132"/>
      <c r="L210" s="132"/>
      <c r="M210" s="137"/>
      <c r="N210" s="132"/>
      <c r="O210" s="132"/>
      <c r="P210" s="132"/>
      <c r="Q210" s="132"/>
      <c r="R210" s="307"/>
      <c r="S210" s="308"/>
      <c r="T210" s="308"/>
      <c r="U210" s="307"/>
      <c r="V210" s="307"/>
      <c r="W210" s="318">
        <f>SUM(D210:V210)</f>
        <v>35284.959999999999</v>
      </c>
    </row>
    <row r="211" spans="1:23" ht="25.5" customHeight="1" thickTop="1">
      <c r="A211" s="3" t="s">
        <v>122</v>
      </c>
      <c r="B211" s="4"/>
      <c r="C211" s="287"/>
      <c r="D211" s="133"/>
      <c r="E211" s="305"/>
      <c r="F211" s="306"/>
      <c r="G211" s="306"/>
      <c r="H211" s="306"/>
      <c r="I211" s="133"/>
      <c r="J211" s="133"/>
      <c r="K211" s="133"/>
      <c r="L211" s="133"/>
      <c r="M211" s="136"/>
      <c r="N211" s="133"/>
      <c r="O211" s="133"/>
      <c r="P211" s="133"/>
      <c r="Q211" s="133"/>
      <c r="R211" s="258"/>
      <c r="S211" s="259"/>
      <c r="T211" s="259"/>
      <c r="U211" s="258"/>
      <c r="V211" s="258"/>
    </row>
    <row r="212" spans="1:23" ht="25.5" customHeight="1">
      <c r="A212" s="169"/>
      <c r="B212" s="185" t="s">
        <v>323</v>
      </c>
      <c r="C212" s="190">
        <v>864000</v>
      </c>
      <c r="D212" s="131"/>
      <c r="E212" s="267"/>
      <c r="F212" s="135"/>
      <c r="G212" s="135"/>
      <c r="H212" s="135"/>
      <c r="I212" s="131"/>
      <c r="J212" s="131"/>
      <c r="K212" s="131"/>
      <c r="L212" s="131"/>
      <c r="M212" s="135"/>
      <c r="N212" s="133"/>
      <c r="O212" s="133"/>
      <c r="P212" s="133"/>
      <c r="Q212" s="133"/>
      <c r="R212" s="217"/>
      <c r="S212" s="219"/>
      <c r="T212" s="219"/>
      <c r="U212" s="217"/>
      <c r="V212" s="217"/>
    </row>
    <row r="213" spans="1:23" ht="25.5" customHeight="1">
      <c r="A213" s="169"/>
      <c r="B213" s="185" t="s">
        <v>324</v>
      </c>
      <c r="C213" s="190">
        <v>1096000</v>
      </c>
      <c r="D213" s="131"/>
      <c r="E213" s="267"/>
      <c r="F213" s="135"/>
      <c r="G213" s="135"/>
      <c r="H213" s="135"/>
      <c r="I213" s="131"/>
      <c r="J213" s="131"/>
      <c r="K213" s="131"/>
      <c r="L213" s="131"/>
      <c r="M213" s="135"/>
      <c r="N213" s="133"/>
      <c r="O213" s="133"/>
      <c r="P213" s="133"/>
      <c r="Q213" s="133"/>
      <c r="R213" s="217"/>
      <c r="S213" s="219"/>
      <c r="T213" s="219"/>
      <c r="U213" s="217"/>
      <c r="V213" s="217"/>
    </row>
    <row r="214" spans="1:23" ht="25.5" customHeight="1">
      <c r="A214" s="169"/>
      <c r="B214" s="185" t="s">
        <v>325</v>
      </c>
      <c r="C214" s="190">
        <v>580000</v>
      </c>
      <c r="D214" s="133"/>
      <c r="E214" s="269"/>
      <c r="F214" s="136"/>
      <c r="G214" s="136"/>
      <c r="H214" s="136"/>
      <c r="I214" s="133"/>
      <c r="J214" s="133"/>
      <c r="K214" s="133"/>
      <c r="L214" s="133"/>
      <c r="M214" s="135"/>
      <c r="N214" s="133"/>
      <c r="O214" s="133"/>
      <c r="P214" s="133"/>
      <c r="Q214" s="133"/>
      <c r="R214" s="217"/>
      <c r="S214" s="219"/>
      <c r="T214" s="219"/>
      <c r="U214" s="217"/>
      <c r="V214" s="217"/>
    </row>
    <row r="215" spans="1:23" ht="25.5" customHeight="1">
      <c r="A215" s="169"/>
      <c r="B215" s="185" t="s">
        <v>351</v>
      </c>
      <c r="C215" s="190">
        <v>223000</v>
      </c>
      <c r="D215" s="133"/>
      <c r="E215" s="269"/>
      <c r="F215" s="136"/>
      <c r="G215" s="136"/>
      <c r="H215" s="136"/>
      <c r="I215" s="133"/>
      <c r="J215" s="133"/>
      <c r="K215" s="133"/>
      <c r="L215" s="133"/>
      <c r="M215" s="135"/>
      <c r="N215" s="133"/>
      <c r="O215" s="133"/>
      <c r="P215" s="133"/>
      <c r="Q215" s="133"/>
      <c r="R215" s="217"/>
      <c r="S215" s="219"/>
      <c r="T215" s="219"/>
      <c r="U215" s="217"/>
      <c r="V215" s="217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3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</row>
    <row r="220" spans="1:23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1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</row>
    <row r="221" spans="1:23" ht="25.5" customHeight="1" thickBot="1">
      <c r="A221" s="15"/>
      <c r="B221" s="14" t="s">
        <v>5</v>
      </c>
      <c r="C221" s="170">
        <f>SUM(C212:C220)</f>
        <v>2763000</v>
      </c>
      <c r="D221" s="255">
        <f>SUM(D212:D220)</f>
        <v>0</v>
      </c>
      <c r="E221" s="254">
        <f t="shared" ref="E221:V221" si="6">SUM(E212:E220)</f>
        <v>0</v>
      </c>
      <c r="F221" s="254">
        <f t="shared" si="6"/>
        <v>0</v>
      </c>
      <c r="G221" s="255">
        <f t="shared" si="6"/>
        <v>0</v>
      </c>
      <c r="H221" s="254">
        <f t="shared" si="6"/>
        <v>0</v>
      </c>
      <c r="I221" s="255">
        <f t="shared" si="6"/>
        <v>0</v>
      </c>
      <c r="J221" s="255">
        <f t="shared" si="6"/>
        <v>0</v>
      </c>
      <c r="K221" s="255">
        <f t="shared" si="6"/>
        <v>0</v>
      </c>
      <c r="L221" s="255">
        <f t="shared" si="6"/>
        <v>0</v>
      </c>
      <c r="M221" s="254">
        <f t="shared" si="6"/>
        <v>0</v>
      </c>
      <c r="N221" s="255">
        <f t="shared" si="6"/>
        <v>0</v>
      </c>
      <c r="O221" s="255">
        <f t="shared" si="6"/>
        <v>0</v>
      </c>
      <c r="P221" s="255">
        <f t="shared" si="6"/>
        <v>0</v>
      </c>
      <c r="Q221" s="255">
        <f t="shared" si="6"/>
        <v>0</v>
      </c>
      <c r="R221" s="255">
        <f t="shared" si="6"/>
        <v>0</v>
      </c>
      <c r="S221" s="255">
        <f t="shared" si="6"/>
        <v>0</v>
      </c>
      <c r="T221" s="255"/>
      <c r="U221" s="255">
        <f t="shared" si="6"/>
        <v>0</v>
      </c>
      <c r="V221" s="255">
        <f t="shared" si="6"/>
        <v>0</v>
      </c>
      <c r="W221" s="314">
        <f>SUM(D221:V221)</f>
        <v>0</v>
      </c>
    </row>
    <row r="222" spans="1:23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3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</row>
    <row r="223" spans="1:23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1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</row>
    <row r="224" spans="1:23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5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</row>
    <row r="225" spans="1:22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3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</row>
    <row r="226" spans="1:22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1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2" ht="25.5" customHeight="1">
      <c r="A227" s="20"/>
      <c r="B227" s="186" t="s">
        <v>286</v>
      </c>
      <c r="C227" s="294">
        <v>10000</v>
      </c>
      <c r="D227" s="131"/>
      <c r="E227" s="267"/>
      <c r="F227" s="135"/>
      <c r="G227" s="135"/>
      <c r="H227" s="135"/>
      <c r="I227" s="131"/>
      <c r="J227" s="131"/>
      <c r="K227" s="131"/>
      <c r="L227" s="131"/>
      <c r="M227" s="135"/>
      <c r="N227" s="131"/>
      <c r="O227" s="131"/>
      <c r="P227" s="131"/>
      <c r="Q227" s="131"/>
      <c r="R227" s="217"/>
      <c r="S227" s="219"/>
      <c r="T227" s="219"/>
      <c r="U227" s="217"/>
      <c r="V227" s="217"/>
    </row>
    <row r="228" spans="1:22" ht="25.5" customHeight="1">
      <c r="A228" s="20"/>
      <c r="B228" s="186" t="s">
        <v>287</v>
      </c>
      <c r="C228" s="294">
        <v>4500</v>
      </c>
      <c r="D228" s="131"/>
      <c r="E228" s="267"/>
      <c r="F228" s="135"/>
      <c r="G228" s="135"/>
      <c r="H228" s="135"/>
      <c r="I228" s="131"/>
      <c r="J228" s="131"/>
      <c r="K228" s="131"/>
      <c r="L228" s="131"/>
      <c r="M228" s="135"/>
      <c r="N228" s="131"/>
      <c r="O228" s="131"/>
      <c r="P228" s="131"/>
      <c r="Q228" s="131"/>
      <c r="R228" s="217"/>
      <c r="S228" s="219"/>
      <c r="T228" s="219"/>
      <c r="U228" s="217"/>
      <c r="V228" s="217"/>
    </row>
    <row r="229" spans="1:22" ht="25.5" customHeight="1">
      <c r="A229" s="20"/>
      <c r="B229" s="186" t="s">
        <v>288</v>
      </c>
      <c r="C229" s="294">
        <v>3000</v>
      </c>
      <c r="D229" s="131"/>
      <c r="E229" s="267"/>
      <c r="F229" s="135"/>
      <c r="G229" s="135"/>
      <c r="H229" s="135"/>
      <c r="I229" s="131"/>
      <c r="J229" s="131"/>
      <c r="K229" s="131"/>
      <c r="L229" s="131"/>
      <c r="M229" s="135"/>
      <c r="N229" s="131"/>
      <c r="O229" s="131"/>
      <c r="P229" s="131"/>
      <c r="Q229" s="131"/>
      <c r="R229" s="217"/>
      <c r="S229" s="219"/>
      <c r="T229" s="219"/>
      <c r="U229" s="217"/>
      <c r="V229" s="217"/>
    </row>
    <row r="230" spans="1:22" ht="25.5" customHeight="1">
      <c r="A230" s="20"/>
      <c r="B230" s="186" t="s">
        <v>289</v>
      </c>
      <c r="C230" s="294">
        <v>20000</v>
      </c>
      <c r="D230" s="131"/>
      <c r="E230" s="267"/>
      <c r="F230" s="135"/>
      <c r="G230" s="135"/>
      <c r="H230" s="135"/>
      <c r="I230" s="131"/>
      <c r="J230" s="131"/>
      <c r="K230" s="131"/>
      <c r="L230" s="131"/>
      <c r="M230" s="135"/>
      <c r="N230" s="131"/>
      <c r="O230" s="131"/>
      <c r="P230" s="131"/>
      <c r="Q230" s="131"/>
      <c r="R230" s="217"/>
      <c r="S230" s="219"/>
      <c r="T230" s="219"/>
      <c r="U230" s="217"/>
      <c r="V230" s="217"/>
    </row>
    <row r="231" spans="1:22" ht="25.5" customHeight="1">
      <c r="A231" s="20"/>
      <c r="B231" s="186" t="s">
        <v>290</v>
      </c>
      <c r="C231" s="295">
        <f>5500+5500</f>
        <v>11000</v>
      </c>
      <c r="D231" s="131"/>
      <c r="E231" s="267"/>
      <c r="F231" s="135"/>
      <c r="G231" s="135"/>
      <c r="H231" s="135"/>
      <c r="I231" s="131"/>
      <c r="J231" s="131"/>
      <c r="K231" s="131"/>
      <c r="L231" s="131"/>
      <c r="M231" s="135"/>
      <c r="N231" s="131"/>
      <c r="O231" s="131"/>
      <c r="P231" s="131"/>
      <c r="Q231" s="131"/>
      <c r="R231" s="217"/>
      <c r="S231" s="219"/>
      <c r="T231" s="219"/>
      <c r="U231" s="217"/>
      <c r="V231" s="217"/>
    </row>
    <row r="232" spans="1:22" ht="25.5" customHeight="1">
      <c r="A232" s="20"/>
      <c r="B232" s="186" t="s">
        <v>305</v>
      </c>
      <c r="C232" s="295">
        <v>16000</v>
      </c>
      <c r="D232" s="131"/>
      <c r="E232" s="267"/>
      <c r="F232" s="135"/>
      <c r="G232" s="135"/>
      <c r="H232" s="135"/>
      <c r="I232" s="131"/>
      <c r="J232" s="131"/>
      <c r="K232" s="131"/>
      <c r="L232" s="131"/>
      <c r="M232" s="135"/>
      <c r="N232" s="131"/>
      <c r="O232" s="131"/>
      <c r="P232" s="131"/>
      <c r="Q232" s="131"/>
      <c r="R232" s="217"/>
      <c r="S232" s="219"/>
      <c r="T232" s="219"/>
      <c r="U232" s="217"/>
      <c r="V232" s="217"/>
    </row>
    <row r="233" spans="1:22" ht="25.5" customHeight="1">
      <c r="A233" s="20"/>
      <c r="B233" s="186" t="s">
        <v>334</v>
      </c>
      <c r="C233" s="295">
        <v>4500</v>
      </c>
      <c r="D233" s="131"/>
      <c r="E233" s="267"/>
      <c r="F233" s="135"/>
      <c r="G233" s="135"/>
      <c r="H233" s="135"/>
      <c r="I233" s="131"/>
      <c r="J233" s="131"/>
      <c r="K233" s="131"/>
      <c r="L233" s="131"/>
      <c r="M233" s="135"/>
      <c r="N233" s="131"/>
      <c r="O233" s="131"/>
      <c r="P233" s="131"/>
      <c r="Q233" s="131"/>
      <c r="R233" s="217"/>
      <c r="S233" s="219"/>
      <c r="T233" s="219"/>
      <c r="U233" s="217"/>
      <c r="V233" s="217"/>
    </row>
    <row r="234" spans="1:22" ht="25.5" customHeight="1">
      <c r="A234" s="20"/>
      <c r="B234" s="186" t="s">
        <v>335</v>
      </c>
      <c r="C234" s="295">
        <v>4500</v>
      </c>
      <c r="D234" s="131"/>
      <c r="E234" s="267"/>
      <c r="F234" s="135"/>
      <c r="G234" s="135"/>
      <c r="H234" s="135"/>
      <c r="I234" s="131"/>
      <c r="J234" s="131"/>
      <c r="K234" s="131"/>
      <c r="L234" s="131"/>
      <c r="M234" s="135"/>
      <c r="N234" s="131"/>
      <c r="O234" s="131"/>
      <c r="P234" s="131"/>
      <c r="Q234" s="131"/>
      <c r="R234" s="217"/>
      <c r="S234" s="219"/>
      <c r="T234" s="219"/>
      <c r="U234" s="217"/>
      <c r="V234" s="217"/>
    </row>
    <row r="235" spans="1:22" ht="25.5" customHeight="1">
      <c r="A235" s="20"/>
      <c r="B235" s="252" t="s">
        <v>292</v>
      </c>
      <c r="C235" s="295"/>
      <c r="D235" s="131"/>
      <c r="E235" s="267"/>
      <c r="F235" s="135"/>
      <c r="G235" s="135"/>
      <c r="H235" s="135"/>
      <c r="I235" s="131"/>
      <c r="J235" s="131"/>
      <c r="K235" s="131"/>
      <c r="L235" s="131"/>
      <c r="M235" s="135"/>
      <c r="N235" s="131"/>
      <c r="O235" s="131"/>
      <c r="P235" s="131"/>
      <c r="Q235" s="131"/>
      <c r="R235" s="217"/>
      <c r="S235" s="219"/>
      <c r="T235" s="219"/>
      <c r="U235" s="217"/>
      <c r="V235" s="217"/>
    </row>
    <row r="236" spans="1:22" ht="25.5" customHeight="1">
      <c r="A236" s="20"/>
      <c r="B236" s="186" t="s">
        <v>293</v>
      </c>
      <c r="C236" s="295">
        <v>32000</v>
      </c>
      <c r="D236" s="131"/>
      <c r="E236" s="267"/>
      <c r="F236" s="135"/>
      <c r="G236" s="135"/>
      <c r="H236" s="135"/>
      <c r="I236" s="131"/>
      <c r="J236" s="131"/>
      <c r="K236" s="131"/>
      <c r="L236" s="131"/>
      <c r="M236" s="135"/>
      <c r="N236" s="131"/>
      <c r="O236" s="131"/>
      <c r="P236" s="131"/>
      <c r="Q236" s="131"/>
      <c r="R236" s="217"/>
      <c r="S236" s="219"/>
      <c r="T236" s="219"/>
      <c r="U236" s="217"/>
      <c r="V236" s="217"/>
    </row>
    <row r="237" spans="1:22" ht="25.5" customHeight="1">
      <c r="A237" s="20"/>
      <c r="B237" s="186" t="s">
        <v>125</v>
      </c>
      <c r="C237" s="295">
        <f>2800+2800+2300</f>
        <v>7900</v>
      </c>
      <c r="D237" s="131"/>
      <c r="E237" s="267"/>
      <c r="F237" s="135"/>
      <c r="G237" s="135"/>
      <c r="H237" s="135"/>
      <c r="I237" s="131"/>
      <c r="J237" s="131"/>
      <c r="K237" s="131"/>
      <c r="L237" s="131"/>
      <c r="M237" s="135"/>
      <c r="N237" s="131"/>
      <c r="O237" s="131"/>
      <c r="P237" s="131"/>
      <c r="Q237" s="131"/>
      <c r="R237" s="217"/>
      <c r="S237" s="219"/>
      <c r="T237" s="219"/>
      <c r="U237" s="217"/>
      <c r="V237" s="217"/>
    </row>
    <row r="238" spans="1:22" ht="25.5" customHeight="1">
      <c r="A238" s="20"/>
      <c r="B238" s="186" t="s">
        <v>294</v>
      </c>
      <c r="C238" s="295">
        <v>21000</v>
      </c>
      <c r="D238" s="131"/>
      <c r="E238" s="267"/>
      <c r="F238" s="135"/>
      <c r="G238" s="135"/>
      <c r="H238" s="135"/>
      <c r="I238" s="131"/>
      <c r="J238" s="131"/>
      <c r="K238" s="131"/>
      <c r="L238" s="131"/>
      <c r="M238" s="135"/>
      <c r="N238" s="131"/>
      <c r="O238" s="131"/>
      <c r="P238" s="131"/>
      <c r="Q238" s="131"/>
      <c r="R238" s="217"/>
      <c r="S238" s="219"/>
      <c r="T238" s="219"/>
      <c r="U238" s="217"/>
      <c r="V238" s="217"/>
    </row>
    <row r="239" spans="1:22" ht="25.5" customHeight="1">
      <c r="A239" s="20"/>
      <c r="B239" s="186" t="s">
        <v>293</v>
      </c>
      <c r="C239" s="295">
        <v>16000</v>
      </c>
      <c r="D239" s="131"/>
      <c r="E239" s="267"/>
      <c r="F239" s="135"/>
      <c r="G239" s="135"/>
      <c r="H239" s="135"/>
      <c r="I239" s="131"/>
      <c r="J239" s="131"/>
      <c r="K239" s="131"/>
      <c r="L239" s="131"/>
      <c r="M239" s="135"/>
      <c r="N239" s="131"/>
      <c r="O239" s="131"/>
      <c r="P239" s="131"/>
      <c r="Q239" s="131"/>
      <c r="R239" s="217"/>
      <c r="S239" s="219"/>
      <c r="T239" s="219"/>
      <c r="U239" s="217"/>
      <c r="V239" s="217"/>
    </row>
    <row r="240" spans="1:22" ht="25.5" customHeight="1">
      <c r="A240" s="20"/>
      <c r="B240" s="186" t="s">
        <v>306</v>
      </c>
      <c r="C240" s="295">
        <v>7700</v>
      </c>
      <c r="D240" s="131"/>
      <c r="E240" s="267"/>
      <c r="F240" s="135"/>
      <c r="G240" s="135"/>
      <c r="H240" s="135"/>
      <c r="I240" s="131"/>
      <c r="J240" s="131"/>
      <c r="K240" s="131"/>
      <c r="L240" s="131"/>
      <c r="M240" s="135"/>
      <c r="N240" s="131"/>
      <c r="O240" s="131"/>
      <c r="P240" s="131"/>
      <c r="Q240" s="131"/>
      <c r="R240" s="217"/>
      <c r="S240" s="219"/>
      <c r="T240" s="219"/>
      <c r="U240" s="217"/>
      <c r="V240" s="217"/>
    </row>
    <row r="241" spans="1:22" ht="25.5" customHeight="1">
      <c r="A241" s="20"/>
      <c r="B241" s="252" t="s">
        <v>336</v>
      </c>
      <c r="C241" s="295"/>
      <c r="D241" s="131"/>
      <c r="E241" s="267"/>
      <c r="F241" s="135"/>
      <c r="G241" s="135"/>
      <c r="H241" s="135"/>
      <c r="I241" s="131"/>
      <c r="J241" s="131"/>
      <c r="K241" s="131"/>
      <c r="L241" s="131"/>
      <c r="M241" s="135"/>
      <c r="N241" s="131"/>
      <c r="O241" s="131"/>
      <c r="P241" s="131"/>
      <c r="Q241" s="131"/>
      <c r="R241" s="217"/>
      <c r="S241" s="219"/>
      <c r="T241" s="219"/>
      <c r="U241" s="217"/>
      <c r="V241" s="217"/>
    </row>
    <row r="242" spans="1:22" ht="25.5" customHeight="1">
      <c r="A242" s="20"/>
      <c r="B242" s="186" t="s">
        <v>337</v>
      </c>
      <c r="C242" s="295">
        <v>9000</v>
      </c>
      <c r="D242" s="131"/>
      <c r="E242" s="267"/>
      <c r="F242" s="135"/>
      <c r="G242" s="135"/>
      <c r="H242" s="135"/>
      <c r="I242" s="131"/>
      <c r="J242" s="131"/>
      <c r="K242" s="131"/>
      <c r="L242" s="131"/>
      <c r="M242" s="135"/>
      <c r="N242" s="131"/>
      <c r="O242" s="131"/>
      <c r="P242" s="131"/>
      <c r="Q242" s="131"/>
      <c r="R242" s="217"/>
      <c r="S242" s="219"/>
      <c r="T242" s="219"/>
      <c r="U242" s="217"/>
      <c r="V242" s="217"/>
    </row>
    <row r="243" spans="1:22" ht="25.5" customHeight="1">
      <c r="A243" s="20"/>
      <c r="B243" s="252" t="s">
        <v>338</v>
      </c>
      <c r="C243" s="295"/>
      <c r="D243" s="131"/>
      <c r="E243" s="267"/>
      <c r="F243" s="135"/>
      <c r="G243" s="135"/>
      <c r="H243" s="135"/>
      <c r="I243" s="131"/>
      <c r="J243" s="131"/>
      <c r="K243" s="131"/>
      <c r="L243" s="131"/>
      <c r="M243" s="135"/>
      <c r="N243" s="131"/>
      <c r="O243" s="131"/>
      <c r="P243" s="131"/>
      <c r="Q243" s="131"/>
      <c r="R243" s="217"/>
      <c r="S243" s="219"/>
      <c r="T243" s="219"/>
      <c r="U243" s="217"/>
      <c r="V243" s="217"/>
    </row>
    <row r="244" spans="1:22" ht="25.5" customHeight="1">
      <c r="A244" s="20"/>
      <c r="B244" s="186" t="s">
        <v>339</v>
      </c>
      <c r="C244" s="295">
        <v>8000</v>
      </c>
      <c r="D244" s="131"/>
      <c r="E244" s="267"/>
      <c r="F244" s="135"/>
      <c r="G244" s="135"/>
      <c r="H244" s="135"/>
      <c r="I244" s="131"/>
      <c r="J244" s="131"/>
      <c r="K244" s="131"/>
      <c r="L244" s="131"/>
      <c r="M244" s="135"/>
      <c r="N244" s="131"/>
      <c r="O244" s="131"/>
      <c r="P244" s="131"/>
      <c r="Q244" s="131"/>
      <c r="R244" s="217"/>
      <c r="S244" s="219"/>
      <c r="T244" s="219"/>
      <c r="U244" s="217"/>
      <c r="V244" s="217"/>
    </row>
    <row r="245" spans="1:22" ht="25.5" customHeight="1">
      <c r="A245" s="20"/>
      <c r="B245" s="186" t="s">
        <v>340</v>
      </c>
      <c r="C245" s="295">
        <v>6000</v>
      </c>
      <c r="D245" s="131"/>
      <c r="E245" s="267"/>
      <c r="F245" s="135"/>
      <c r="G245" s="135"/>
      <c r="H245" s="135"/>
      <c r="I245" s="131"/>
      <c r="J245" s="131"/>
      <c r="K245" s="131"/>
      <c r="L245" s="131"/>
      <c r="M245" s="135"/>
      <c r="N245" s="131"/>
      <c r="O245" s="131"/>
      <c r="P245" s="131"/>
      <c r="Q245" s="131"/>
      <c r="R245" s="217"/>
      <c r="S245" s="219"/>
      <c r="T245" s="219"/>
      <c r="U245" s="217"/>
      <c r="V245" s="217"/>
    </row>
    <row r="246" spans="1:22" ht="25.5" customHeight="1">
      <c r="A246" s="20"/>
      <c r="B246" s="252" t="s">
        <v>341</v>
      </c>
      <c r="C246" s="295"/>
      <c r="D246" s="131"/>
      <c r="E246" s="267"/>
      <c r="F246" s="135"/>
      <c r="G246" s="135"/>
      <c r="H246" s="135"/>
      <c r="I246" s="131"/>
      <c r="J246" s="131"/>
      <c r="K246" s="131"/>
      <c r="L246" s="131"/>
      <c r="M246" s="135"/>
      <c r="N246" s="131"/>
      <c r="O246" s="131"/>
      <c r="P246" s="131"/>
      <c r="Q246" s="131"/>
      <c r="R246" s="217"/>
      <c r="S246" s="219"/>
      <c r="T246" s="219"/>
      <c r="U246" s="217"/>
      <c r="V246" s="217"/>
    </row>
    <row r="247" spans="1:22" ht="25.5" customHeight="1">
      <c r="A247" s="20"/>
      <c r="B247" s="186" t="s">
        <v>342</v>
      </c>
      <c r="C247" s="295">
        <v>45300</v>
      </c>
      <c r="D247" s="131"/>
      <c r="E247" s="267"/>
      <c r="F247" s="135"/>
      <c r="G247" s="135"/>
      <c r="H247" s="135"/>
      <c r="I247" s="131"/>
      <c r="J247" s="131"/>
      <c r="K247" s="131"/>
      <c r="L247" s="131"/>
      <c r="M247" s="135"/>
      <c r="N247" s="131"/>
      <c r="O247" s="131"/>
      <c r="P247" s="131"/>
      <c r="Q247" s="131"/>
      <c r="R247" s="217"/>
      <c r="S247" s="219"/>
      <c r="T247" s="219"/>
      <c r="U247" s="217"/>
      <c r="V247" s="217"/>
    </row>
    <row r="248" spans="1:22" ht="25.5" customHeight="1">
      <c r="A248" s="20"/>
      <c r="B248" s="186" t="s">
        <v>343</v>
      </c>
      <c r="C248" s="295">
        <v>128000</v>
      </c>
      <c r="D248" s="131"/>
      <c r="E248" s="267"/>
      <c r="F248" s="135"/>
      <c r="G248" s="135"/>
      <c r="H248" s="135"/>
      <c r="I248" s="131"/>
      <c r="J248" s="131"/>
      <c r="K248" s="131"/>
      <c r="L248" s="131"/>
      <c r="M248" s="135"/>
      <c r="N248" s="131"/>
      <c r="O248" s="131"/>
      <c r="P248" s="131"/>
      <c r="Q248" s="131"/>
      <c r="R248" s="217"/>
      <c r="S248" s="219"/>
      <c r="T248" s="219"/>
      <c r="U248" s="217"/>
      <c r="V248" s="217"/>
    </row>
    <row r="249" spans="1:22" ht="25.5" customHeight="1">
      <c r="A249" s="20"/>
      <c r="B249" s="186" t="s">
        <v>264</v>
      </c>
      <c r="C249" s="295">
        <v>204000</v>
      </c>
      <c r="D249" s="131"/>
      <c r="E249" s="267"/>
      <c r="F249" s="135"/>
      <c r="G249" s="135"/>
      <c r="H249" s="135"/>
      <c r="I249" s="131"/>
      <c r="J249" s="131"/>
      <c r="K249" s="131"/>
      <c r="L249" s="131"/>
      <c r="M249" s="135"/>
      <c r="N249" s="131"/>
      <c r="O249" s="131"/>
      <c r="P249" s="131"/>
      <c r="Q249" s="131"/>
      <c r="R249" s="217"/>
      <c r="S249" s="219"/>
      <c r="T249" s="219"/>
      <c r="U249" s="217"/>
      <c r="V249" s="217"/>
    </row>
    <row r="250" spans="1:22" ht="25.5" customHeight="1">
      <c r="A250" s="20"/>
      <c r="B250" s="186" t="s">
        <v>381</v>
      </c>
      <c r="C250" s="295">
        <v>204000</v>
      </c>
      <c r="D250" s="131"/>
      <c r="E250" s="267"/>
      <c r="F250" s="135"/>
      <c r="G250" s="135"/>
      <c r="H250" s="135"/>
      <c r="I250" s="131"/>
      <c r="J250" s="131"/>
      <c r="K250" s="131"/>
      <c r="L250" s="131"/>
      <c r="M250" s="135"/>
      <c r="N250" s="131"/>
      <c r="O250" s="131"/>
      <c r="P250" s="131"/>
      <c r="Q250" s="131"/>
      <c r="R250" s="217"/>
      <c r="S250" s="219"/>
      <c r="T250" s="219"/>
      <c r="U250" s="217"/>
      <c r="V250" s="217"/>
    </row>
    <row r="251" spans="1:22" ht="25.5" customHeight="1">
      <c r="A251" s="20"/>
      <c r="B251" s="186" t="s">
        <v>344</v>
      </c>
      <c r="C251" s="295">
        <v>204000</v>
      </c>
      <c r="D251" s="131"/>
      <c r="E251" s="267"/>
      <c r="F251" s="135"/>
      <c r="G251" s="135"/>
      <c r="H251" s="135"/>
      <c r="I251" s="131"/>
      <c r="J251" s="131"/>
      <c r="K251" s="131"/>
      <c r="L251" s="131"/>
      <c r="M251" s="135"/>
      <c r="N251" s="131"/>
      <c r="O251" s="131"/>
      <c r="P251" s="131"/>
      <c r="Q251" s="131"/>
      <c r="R251" s="217"/>
      <c r="S251" s="219"/>
      <c r="T251" s="219"/>
      <c r="U251" s="217"/>
      <c r="V251" s="217"/>
    </row>
    <row r="252" spans="1:22" ht="25.5" customHeight="1">
      <c r="A252" s="20"/>
      <c r="B252" s="186" t="s">
        <v>345</v>
      </c>
      <c r="C252" s="295">
        <v>217000</v>
      </c>
      <c r="D252" s="131"/>
      <c r="E252" s="267"/>
      <c r="F252" s="135"/>
      <c r="G252" s="135"/>
      <c r="H252" s="135"/>
      <c r="I252" s="131"/>
      <c r="J252" s="131"/>
      <c r="K252" s="131"/>
      <c r="L252" s="131"/>
      <c r="M252" s="135"/>
      <c r="N252" s="131"/>
      <c r="O252" s="131"/>
      <c r="P252" s="131"/>
      <c r="Q252" s="131"/>
      <c r="R252" s="217"/>
      <c r="S252" s="219"/>
      <c r="T252" s="219"/>
      <c r="U252" s="217"/>
      <c r="V252" s="217"/>
    </row>
    <row r="253" spans="1:22" ht="25.5" customHeight="1">
      <c r="A253" s="20"/>
      <c r="B253" s="186" t="s">
        <v>346</v>
      </c>
      <c r="C253" s="295">
        <v>27000</v>
      </c>
      <c r="D253" s="131"/>
      <c r="E253" s="267"/>
      <c r="F253" s="135"/>
      <c r="G253" s="135"/>
      <c r="H253" s="135"/>
      <c r="I253" s="131"/>
      <c r="J253" s="131"/>
      <c r="K253" s="131"/>
      <c r="L253" s="131"/>
      <c r="M253" s="135"/>
      <c r="N253" s="131"/>
      <c r="O253" s="131"/>
      <c r="P253" s="131"/>
      <c r="Q253" s="131"/>
      <c r="R253" s="217"/>
      <c r="S253" s="219"/>
      <c r="T253" s="219"/>
      <c r="U253" s="217"/>
      <c r="V253" s="217"/>
    </row>
    <row r="254" spans="1:22" ht="25.5" customHeight="1">
      <c r="A254" s="20"/>
      <c r="B254" s="186" t="s">
        <v>347</v>
      </c>
      <c r="C254" s="295">
        <v>211000</v>
      </c>
      <c r="D254" s="131"/>
      <c r="E254" s="267"/>
      <c r="F254" s="135"/>
      <c r="G254" s="135"/>
      <c r="H254" s="135"/>
      <c r="I254" s="131"/>
      <c r="J254" s="131"/>
      <c r="K254" s="131"/>
      <c r="L254" s="131"/>
      <c r="M254" s="135"/>
      <c r="N254" s="131"/>
      <c r="O254" s="131"/>
      <c r="P254" s="131"/>
      <c r="Q254" s="131"/>
      <c r="R254" s="217"/>
      <c r="S254" s="219"/>
      <c r="T254" s="219"/>
      <c r="U254" s="217"/>
      <c r="V254" s="217"/>
    </row>
    <row r="255" spans="1:22" ht="25.5" customHeight="1">
      <c r="A255" s="20"/>
      <c r="B255" s="186" t="s">
        <v>348</v>
      </c>
      <c r="C255" s="295">
        <v>211000</v>
      </c>
      <c r="D255" s="131"/>
      <c r="E255" s="267"/>
      <c r="F255" s="135"/>
      <c r="G255" s="135"/>
      <c r="H255" s="135"/>
      <c r="I255" s="131"/>
      <c r="J255" s="131"/>
      <c r="K255" s="131"/>
      <c r="L255" s="131"/>
      <c r="M255" s="135"/>
      <c r="N255" s="131"/>
      <c r="O255" s="131"/>
      <c r="P255" s="131"/>
      <c r="Q255" s="131"/>
      <c r="R255" s="217"/>
      <c r="S255" s="219"/>
      <c r="T255" s="219"/>
      <c r="U255" s="217"/>
      <c r="V255" s="217"/>
    </row>
    <row r="256" spans="1:22" ht="25.5" customHeight="1">
      <c r="A256" s="20"/>
      <c r="B256" s="186" t="s">
        <v>349</v>
      </c>
      <c r="C256" s="296">
        <v>688700</v>
      </c>
      <c r="D256" s="131"/>
      <c r="E256" s="267"/>
      <c r="F256" s="135"/>
      <c r="G256" s="135"/>
      <c r="H256" s="135"/>
      <c r="I256" s="131"/>
      <c r="J256" s="131"/>
      <c r="K256" s="131"/>
      <c r="L256" s="131"/>
      <c r="M256" s="135"/>
      <c r="N256" s="131"/>
      <c r="O256" s="131"/>
      <c r="P256" s="131"/>
      <c r="Q256" s="131"/>
      <c r="R256" s="217"/>
      <c r="S256" s="219"/>
      <c r="T256" s="219"/>
      <c r="U256" s="217"/>
      <c r="V256" s="217"/>
    </row>
    <row r="257" spans="1:23" ht="25.5" customHeight="1">
      <c r="A257" s="20"/>
      <c r="B257" s="186" t="s">
        <v>350</v>
      </c>
      <c r="C257" s="297">
        <v>62000</v>
      </c>
      <c r="D257" s="131"/>
      <c r="E257" s="267"/>
      <c r="F257" s="135"/>
      <c r="G257" s="135"/>
      <c r="H257" s="135"/>
      <c r="I257" s="131"/>
      <c r="J257" s="131"/>
      <c r="K257" s="131"/>
      <c r="L257" s="131"/>
      <c r="M257" s="135"/>
      <c r="N257" s="131"/>
      <c r="O257" s="131"/>
      <c r="P257" s="131"/>
      <c r="Q257" s="131"/>
      <c r="R257" s="217"/>
      <c r="S257" s="219"/>
      <c r="T257" s="219"/>
      <c r="U257" s="217"/>
      <c r="V257" s="217"/>
    </row>
    <row r="258" spans="1:23" ht="25.5" customHeight="1" thickBot="1">
      <c r="A258" s="24"/>
      <c r="B258" s="45" t="s">
        <v>5</v>
      </c>
      <c r="C258" s="170">
        <f>SUM(C227:C257)</f>
        <v>2383100</v>
      </c>
      <c r="D258" s="255">
        <f>SUM(D227:D257)</f>
        <v>0</v>
      </c>
      <c r="E258" s="254">
        <f t="shared" ref="E258:V258" si="7">SUM(E227:E257)</f>
        <v>0</v>
      </c>
      <c r="F258" s="254">
        <f t="shared" si="7"/>
        <v>0</v>
      </c>
      <c r="G258" s="255">
        <f t="shared" si="7"/>
        <v>0</v>
      </c>
      <c r="H258" s="254">
        <f t="shared" si="7"/>
        <v>0</v>
      </c>
      <c r="I258" s="255">
        <f t="shared" si="7"/>
        <v>0</v>
      </c>
      <c r="J258" s="255">
        <f t="shared" si="7"/>
        <v>0</v>
      </c>
      <c r="K258" s="255">
        <f t="shared" si="7"/>
        <v>0</v>
      </c>
      <c r="L258" s="255">
        <f t="shared" si="7"/>
        <v>0</v>
      </c>
      <c r="M258" s="254">
        <f t="shared" si="7"/>
        <v>0</v>
      </c>
      <c r="N258" s="255">
        <f t="shared" si="7"/>
        <v>0</v>
      </c>
      <c r="O258" s="255">
        <f t="shared" si="7"/>
        <v>0</v>
      </c>
      <c r="P258" s="255">
        <f t="shared" si="7"/>
        <v>0</v>
      </c>
      <c r="Q258" s="255">
        <f t="shared" si="7"/>
        <v>0</v>
      </c>
      <c r="R258" s="255">
        <f t="shared" si="7"/>
        <v>0</v>
      </c>
      <c r="S258" s="255">
        <f t="shared" si="7"/>
        <v>0</v>
      </c>
      <c r="T258" s="255"/>
      <c r="U258" s="255">
        <f t="shared" si="7"/>
        <v>0</v>
      </c>
      <c r="V258" s="255">
        <f t="shared" si="7"/>
        <v>0</v>
      </c>
      <c r="W258" s="314">
        <f>SUM(D258:V258)</f>
        <v>0</v>
      </c>
    </row>
    <row r="259" spans="1:23" ht="25.5" customHeight="1" thickTop="1">
      <c r="A259" s="50" t="s">
        <v>149</v>
      </c>
      <c r="B259" s="4"/>
      <c r="C259" s="193"/>
      <c r="D259" s="133"/>
      <c r="E259" s="269"/>
      <c r="F259" s="136"/>
      <c r="G259" s="136"/>
      <c r="H259" s="136"/>
      <c r="I259" s="133"/>
      <c r="J259" s="133"/>
      <c r="K259" s="133"/>
      <c r="L259" s="133"/>
      <c r="M259" s="136"/>
      <c r="N259" s="133"/>
      <c r="O259" s="133"/>
      <c r="P259" s="133"/>
      <c r="Q259" s="133"/>
      <c r="R259" s="258"/>
      <c r="S259" s="259"/>
      <c r="T259" s="259"/>
      <c r="U259" s="258"/>
      <c r="V259" s="258"/>
    </row>
    <row r="260" spans="1:23" ht="25.5" customHeight="1">
      <c r="A260" s="9"/>
      <c r="B260" s="186"/>
      <c r="C260" s="296"/>
      <c r="D260" s="133"/>
      <c r="E260" s="269"/>
      <c r="F260" s="136"/>
      <c r="G260" s="136"/>
      <c r="H260" s="136"/>
      <c r="I260" s="133"/>
      <c r="J260" s="133"/>
      <c r="K260" s="133"/>
      <c r="L260" s="133"/>
      <c r="M260" s="136"/>
      <c r="N260" s="133"/>
      <c r="O260" s="133"/>
      <c r="P260" s="133"/>
      <c r="Q260" s="133"/>
      <c r="R260" s="258"/>
      <c r="S260" s="259"/>
      <c r="T260" s="259"/>
      <c r="U260" s="258"/>
      <c r="V260" s="258"/>
    </row>
    <row r="261" spans="1:23" ht="25.5" customHeight="1">
      <c r="A261" s="9"/>
      <c r="B261" s="186"/>
      <c r="C261" s="296"/>
      <c r="D261" s="133"/>
      <c r="E261" s="269"/>
      <c r="F261" s="136"/>
      <c r="G261" s="136"/>
      <c r="H261" s="136"/>
      <c r="I261" s="133"/>
      <c r="J261" s="133"/>
      <c r="K261" s="133"/>
      <c r="L261" s="133"/>
      <c r="M261" s="136"/>
      <c r="N261" s="133"/>
      <c r="O261" s="133"/>
      <c r="P261" s="133"/>
      <c r="Q261" s="133"/>
      <c r="R261" s="258"/>
      <c r="S261" s="259"/>
      <c r="T261" s="259"/>
      <c r="U261" s="258"/>
      <c r="V261" s="258"/>
    </row>
    <row r="262" spans="1:23" ht="25.5" customHeight="1">
      <c r="A262" s="9"/>
      <c r="B262" s="186"/>
      <c r="C262" s="296"/>
      <c r="D262" s="133"/>
      <c r="E262" s="269"/>
      <c r="F262" s="136"/>
      <c r="G262" s="136"/>
      <c r="H262" s="136"/>
      <c r="I262" s="133"/>
      <c r="J262" s="133"/>
      <c r="K262" s="133"/>
      <c r="L262" s="133"/>
      <c r="M262" s="136"/>
      <c r="N262" s="133"/>
      <c r="O262" s="133"/>
      <c r="P262" s="133"/>
      <c r="Q262" s="133"/>
      <c r="R262" s="258"/>
      <c r="S262" s="259"/>
      <c r="T262" s="259"/>
      <c r="U262" s="258"/>
      <c r="V262" s="258"/>
    </row>
    <row r="263" spans="1:23" ht="25.5" customHeight="1">
      <c r="A263" s="9"/>
      <c r="B263" s="186"/>
      <c r="C263" s="296"/>
      <c r="D263" s="131"/>
      <c r="E263" s="267"/>
      <c r="F263" s="135"/>
      <c r="G263" s="135"/>
      <c r="H263" s="135"/>
      <c r="I263" s="131"/>
      <c r="J263" s="131"/>
      <c r="K263" s="131"/>
      <c r="L263" s="131"/>
      <c r="M263" s="135"/>
      <c r="N263" s="131"/>
      <c r="O263" s="131"/>
      <c r="P263" s="131"/>
      <c r="Q263" s="131"/>
      <c r="R263" s="217"/>
      <c r="S263" s="219"/>
      <c r="T263" s="219"/>
      <c r="U263" s="217"/>
      <c r="V263" s="217"/>
    </row>
    <row r="264" spans="1:23" ht="25.5" customHeight="1">
      <c r="A264" s="9"/>
      <c r="B264" s="186"/>
      <c r="C264" s="296"/>
      <c r="D264" s="131"/>
      <c r="E264" s="267"/>
      <c r="F264" s="135"/>
      <c r="G264" s="135"/>
      <c r="H264" s="135"/>
      <c r="I264" s="131"/>
      <c r="J264" s="131"/>
      <c r="K264" s="131"/>
      <c r="L264" s="131"/>
      <c r="M264" s="135"/>
      <c r="N264" s="131"/>
      <c r="O264" s="131"/>
      <c r="P264" s="131"/>
      <c r="Q264" s="131"/>
      <c r="R264" s="217"/>
      <c r="S264" s="219"/>
      <c r="T264" s="219"/>
      <c r="U264" s="217"/>
      <c r="V264" s="217"/>
    </row>
    <row r="265" spans="1:23" ht="25.5" customHeight="1">
      <c r="A265" s="9"/>
      <c r="B265" s="186"/>
      <c r="C265" s="296"/>
      <c r="D265" s="131"/>
      <c r="E265" s="267"/>
      <c r="F265" s="135"/>
      <c r="G265" s="135"/>
      <c r="H265" s="135"/>
      <c r="I265" s="131"/>
      <c r="J265" s="131"/>
      <c r="K265" s="131"/>
      <c r="L265" s="131"/>
      <c r="M265" s="135"/>
      <c r="N265" s="131"/>
      <c r="O265" s="131"/>
      <c r="P265" s="131"/>
      <c r="Q265" s="131"/>
      <c r="R265" s="217"/>
      <c r="S265" s="219"/>
      <c r="T265" s="219"/>
      <c r="U265" s="217"/>
      <c r="V265" s="217"/>
    </row>
    <row r="266" spans="1:23" ht="25.5" customHeight="1">
      <c r="A266" s="9"/>
      <c r="B266" s="186"/>
      <c r="C266" s="296"/>
      <c r="D266" s="131"/>
      <c r="E266" s="267"/>
      <c r="F266" s="135"/>
      <c r="G266" s="135"/>
      <c r="H266" s="135"/>
      <c r="I266" s="131"/>
      <c r="J266" s="131"/>
      <c r="K266" s="131"/>
      <c r="L266" s="131"/>
      <c r="M266" s="135"/>
      <c r="N266" s="131"/>
      <c r="O266" s="131"/>
      <c r="P266" s="131"/>
      <c r="Q266" s="131"/>
      <c r="R266" s="217"/>
      <c r="S266" s="219"/>
      <c r="T266" s="219"/>
      <c r="U266" s="217"/>
      <c r="V266" s="217"/>
    </row>
    <row r="267" spans="1:23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1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</row>
    <row r="268" spans="1:23" ht="25.5" customHeight="1" thickBot="1">
      <c r="A268" s="15"/>
      <c r="B268" s="14" t="s">
        <v>5</v>
      </c>
      <c r="C268" s="170">
        <f>SUM(C260:C267)</f>
        <v>0</v>
      </c>
      <c r="D268" s="255">
        <f>SUM(D260:D267)</f>
        <v>0</v>
      </c>
      <c r="E268" s="254">
        <f t="shared" ref="E268:V268" si="8">SUM(E260:E267)</f>
        <v>0</v>
      </c>
      <c r="F268" s="254">
        <f t="shared" si="8"/>
        <v>0</v>
      </c>
      <c r="G268" s="255">
        <f t="shared" si="8"/>
        <v>0</v>
      </c>
      <c r="H268" s="254">
        <f t="shared" si="8"/>
        <v>0</v>
      </c>
      <c r="I268" s="255">
        <f t="shared" si="8"/>
        <v>0</v>
      </c>
      <c r="J268" s="255">
        <f t="shared" si="8"/>
        <v>0</v>
      </c>
      <c r="K268" s="255">
        <f t="shared" si="8"/>
        <v>0</v>
      </c>
      <c r="L268" s="255">
        <f t="shared" si="8"/>
        <v>0</v>
      </c>
      <c r="M268" s="254">
        <f t="shared" si="8"/>
        <v>0</v>
      </c>
      <c r="N268" s="255">
        <f t="shared" si="8"/>
        <v>0</v>
      </c>
      <c r="O268" s="255">
        <f t="shared" si="8"/>
        <v>0</v>
      </c>
      <c r="P268" s="255">
        <f t="shared" si="8"/>
        <v>0</v>
      </c>
      <c r="Q268" s="255">
        <f t="shared" si="8"/>
        <v>0</v>
      </c>
      <c r="R268" s="255">
        <f t="shared" si="8"/>
        <v>0</v>
      </c>
      <c r="S268" s="255">
        <f t="shared" si="8"/>
        <v>0</v>
      </c>
      <c r="T268" s="255"/>
      <c r="U268" s="255">
        <f t="shared" si="8"/>
        <v>0</v>
      </c>
      <c r="V268" s="255">
        <f t="shared" si="8"/>
        <v>0</v>
      </c>
      <c r="W268" s="314">
        <f>SUM(D268:V268)</f>
        <v>0</v>
      </c>
    </row>
    <row r="269" spans="1:23" ht="25.5" customHeight="1" thickTop="1">
      <c r="A269" s="20" t="s">
        <v>24</v>
      </c>
      <c r="B269" s="23"/>
      <c r="C269" s="190"/>
      <c r="D269" s="133"/>
      <c r="E269" s="269"/>
      <c r="F269" s="136"/>
      <c r="G269" s="136"/>
      <c r="H269" s="136"/>
      <c r="I269" s="133"/>
      <c r="J269" s="133"/>
      <c r="K269" s="133"/>
      <c r="L269" s="133"/>
      <c r="M269" s="136"/>
      <c r="N269" s="133"/>
      <c r="O269" s="133"/>
      <c r="P269" s="133"/>
      <c r="Q269" s="133"/>
      <c r="R269" s="258"/>
      <c r="S269" s="259"/>
      <c r="T269" s="259"/>
      <c r="U269" s="258"/>
      <c r="V269" s="258"/>
    </row>
    <row r="270" spans="1:23" ht="25.5" customHeight="1">
      <c r="A270" s="20"/>
      <c r="B270" s="130"/>
      <c r="C270" s="192"/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>
      <c r="A271" s="20"/>
      <c r="B271" s="130"/>
      <c r="C271" s="192"/>
      <c r="D271" s="131"/>
      <c r="E271" s="267"/>
      <c r="F271" s="135"/>
      <c r="G271" s="135"/>
      <c r="H271" s="135"/>
      <c r="I271" s="131"/>
      <c r="J271" s="131"/>
      <c r="K271" s="131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</row>
    <row r="272" spans="1:23" ht="25.5" customHeight="1" thickBot="1">
      <c r="A272" s="15"/>
      <c r="B272" s="14" t="s">
        <v>5</v>
      </c>
      <c r="C272" s="298">
        <f>SUM(C270:C271)</f>
        <v>0</v>
      </c>
      <c r="D272" s="255">
        <f>SUM(D270:D271)</f>
        <v>0</v>
      </c>
      <c r="E272" s="254">
        <f t="shared" ref="E272:V272" si="9">SUM(E270:E271)</f>
        <v>0</v>
      </c>
      <c r="F272" s="254">
        <f t="shared" si="9"/>
        <v>0</v>
      </c>
      <c r="G272" s="255">
        <f t="shared" si="9"/>
        <v>0</v>
      </c>
      <c r="H272" s="254">
        <f t="shared" si="9"/>
        <v>0</v>
      </c>
      <c r="I272" s="255">
        <f t="shared" si="9"/>
        <v>0</v>
      </c>
      <c r="J272" s="255">
        <f t="shared" si="9"/>
        <v>0</v>
      </c>
      <c r="K272" s="255">
        <f t="shared" si="9"/>
        <v>0</v>
      </c>
      <c r="L272" s="255">
        <f t="shared" si="9"/>
        <v>0</v>
      </c>
      <c r="M272" s="254">
        <f t="shared" si="9"/>
        <v>0</v>
      </c>
      <c r="N272" s="255">
        <f t="shared" si="9"/>
        <v>0</v>
      </c>
      <c r="O272" s="255">
        <f t="shared" si="9"/>
        <v>0</v>
      </c>
      <c r="P272" s="255">
        <f t="shared" si="9"/>
        <v>0</v>
      </c>
      <c r="Q272" s="255">
        <f t="shared" si="9"/>
        <v>0</v>
      </c>
      <c r="R272" s="255">
        <f t="shared" si="9"/>
        <v>0</v>
      </c>
      <c r="S272" s="255">
        <f t="shared" si="9"/>
        <v>0</v>
      </c>
      <c r="T272" s="255"/>
      <c r="U272" s="255">
        <f t="shared" si="9"/>
        <v>0</v>
      </c>
      <c r="V272" s="255">
        <f t="shared" si="9"/>
        <v>0</v>
      </c>
      <c r="W272" s="314">
        <f>SUM(D272:V272)</f>
        <v>0</v>
      </c>
    </row>
    <row r="273" spans="1:23" ht="25.5" customHeight="1" thickTop="1">
      <c r="A273" s="20" t="s">
        <v>44</v>
      </c>
      <c r="B273" s="23"/>
      <c r="C273" s="193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85"/>
      <c r="C274" s="192"/>
      <c r="D274" s="133"/>
      <c r="E274" s="269"/>
      <c r="F274" s="136"/>
      <c r="G274" s="136"/>
      <c r="H274" s="136"/>
      <c r="I274" s="133"/>
      <c r="J274" s="133"/>
      <c r="K274" s="133"/>
      <c r="L274" s="133"/>
      <c r="M274" s="136"/>
      <c r="N274" s="133"/>
      <c r="O274" s="133"/>
      <c r="P274" s="133"/>
      <c r="Q274" s="133"/>
      <c r="R274" s="258"/>
      <c r="S274" s="259"/>
      <c r="T274" s="259"/>
      <c r="U274" s="258"/>
      <c r="V274" s="258"/>
    </row>
    <row r="275" spans="1:23" ht="25.5" customHeight="1">
      <c r="A275" s="20"/>
      <c r="B275" s="185"/>
      <c r="C275" s="190"/>
      <c r="D275" s="133"/>
      <c r="E275" s="269"/>
      <c r="F275" s="136"/>
      <c r="G275" s="136"/>
      <c r="H275" s="136"/>
      <c r="I275" s="133"/>
      <c r="J275" s="133"/>
      <c r="K275" s="133"/>
      <c r="L275" s="133"/>
      <c r="M275" s="136"/>
      <c r="N275" s="133"/>
      <c r="O275" s="133"/>
      <c r="P275" s="133"/>
      <c r="Q275" s="133"/>
      <c r="R275" s="258"/>
      <c r="S275" s="259"/>
      <c r="T275" s="259"/>
      <c r="U275" s="258"/>
      <c r="V275" s="258"/>
    </row>
    <row r="276" spans="1:23" ht="25.5" customHeight="1" thickBot="1">
      <c r="A276" s="15"/>
      <c r="B276" s="53" t="s">
        <v>5</v>
      </c>
      <c r="C276" s="105">
        <f>SUM(C274:C275)</f>
        <v>0</v>
      </c>
      <c r="D276" s="255">
        <f>SUM(D274:D275)</f>
        <v>0</v>
      </c>
      <c r="E276" s="254">
        <f t="shared" ref="E276:V276" si="10">SUM(E274:E275)</f>
        <v>0</v>
      </c>
      <c r="F276" s="254">
        <f t="shared" si="10"/>
        <v>0</v>
      </c>
      <c r="G276" s="255">
        <f t="shared" si="10"/>
        <v>0</v>
      </c>
      <c r="H276" s="254">
        <f t="shared" si="10"/>
        <v>0</v>
      </c>
      <c r="I276" s="255">
        <f t="shared" si="10"/>
        <v>0</v>
      </c>
      <c r="J276" s="255">
        <f t="shared" si="10"/>
        <v>0</v>
      </c>
      <c r="K276" s="255">
        <f t="shared" si="10"/>
        <v>0</v>
      </c>
      <c r="L276" s="255">
        <f t="shared" si="10"/>
        <v>0</v>
      </c>
      <c r="M276" s="254">
        <f t="shared" si="10"/>
        <v>0</v>
      </c>
      <c r="N276" s="255">
        <f t="shared" si="10"/>
        <v>0</v>
      </c>
      <c r="O276" s="255">
        <f t="shared" si="10"/>
        <v>0</v>
      </c>
      <c r="P276" s="255">
        <f t="shared" si="10"/>
        <v>0</v>
      </c>
      <c r="Q276" s="255">
        <f t="shared" si="10"/>
        <v>0</v>
      </c>
      <c r="R276" s="255">
        <f t="shared" si="10"/>
        <v>0</v>
      </c>
      <c r="S276" s="255">
        <f t="shared" si="10"/>
        <v>0</v>
      </c>
      <c r="T276" s="255"/>
      <c r="U276" s="255">
        <f t="shared" si="10"/>
        <v>0</v>
      </c>
      <c r="V276" s="255">
        <f t="shared" si="10"/>
        <v>0</v>
      </c>
      <c r="W276" s="314">
        <f>SUM(D276:V276)</f>
        <v>0</v>
      </c>
    </row>
    <row r="277" spans="1:23" ht="25.5" customHeight="1" thickTop="1">
      <c r="A277" s="20" t="s">
        <v>276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</row>
    <row r="278" spans="1:23" ht="25.5" customHeight="1">
      <c r="A278" s="20"/>
      <c r="B278" s="185" t="s">
        <v>226</v>
      </c>
      <c r="C278" s="192">
        <f>+E278+M278+F278+H278</f>
        <v>0</v>
      </c>
      <c r="D278" s="133"/>
      <c r="E278" s="267"/>
      <c r="F278" s="135"/>
      <c r="G278" s="135"/>
      <c r="H278" s="135"/>
      <c r="I278" s="131"/>
      <c r="J278" s="131"/>
      <c r="K278" s="131"/>
      <c r="L278" s="131"/>
      <c r="M278" s="135"/>
      <c r="N278" s="133"/>
      <c r="O278" s="133"/>
      <c r="P278" s="133"/>
      <c r="Q278" s="133"/>
      <c r="R278" s="258"/>
      <c r="S278" s="259"/>
      <c r="T278" s="259"/>
      <c r="U278" s="258"/>
      <c r="V278" s="258"/>
    </row>
    <row r="279" spans="1:23" ht="25.5" customHeight="1">
      <c r="A279" s="20"/>
      <c r="B279" s="185" t="s">
        <v>233</v>
      </c>
      <c r="C279" s="299">
        <v>7500</v>
      </c>
      <c r="D279" s="133"/>
      <c r="E279" s="267"/>
      <c r="F279" s="135"/>
      <c r="G279" s="135"/>
      <c r="H279" s="135"/>
      <c r="I279" s="131"/>
      <c r="J279" s="131"/>
      <c r="K279" s="131"/>
      <c r="L279" s="131"/>
      <c r="M279" s="135"/>
      <c r="N279" s="133"/>
      <c r="O279" s="133"/>
      <c r="P279" s="133"/>
      <c r="Q279" s="133"/>
      <c r="R279" s="258"/>
      <c r="S279" s="259"/>
      <c r="T279" s="259"/>
      <c r="U279" s="258"/>
      <c r="V279" s="258"/>
    </row>
    <row r="280" spans="1:23" ht="25.5" customHeight="1">
      <c r="A280" s="20"/>
      <c r="B280" s="274" t="s">
        <v>378</v>
      </c>
      <c r="C280" s="299">
        <v>37500</v>
      </c>
      <c r="D280" s="131"/>
      <c r="E280" s="267"/>
      <c r="F280" s="135"/>
      <c r="G280" s="135"/>
      <c r="H280" s="135"/>
      <c r="I280" s="131"/>
      <c r="J280" s="131"/>
      <c r="K280" s="131"/>
      <c r="L280" s="131"/>
      <c r="M280" s="135"/>
      <c r="N280" s="131"/>
      <c r="O280" s="131"/>
      <c r="P280" s="131"/>
      <c r="Q280" s="131"/>
      <c r="R280" s="217"/>
      <c r="S280" s="219"/>
      <c r="T280" s="219"/>
      <c r="U280" s="217"/>
      <c r="V280" s="217"/>
    </row>
    <row r="281" spans="1:23" ht="25.5" customHeight="1">
      <c r="A281" s="20"/>
      <c r="B281" s="185" t="s">
        <v>379</v>
      </c>
      <c r="C281" s="299">
        <v>10000</v>
      </c>
      <c r="D281" s="131"/>
      <c r="E281" s="267"/>
      <c r="F281" s="135"/>
      <c r="G281" s="135"/>
      <c r="H281" s="135"/>
      <c r="I281" s="131"/>
      <c r="J281" s="131"/>
      <c r="K281" s="131"/>
      <c r="L281" s="131"/>
      <c r="M281" s="135"/>
      <c r="N281" s="131"/>
      <c r="O281" s="131"/>
      <c r="P281" s="131"/>
      <c r="Q281" s="131"/>
      <c r="R281" s="217"/>
      <c r="S281" s="219"/>
      <c r="T281" s="219"/>
      <c r="U281" s="217"/>
      <c r="V281" s="217"/>
    </row>
    <row r="282" spans="1:23" ht="25.5" customHeight="1">
      <c r="A282" s="20"/>
      <c r="B282" s="185" t="s">
        <v>382</v>
      </c>
      <c r="C282" s="299">
        <v>1950</v>
      </c>
      <c r="D282" s="131"/>
      <c r="E282" s="267"/>
      <c r="F282" s="135"/>
      <c r="G282" s="135"/>
      <c r="H282" s="135"/>
      <c r="I282" s="131"/>
      <c r="J282" s="131"/>
      <c r="K282" s="131"/>
      <c r="L282" s="131"/>
      <c r="M282" s="135"/>
      <c r="N282" s="131"/>
      <c r="O282" s="131"/>
      <c r="P282" s="131"/>
      <c r="Q282" s="131"/>
      <c r="R282" s="217"/>
      <c r="S282" s="219"/>
      <c r="T282" s="219"/>
      <c r="U282" s="217"/>
      <c r="V282" s="217"/>
    </row>
    <row r="283" spans="1:23" ht="25.5" customHeight="1">
      <c r="A283" s="20"/>
      <c r="B283" s="185" t="s">
        <v>380</v>
      </c>
      <c r="C283" s="299">
        <f>4550+8575</f>
        <v>13125</v>
      </c>
      <c r="D283" s="131"/>
      <c r="E283" s="267"/>
      <c r="F283" s="135"/>
      <c r="G283" s="135"/>
      <c r="H283" s="135"/>
      <c r="I283" s="131"/>
      <c r="J283" s="131"/>
      <c r="K283" s="131"/>
      <c r="L283" s="131"/>
      <c r="M283" s="135"/>
      <c r="N283" s="131"/>
      <c r="O283" s="131"/>
      <c r="P283" s="131"/>
      <c r="Q283" s="131"/>
      <c r="R283" s="217"/>
      <c r="S283" s="219"/>
      <c r="T283" s="219"/>
      <c r="U283" s="217"/>
      <c r="V283" s="217"/>
    </row>
    <row r="284" spans="1:23" ht="25.5" customHeight="1">
      <c r="A284" s="20"/>
      <c r="B284" s="185" t="s">
        <v>386</v>
      </c>
      <c r="C284" s="192">
        <v>409940.96</v>
      </c>
      <c r="D284" s="131"/>
      <c r="E284" s="267"/>
      <c r="F284" s="135"/>
      <c r="G284" s="135"/>
      <c r="H284" s="135"/>
      <c r="I284" s="131"/>
      <c r="J284" s="131"/>
      <c r="K284" s="131"/>
      <c r="L284" s="131"/>
      <c r="M284" s="135"/>
      <c r="N284" s="131"/>
      <c r="O284" s="131"/>
      <c r="P284" s="131"/>
      <c r="Q284" s="131"/>
      <c r="R284" s="217"/>
      <c r="S284" s="219"/>
      <c r="T284" s="219"/>
      <c r="U284" s="217"/>
      <c r="V284" s="217"/>
    </row>
    <row r="285" spans="1:23" ht="25.5" customHeight="1">
      <c r="A285" s="20"/>
      <c r="B285" s="185" t="s">
        <v>387</v>
      </c>
      <c r="C285" s="192">
        <v>40000</v>
      </c>
      <c r="D285" s="131"/>
      <c r="E285" s="267"/>
      <c r="F285" s="135"/>
      <c r="G285" s="135"/>
      <c r="H285" s="135"/>
      <c r="I285" s="131"/>
      <c r="J285" s="131"/>
      <c r="K285" s="131"/>
      <c r="L285" s="131"/>
      <c r="M285" s="135"/>
      <c r="N285" s="131"/>
      <c r="O285" s="131"/>
      <c r="P285" s="131"/>
      <c r="Q285" s="131"/>
      <c r="R285" s="217"/>
      <c r="S285" s="219"/>
      <c r="T285" s="219"/>
      <c r="U285" s="217"/>
      <c r="V285" s="217"/>
    </row>
    <row r="286" spans="1:23" ht="25.5" customHeight="1">
      <c r="A286" s="20"/>
      <c r="B286" s="23"/>
      <c r="C286" s="290"/>
      <c r="D286" s="195"/>
      <c r="E286" s="270"/>
      <c r="F286" s="196"/>
      <c r="G286" s="196"/>
      <c r="H286" s="196"/>
      <c r="I286" s="195"/>
      <c r="J286" s="195"/>
      <c r="K286" s="195"/>
      <c r="L286" s="195"/>
      <c r="M286" s="196"/>
      <c r="N286" s="195"/>
      <c r="O286" s="195"/>
      <c r="P286" s="195"/>
      <c r="Q286" s="195"/>
      <c r="R286" s="218"/>
      <c r="S286" s="220"/>
      <c r="T286" s="220"/>
      <c r="U286" s="218"/>
      <c r="V286" s="218"/>
    </row>
    <row r="287" spans="1:23" ht="25.5" customHeight="1">
      <c r="A287" s="20"/>
      <c r="B287" s="23"/>
      <c r="C287" s="290"/>
      <c r="D287" s="195"/>
      <c r="E287" s="270"/>
      <c r="F287" s="196"/>
      <c r="G287" s="196"/>
      <c r="H287" s="196"/>
      <c r="I287" s="195"/>
      <c r="J287" s="195"/>
      <c r="K287" s="195"/>
      <c r="L287" s="195"/>
      <c r="M287" s="196"/>
      <c r="N287" s="195"/>
      <c r="O287" s="195"/>
      <c r="P287" s="195"/>
      <c r="Q287" s="195"/>
      <c r="R287" s="218"/>
      <c r="S287" s="220"/>
      <c r="T287" s="220"/>
      <c r="U287" s="218"/>
      <c r="V287" s="218"/>
    </row>
    <row r="288" spans="1:23" ht="25.5" customHeight="1" thickBot="1">
      <c r="A288" s="15"/>
      <c r="B288" s="53" t="s">
        <v>5</v>
      </c>
      <c r="C288" s="105">
        <f>SUM(C278:C285)</f>
        <v>520015.96</v>
      </c>
      <c r="D288" s="132">
        <f>SUM(D278:D285)</f>
        <v>0</v>
      </c>
      <c r="E288" s="137">
        <f>SUM(E278:E285)</f>
        <v>0</v>
      </c>
      <c r="F288" s="137">
        <f>SUM(F278:F285)</f>
        <v>0</v>
      </c>
      <c r="G288" s="132">
        <f t="shared" ref="G288:V288" si="11">SUM(G278:G285)</f>
        <v>0</v>
      </c>
      <c r="H288" s="137">
        <f>SUM(H278:H285)</f>
        <v>0</v>
      </c>
      <c r="I288" s="132">
        <f t="shared" si="11"/>
        <v>0</v>
      </c>
      <c r="J288" s="132">
        <f t="shared" si="11"/>
        <v>0</v>
      </c>
      <c r="K288" s="132">
        <f t="shared" si="11"/>
        <v>0</v>
      </c>
      <c r="L288" s="132">
        <f t="shared" si="11"/>
        <v>0</v>
      </c>
      <c r="M288" s="137">
        <f>SUM(M278:M285)</f>
        <v>0</v>
      </c>
      <c r="N288" s="132">
        <f t="shared" si="11"/>
        <v>0</v>
      </c>
      <c r="O288" s="132">
        <f t="shared" si="11"/>
        <v>0</v>
      </c>
      <c r="P288" s="132">
        <f t="shared" si="11"/>
        <v>0</v>
      </c>
      <c r="Q288" s="132">
        <f t="shared" si="11"/>
        <v>0</v>
      </c>
      <c r="R288" s="132">
        <f t="shared" si="11"/>
        <v>0</v>
      </c>
      <c r="S288" s="132">
        <f t="shared" si="11"/>
        <v>0</v>
      </c>
      <c r="T288" s="132"/>
      <c r="U288" s="132">
        <f t="shared" si="11"/>
        <v>0</v>
      </c>
      <c r="V288" s="132">
        <f t="shared" si="11"/>
        <v>0</v>
      </c>
      <c r="W288" s="318">
        <f>SUM(D288:V288)</f>
        <v>0</v>
      </c>
    </row>
    <row r="289" spans="1:23" ht="25.5" customHeight="1" thickTop="1" thickBot="1">
      <c r="A289" s="16"/>
      <c r="B289" s="52" t="s">
        <v>49</v>
      </c>
      <c r="C289" s="229">
        <f>+C268+C258+C221+C210+C204++C49+C38+C21+C176+C28+C224</f>
        <v>39148280</v>
      </c>
      <c r="D289" s="229">
        <f>+D268+D258+D221+D210+D204++D49+D38+D21+D176+D28+D224</f>
        <v>1095805.28</v>
      </c>
      <c r="E289" s="229">
        <f t="shared" ref="E289:V289" si="12">+E268+E258+E221+E210+E204++E49+E38+E21+E176+E28+E224</f>
        <v>742643.92999999993</v>
      </c>
      <c r="F289" s="229">
        <f t="shared" si="12"/>
        <v>135991</v>
      </c>
      <c r="G289" s="229">
        <f t="shared" si="12"/>
        <v>0</v>
      </c>
      <c r="H289" s="229">
        <f t="shared" si="12"/>
        <v>418228.04</v>
      </c>
      <c r="I289" s="229">
        <f t="shared" si="12"/>
        <v>-8000</v>
      </c>
      <c r="J289" s="229">
        <f t="shared" si="12"/>
        <v>0</v>
      </c>
      <c r="K289" s="229">
        <f t="shared" si="12"/>
        <v>0</v>
      </c>
      <c r="L289" s="229">
        <f t="shared" si="12"/>
        <v>0</v>
      </c>
      <c r="M289" s="229">
        <f t="shared" si="12"/>
        <v>205332.9</v>
      </c>
      <c r="N289" s="229">
        <f t="shared" si="12"/>
        <v>0</v>
      </c>
      <c r="O289" s="229">
        <f t="shared" si="12"/>
        <v>0</v>
      </c>
      <c r="P289" s="229">
        <f t="shared" si="12"/>
        <v>0</v>
      </c>
      <c r="Q289" s="229">
        <f t="shared" si="12"/>
        <v>0</v>
      </c>
      <c r="R289" s="229">
        <f t="shared" si="12"/>
        <v>0</v>
      </c>
      <c r="S289" s="229">
        <f t="shared" si="12"/>
        <v>60000</v>
      </c>
      <c r="T289" s="229"/>
      <c r="U289" s="229">
        <f t="shared" si="12"/>
        <v>0</v>
      </c>
      <c r="V289" s="51">
        <f t="shared" si="12"/>
        <v>0</v>
      </c>
      <c r="W289" s="314">
        <f>SUM(D289:V289)</f>
        <v>2650001.15</v>
      </c>
    </row>
    <row r="290" spans="1:23" ht="25.5" customHeight="1" thickTop="1" thickBot="1">
      <c r="A290" s="16"/>
      <c r="B290" s="41" t="s">
        <v>25</v>
      </c>
      <c r="C290" s="260">
        <f>+C288+C276+C272+C268+C258+C224+C221+C210+C176+C49+C28+C21+C38++C204</f>
        <v>39668295.960000001</v>
      </c>
      <c r="D290" s="260">
        <f>+D288+D276+D272+D268+D258+D224+D221+D210+D176+D49+D28+D21+D38++D204</f>
        <v>1095805.28</v>
      </c>
      <c r="E290" s="260">
        <f>+E288+E276+E272+E268+E258+E224+E221+E210+E176+E49+E28+E21+E38++E204</f>
        <v>742643.93</v>
      </c>
      <c r="F290" s="260">
        <f>+F288+F276+F272+F268+F258+F224+F221+F210+F176+F49+F28+F21+F38++F204</f>
        <v>135991</v>
      </c>
      <c r="G290" s="260">
        <f t="shared" ref="G290:V290" si="13">+G288+G276+G272+G268+G258+G224+G221+G210+G176+G49+G28+G21+G38++G204</f>
        <v>0</v>
      </c>
      <c r="H290" s="260">
        <f>+H288+H276+H272+H268+H258+H224+H221+H210+H176+H49+H28+H21+H38++H204</f>
        <v>418228.04</v>
      </c>
      <c r="I290" s="260">
        <f t="shared" si="13"/>
        <v>-8000</v>
      </c>
      <c r="J290" s="260">
        <f t="shared" si="13"/>
        <v>0</v>
      </c>
      <c r="K290" s="260">
        <f t="shared" si="13"/>
        <v>0</v>
      </c>
      <c r="L290" s="260">
        <f t="shared" si="13"/>
        <v>0</v>
      </c>
      <c r="M290" s="260">
        <f>+M288+M276+M272+M268+M258+M224+M221+M210+M176+M49+M28+M21+M38++M204</f>
        <v>205332.9</v>
      </c>
      <c r="N290" s="260">
        <f t="shared" si="13"/>
        <v>0</v>
      </c>
      <c r="O290" s="260">
        <f t="shared" si="13"/>
        <v>0</v>
      </c>
      <c r="P290" s="260">
        <f t="shared" si="13"/>
        <v>0</v>
      </c>
      <c r="Q290" s="260">
        <f t="shared" si="13"/>
        <v>0</v>
      </c>
      <c r="R290" s="260">
        <f t="shared" si="13"/>
        <v>0</v>
      </c>
      <c r="S290" s="260">
        <f t="shared" si="13"/>
        <v>60000</v>
      </c>
      <c r="T290" s="260"/>
      <c r="U290" s="260">
        <f t="shared" si="13"/>
        <v>0</v>
      </c>
      <c r="V290" s="309">
        <f t="shared" si="13"/>
        <v>0</v>
      </c>
      <c r="W290" s="319">
        <f>SUM(W5:W288)</f>
        <v>3025017.1599999997</v>
      </c>
    </row>
    <row r="291" spans="1:23" ht="25.5" customHeight="1" thickTop="1">
      <c r="B291" s="246" t="s">
        <v>391</v>
      </c>
      <c r="C291" s="249"/>
      <c r="D291" s="300"/>
      <c r="E291" s="301"/>
      <c r="F291" s="302"/>
      <c r="G291" s="302"/>
      <c r="H291" s="302"/>
      <c r="I291" s="300"/>
      <c r="J291" s="300"/>
      <c r="K291" s="300"/>
      <c r="L291" s="300"/>
      <c r="M291" s="302"/>
      <c r="N291" s="300"/>
      <c r="O291" s="300"/>
      <c r="P291" s="300"/>
      <c r="Q291" s="300"/>
      <c r="R291" s="303"/>
      <c r="S291" s="304"/>
      <c r="T291" s="304"/>
      <c r="U291" s="303"/>
      <c r="V291" s="303"/>
      <c r="W291" s="246" t="s">
        <v>384</v>
      </c>
    </row>
    <row r="292" spans="1:23" ht="25.5" customHeight="1">
      <c r="C292" s="249"/>
      <c r="D292" s="35"/>
      <c r="E292" s="266"/>
      <c r="F292" s="134"/>
      <c r="G292" s="134"/>
      <c r="H292" s="134"/>
      <c r="I292" s="35"/>
      <c r="J292" s="35"/>
      <c r="K292" s="35"/>
      <c r="L292" s="35"/>
      <c r="M292" s="134"/>
      <c r="N292" s="35"/>
      <c r="O292" s="35"/>
      <c r="P292" s="35"/>
      <c r="Q292" s="35"/>
      <c r="R292" s="34"/>
      <c r="S292" s="171"/>
      <c r="T292" s="171"/>
      <c r="U292" s="34"/>
      <c r="V292" s="34"/>
      <c r="W292"/>
    </row>
    <row r="293" spans="1:23" ht="25.5" customHeight="1">
      <c r="C293" s="249"/>
      <c r="D293" s="35"/>
      <c r="E293" s="266"/>
      <c r="F293" s="134"/>
      <c r="G293" s="134"/>
      <c r="H293" s="134"/>
      <c r="I293" s="35"/>
      <c r="J293" s="35"/>
      <c r="K293" s="35"/>
      <c r="L293" s="35"/>
      <c r="M293" s="134"/>
      <c r="N293" s="35"/>
      <c r="O293" s="35"/>
      <c r="P293" s="35"/>
      <c r="Q293" s="35"/>
      <c r="R293" s="34"/>
      <c r="S293" s="171"/>
      <c r="T293" s="171"/>
      <c r="U293" s="34"/>
      <c r="V293" s="34"/>
      <c r="W293" s="253">
        <f>39148280-C289</f>
        <v>0</v>
      </c>
    </row>
    <row r="294" spans="1:23" ht="25.5" customHeight="1">
      <c r="C294" s="182"/>
      <c r="D294" s="181"/>
      <c r="E294" s="272"/>
      <c r="F294" s="265"/>
      <c r="G294" s="265"/>
      <c r="H294" s="265"/>
      <c r="I294" s="181"/>
      <c r="J294" s="181"/>
      <c r="K294" s="181"/>
      <c r="L294" s="181"/>
      <c r="M294" s="265"/>
      <c r="N294" s="181"/>
      <c r="O294" s="181"/>
      <c r="P294" s="181"/>
      <c r="Q294" s="181"/>
      <c r="R294" s="221"/>
      <c r="S294" s="234"/>
      <c r="T294" s="234"/>
      <c r="U294" s="221"/>
      <c r="V294" s="221"/>
    </row>
    <row r="295" spans="1:23" ht="25.5" customHeight="1">
      <c r="C295" s="182"/>
      <c r="D295" s="181"/>
      <c r="E295" s="272"/>
      <c r="F295" s="265"/>
      <c r="G295" s="265"/>
      <c r="H295" s="265"/>
      <c r="I295" s="181"/>
      <c r="J295" s="181"/>
      <c r="K295" s="181"/>
      <c r="L295" s="181"/>
      <c r="M295" s="265"/>
      <c r="N295" s="181"/>
      <c r="O295" s="181"/>
      <c r="P295" s="181"/>
      <c r="Q295" s="181"/>
      <c r="R295" s="221"/>
      <c r="S295" s="234"/>
      <c r="T295" s="234"/>
      <c r="U295" s="221"/>
      <c r="V295" s="221"/>
      <c r="W295" s="322">
        <v>3033017.16</v>
      </c>
    </row>
    <row r="296" spans="1:23" ht="25.5" customHeight="1">
      <c r="C296" s="182"/>
      <c r="D296" s="181"/>
      <c r="E296" s="272"/>
      <c r="F296" s="265"/>
      <c r="G296" s="265"/>
      <c r="H296" s="265"/>
      <c r="I296" s="181"/>
      <c r="J296" s="181"/>
      <c r="K296" s="181"/>
      <c r="L296" s="181"/>
      <c r="M296" s="265"/>
      <c r="N296" s="181"/>
      <c r="O296" s="181"/>
      <c r="P296" s="181"/>
      <c r="Q296" s="181"/>
      <c r="R296" s="221"/>
      <c r="S296" s="234"/>
      <c r="T296" s="234"/>
      <c r="U296" s="221"/>
      <c r="V296" s="221"/>
    </row>
    <row r="297" spans="1:23" ht="25.5" customHeight="1">
      <c r="D297" s="181"/>
      <c r="E297" s="272"/>
      <c r="F297" s="265"/>
      <c r="G297" s="265"/>
      <c r="H297" s="265"/>
      <c r="I297" s="181"/>
      <c r="J297" s="181"/>
      <c r="K297" s="181"/>
      <c r="L297" s="181"/>
      <c r="M297" s="265"/>
      <c r="N297" s="181"/>
      <c r="O297" s="181"/>
      <c r="P297" s="181"/>
      <c r="Q297" s="181"/>
      <c r="R297" s="221"/>
      <c r="S297" s="234"/>
      <c r="T297" s="234"/>
      <c r="U297" s="221"/>
      <c r="V297" s="221"/>
    </row>
    <row r="298" spans="1:23" ht="25.5" customHeight="1"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</row>
    <row r="299" spans="1:23" ht="25.5" customHeight="1"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</row>
    <row r="300" spans="1:23" ht="25.5" customHeight="1"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</row>
    <row r="301" spans="1:23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</row>
    <row r="302" spans="1:23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3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3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4:22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4:22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4:22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4:22" ht="25.5" customHeight="1"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</row>
    <row r="309" spans="4:22" ht="25.5" customHeight="1"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</row>
    <row r="310" spans="4:22" ht="25.5" customHeight="1"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</row>
    <row r="311" spans="4:22" ht="25.5" customHeight="1"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</row>
    <row r="312" spans="4:22" ht="25.5" customHeight="1"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</row>
    <row r="313" spans="4:22" ht="25.5" customHeight="1"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</row>
    <row r="314" spans="4:22" ht="25.5" customHeight="1"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</row>
    <row r="315" spans="4:22" ht="25.5" customHeight="1"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</row>
    <row r="316" spans="4:22" ht="25.5" customHeight="1"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</row>
    <row r="317" spans="4:22" ht="25.5" customHeight="1"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</row>
    <row r="318" spans="4:22" ht="25.5" customHeight="1"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</row>
    <row r="319" spans="4:22" ht="25.5" customHeight="1"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</row>
    <row r="320" spans="4:22" ht="25.5" customHeight="1"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</row>
    <row r="321" spans="4:22" ht="25.5" customHeight="1"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</row>
    <row r="322" spans="4:22" ht="25.5" customHeight="1"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</row>
    <row r="323" spans="4:22" ht="25.5" customHeight="1"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</row>
    <row r="324" spans="4:22" ht="25.5" customHeight="1"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</row>
    <row r="325" spans="4:22" ht="25.5" customHeight="1"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</row>
    <row r="326" spans="4:22" ht="25.5" customHeight="1"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</row>
    <row r="327" spans="4:22" ht="25.5" customHeight="1"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</row>
    <row r="328" spans="4:22" ht="25.5" customHeight="1"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</row>
    <row r="329" spans="4:22" ht="25.5" customHeight="1"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</row>
    <row r="330" spans="4:22" ht="25.5" customHeight="1"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</row>
    <row r="331" spans="4:22" ht="25.5" customHeight="1"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</row>
    <row r="332" spans="4:22" ht="25.5" customHeight="1"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</row>
    <row r="333" spans="4:22" ht="25.5" customHeight="1"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</row>
    <row r="334" spans="4:22" ht="25.5" customHeight="1"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</row>
    <row r="335" spans="4:22" ht="25.5" customHeight="1"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</row>
    <row r="336" spans="4:22" ht="25.5" customHeight="1"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</row>
    <row r="337" spans="4:22" ht="25.5" customHeight="1"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</row>
    <row r="338" spans="4:22" ht="25.5" customHeight="1"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</row>
    <row r="339" spans="4:22" ht="25.5" customHeight="1"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</row>
    <row r="340" spans="4:22" ht="25.5" customHeight="1"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</row>
    <row r="341" spans="4:22" ht="25.5" customHeight="1"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</row>
    <row r="342" spans="4:22" ht="25.5" customHeight="1"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</row>
    <row r="343" spans="4:22" ht="25.5" customHeight="1"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</row>
    <row r="344" spans="4:22" ht="25.5" customHeight="1"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</row>
    <row r="345" spans="4:22" ht="25.5" customHeight="1"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</row>
    <row r="346" spans="4:22" ht="25.5" customHeight="1"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</row>
    <row r="347" spans="4:22" ht="25.5" customHeight="1"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</row>
    <row r="348" spans="4:22" ht="25.5" customHeight="1"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</row>
    <row r="349" spans="4:22" ht="25.5" customHeight="1"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</row>
    <row r="350" spans="4:22" ht="25.5" customHeight="1"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</row>
    <row r="351" spans="4:22" ht="25.5" customHeight="1"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</row>
    <row r="352" spans="4:22" ht="25.5" customHeight="1"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</row>
    <row r="353" spans="4:22" ht="25.5" customHeight="1"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</row>
    <row r="354" spans="4:22" ht="25.5" customHeight="1"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</row>
    <row r="355" spans="4:22" ht="25.5" customHeight="1"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</row>
    <row r="356" spans="4:22" ht="25.5" customHeight="1"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</row>
    <row r="357" spans="4:22" ht="25.5" customHeight="1"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</row>
    <row r="358" spans="4:22" ht="25.5" customHeight="1"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</row>
    <row r="359" spans="4:22" ht="25.5" customHeight="1"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</row>
    <row r="360" spans="4:22" ht="25.5" customHeight="1"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</row>
    <row r="361" spans="4:22" ht="25.5" customHeight="1"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</row>
    <row r="362" spans="4:22" ht="25.5" customHeight="1"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</row>
    <row r="363" spans="4:22" ht="25.5" customHeight="1"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</row>
    <row r="364" spans="4:22" ht="25.5" customHeight="1"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</row>
    <row r="365" spans="4:22" ht="25.5" customHeight="1"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</row>
    <row r="366" spans="4:22" ht="25.5" customHeight="1"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</row>
    <row r="367" spans="4:22" ht="25.5" customHeight="1"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</row>
    <row r="368" spans="4:22" ht="25.5" customHeight="1"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</row>
    <row r="369" spans="4:22" ht="25.5" customHeight="1"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</row>
    <row r="370" spans="4:22" ht="25.5" customHeight="1"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</row>
    <row r="371" spans="4:22" ht="25.5" customHeight="1"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</row>
    <row r="372" spans="4:22" ht="25.5" customHeight="1"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</row>
    <row r="373" spans="4:22" ht="25.5" customHeight="1"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</row>
    <row r="374" spans="4:22" ht="25.5" customHeight="1"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</row>
    <row r="375" spans="4:22" ht="25.5" customHeight="1"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</row>
    <row r="376" spans="4:22" ht="25.5" customHeight="1"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</row>
    <row r="377" spans="4:22" ht="25.5" customHeight="1"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</row>
  </sheetData>
  <mergeCells count="32"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R7:R8"/>
    <mergeCell ref="S7:S8"/>
    <mergeCell ref="U7:U8"/>
    <mergeCell ref="V7:V8"/>
  </mergeCells>
  <pageMargins left="0.15748031496062992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7030A0"/>
  </sheetPr>
  <dimension ref="A1:X382"/>
  <sheetViews>
    <sheetView workbookViewId="0">
      <pane ySplit="8" topLeftCell="A282" activePane="bottomLeft" state="frozen"/>
      <selection activeCell="D177" sqref="D177"/>
      <selection pane="bottomLeft" activeCell="W295" sqref="W295"/>
    </sheetView>
  </sheetViews>
  <sheetFormatPr defaultRowHeight="25.5" customHeight="1"/>
  <cols>
    <col min="1" max="1" width="1.140625" customWidth="1"/>
    <col min="2" max="2" width="25.85546875" customWidth="1"/>
    <col min="3" max="3" width="11.28515625" style="282" customWidth="1"/>
    <col min="4" max="4" width="9.7109375" style="33" customWidth="1"/>
    <col min="5" max="5" width="9.5703125" style="273" customWidth="1"/>
    <col min="6" max="6" width="8.85546875" style="138" customWidth="1"/>
    <col min="7" max="7" width="3.85546875" style="138" customWidth="1"/>
    <col min="8" max="8" width="9.5703125" style="138" customWidth="1"/>
    <col min="9" max="9" width="10.140625" style="33" customWidth="1"/>
    <col min="10" max="10" width="4.5703125" style="33" customWidth="1"/>
    <col min="11" max="11" width="4.28515625" style="33" customWidth="1"/>
    <col min="12" max="12" width="4.140625" style="33" customWidth="1"/>
    <col min="13" max="13" width="9.140625" style="138" customWidth="1"/>
    <col min="14" max="16" width="3.85546875" style="33" customWidth="1"/>
    <col min="17" max="17" width="7" style="33" customWidth="1"/>
    <col min="18" max="18" width="3.85546875" customWidth="1"/>
    <col min="19" max="20" width="9.28515625" style="168" customWidth="1"/>
    <col min="21" max="22" width="9.28515625" customWidth="1"/>
    <col min="23" max="23" width="15.710937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389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28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65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f>+'ต.ค. '!D10+พ.ย.!D10+ธ.ค.!D10</f>
        <v>18508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f>+'ต.ค. '!D11+พ.ย.!D11+ธ.ค.!D11</f>
        <v>2280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f>+'ต.ค. '!D12+พ.ย.!D12+ธ.ค.!D12</f>
        <v>1601200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f>+'ต.ค. '!D13+พ.ย.!D13+ธ.ค.!D13</f>
        <v>4500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f>+'ต.ค. '!D14+พ.ย.!D14+ธ.ค.!D14</f>
        <v>590400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>
        <f>+'ต.ค. '!D15+พ.ย.!D15+ธ.ค.!D15</f>
        <v>0</v>
      </c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>
        <f>+'ต.ค. '!D16+พ.ย.!D16+ธ.ค.!D16</f>
        <v>28939.279999999999</v>
      </c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>
        <f>+'ต.ค. '!D17+พ.ย.!D17+ธ.ค.!D17</f>
        <v>0</v>
      </c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>
        <f>+'ต.ค. '!D18+พ.ย.!D18+ธ.ค.!D18</f>
        <v>15000</v>
      </c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2" t="s">
        <v>81</v>
      </c>
      <c r="C19" s="285">
        <v>344150</v>
      </c>
      <c r="D19" s="131">
        <f>+'ต.ค. '!D19+พ.ย.!D19+ธ.ค.!D19</f>
        <v>323840</v>
      </c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6"/>
      <c r="C20" s="290"/>
      <c r="D20" s="195"/>
      <c r="E20" s="270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SUM(C10:C19)</f>
        <v>10086782</v>
      </c>
      <c r="D21" s="132">
        <f>SUM(D10:D19)</f>
        <v>2584667.2799999998</v>
      </c>
      <c r="E21" s="268">
        <f t="shared" ref="E21:V21" si="0">SUM(E10:E19)</f>
        <v>0</v>
      </c>
      <c r="F21" s="137">
        <f t="shared" si="0"/>
        <v>0</v>
      </c>
      <c r="G21" s="132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2584667.2799999998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f>+'ต.ค. '!E23+พ.ย.!E23+ธ.ค.!E23</f>
        <v>173880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f>+'ต.ค. '!E24+พ.ย.!E24+ธ.ค.!E24</f>
        <v>30000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f>+'ต.ค. '!E25+พ.ย.!E25+ธ.ค.!E25</f>
        <v>30000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f>+'ต.ค. '!E26+พ.ย.!E26+ธ.ค.!E26</f>
        <v>49680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v>1283280</v>
      </c>
      <c r="D27" s="131"/>
      <c r="E27" s="267">
        <f>+'ต.ค. '!E27+พ.ย.!E27+ธ.ค.!E27</f>
        <v>314640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2417520</v>
      </c>
      <c r="D28" s="132">
        <f>SUM(D23:D27)</f>
        <v>0</v>
      </c>
      <c r="E28" s="268">
        <f>SUM(E23:E27)</f>
        <v>598200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598200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</f>
        <v>7021960</v>
      </c>
      <c r="D30" s="133"/>
      <c r="E30" s="269">
        <f>+'ต.ค. '!E30+พ.ย.!E30+ธ.ค.!E30</f>
        <v>655943</v>
      </c>
      <c r="F30" s="269">
        <f>+'ต.ค. '!F30+พ.ย.!F30+ธ.ค.!F30</f>
        <v>258730</v>
      </c>
      <c r="G30" s="269">
        <f>+'ต.ค. '!G30+พ.ย.!G30+ธ.ค.!G30</f>
        <v>0</v>
      </c>
      <c r="H30" s="269">
        <f>+'ต.ค. '!H30+พ.ย.!H30+ธ.ค.!H30</f>
        <v>217230</v>
      </c>
      <c r="I30" s="269">
        <f>+'ต.ค. '!I30+พ.ย.!I30+ธ.ค.!I30</f>
        <v>0</v>
      </c>
      <c r="J30" s="269">
        <f>+'ต.ค. '!J30+พ.ย.!J30+ธ.ค.!J30</f>
        <v>0</v>
      </c>
      <c r="K30" s="269">
        <f>+'ต.ค. '!K30+พ.ย.!K30+ธ.ค.!K30</f>
        <v>0</v>
      </c>
      <c r="L30" s="269">
        <f>+'ต.ค. '!L30+พ.ย.!L30+ธ.ค.!L30</f>
        <v>0</v>
      </c>
      <c r="M30" s="269">
        <f>+'ต.ค. '!M30+พ.ย.!M30+ธ.ค.!M30</f>
        <v>323970</v>
      </c>
      <c r="N30" s="269">
        <f>+'ต.ค. '!N30+พ.ย.!N30+ธ.ค.!N30</f>
        <v>0</v>
      </c>
      <c r="O30" s="269">
        <f>+'ต.ค. '!O30+พ.ย.!O30+ธ.ค.!O30</f>
        <v>0</v>
      </c>
      <c r="P30" s="269">
        <f>+'ต.ค. '!P30+พ.ย.!P30+ธ.ค.!P30</f>
        <v>0</v>
      </c>
      <c r="Q30" s="269">
        <f>+'ต.ค. '!Q30+พ.ย.!Q30+ธ.ค.!Q30</f>
        <v>0</v>
      </c>
      <c r="R30" s="269">
        <f>+'ต.ค. '!R30+พ.ย.!R30+ธ.ค.!R30</f>
        <v>0</v>
      </c>
      <c r="S30" s="269">
        <f>+'ต.ค. '!S30+พ.ย.!S30+ธ.ค.!S30</f>
        <v>0</v>
      </c>
      <c r="T30" s="269"/>
      <c r="U30" s="269">
        <f>+'ต.ค. '!U30+พ.ย.!U30+ธ.ค.!U30</f>
        <v>0</v>
      </c>
      <c r="V30" s="269">
        <f>+'ต.ค. '!V30+พ.ย.!V30+ธ.ค.!V30</f>
        <v>0</v>
      </c>
    </row>
    <row r="31" spans="1:23" ht="25.5" customHeight="1">
      <c r="A31" s="20"/>
      <c r="B31" s="130" t="s">
        <v>239</v>
      </c>
      <c r="C31" s="32">
        <v>1899600</v>
      </c>
      <c r="D31" s="133"/>
      <c r="E31" s="269">
        <f>+'ต.ค. '!E31+พ.ย.!E31+ธ.ค.!E31</f>
        <v>0</v>
      </c>
      <c r="F31" s="269">
        <f>+'ต.ค. '!F31+พ.ย.!F31+ธ.ค.!F31</f>
        <v>0</v>
      </c>
      <c r="G31" s="269">
        <f>+'ต.ค. '!G31+พ.ย.!G31+ธ.ค.!G31</f>
        <v>0</v>
      </c>
      <c r="H31" s="269">
        <f>+'ต.ค. '!H31+พ.ย.!H31+ธ.ค.!H31</f>
        <v>462780</v>
      </c>
      <c r="I31" s="269">
        <f>+'ต.ค. '!I31+พ.ย.!I31+ธ.ค.!I31</f>
        <v>0</v>
      </c>
      <c r="J31" s="269">
        <f>+'ต.ค. '!J31+พ.ย.!J31+ธ.ค.!J31</f>
        <v>0</v>
      </c>
      <c r="K31" s="269">
        <f>+'ต.ค. '!K31+พ.ย.!K31+ธ.ค.!K31</f>
        <v>0</v>
      </c>
      <c r="L31" s="269">
        <f>+'ต.ค. '!L31+พ.ย.!L31+ธ.ค.!L31</f>
        <v>0</v>
      </c>
      <c r="M31" s="269">
        <f>+'ต.ค. '!M31+พ.ย.!M31+ธ.ค.!M31</f>
        <v>0</v>
      </c>
      <c r="N31" s="269">
        <f>+'ต.ค. '!N31+พ.ย.!N31+ธ.ค.!N31</f>
        <v>0</v>
      </c>
      <c r="O31" s="269">
        <f>+'ต.ค. '!O31+พ.ย.!O31+ธ.ค.!O31</f>
        <v>0</v>
      </c>
      <c r="P31" s="269">
        <f>+'ต.ค. '!P31+พ.ย.!P31+ธ.ค.!P31</f>
        <v>0</v>
      </c>
      <c r="Q31" s="269">
        <f>+'ต.ค. '!Q31+พ.ย.!Q31+ธ.ค.!Q31</f>
        <v>0</v>
      </c>
      <c r="R31" s="269">
        <f>+'ต.ค. '!R31+พ.ย.!R31+ธ.ค.!R31</f>
        <v>0</v>
      </c>
      <c r="S31" s="269">
        <f>+'ต.ค. '!S31+พ.ย.!S31+ธ.ค.!S31</f>
        <v>0</v>
      </c>
      <c r="T31" s="269"/>
      <c r="U31" s="269">
        <f>+'ต.ค. '!U31+พ.ย.!U31+ธ.ค.!U31</f>
        <v>0</v>
      </c>
      <c r="V31" s="269">
        <f>+'ต.ค. '!V31+พ.ย.!V31+ธ.ค.!V31</f>
        <v>0</v>
      </c>
    </row>
    <row r="32" spans="1:23" ht="25.5" customHeight="1">
      <c r="A32" s="20"/>
      <c r="B32" s="130" t="s">
        <v>47</v>
      </c>
      <c r="C32" s="32">
        <v>10580</v>
      </c>
      <c r="D32" s="133"/>
      <c r="E32" s="269">
        <f>+'ต.ค. '!E32+พ.ย.!E32+ธ.ค.!E32</f>
        <v>1320</v>
      </c>
      <c r="F32" s="269">
        <f>+'ต.ค. '!F32+พ.ย.!F32+ธ.ค.!F32</f>
        <v>0</v>
      </c>
      <c r="G32" s="269">
        <f>+'ต.ค. '!G32+พ.ย.!G32+ธ.ค.!G32</f>
        <v>0</v>
      </c>
      <c r="H32" s="269">
        <f>+'ต.ค. '!H32+พ.ย.!H32+ธ.ค.!H32</f>
        <v>0</v>
      </c>
      <c r="I32" s="269">
        <f>+'ต.ค. '!I32+พ.ย.!I32+ธ.ค.!I32</f>
        <v>0</v>
      </c>
      <c r="J32" s="269">
        <f>+'ต.ค. '!J32+พ.ย.!J32+ธ.ค.!J32</f>
        <v>0</v>
      </c>
      <c r="K32" s="269">
        <f>+'ต.ค. '!K32+พ.ย.!K32+ธ.ค.!K32</f>
        <v>0</v>
      </c>
      <c r="L32" s="269">
        <f>+'ต.ค. '!L32+พ.ย.!L32+ธ.ค.!L32</f>
        <v>0</v>
      </c>
      <c r="M32" s="269">
        <f>+'ต.ค. '!M32+พ.ย.!M32+ธ.ค.!M32</f>
        <v>0</v>
      </c>
      <c r="N32" s="269">
        <f>+'ต.ค. '!N32+พ.ย.!N32+ธ.ค.!N32</f>
        <v>0</v>
      </c>
      <c r="O32" s="269">
        <f>+'ต.ค. '!O32+พ.ย.!O32+ธ.ค.!O32</f>
        <v>0</v>
      </c>
      <c r="P32" s="269">
        <f>+'ต.ค. '!P32+พ.ย.!P32+ธ.ค.!P32</f>
        <v>0</v>
      </c>
      <c r="Q32" s="269">
        <f>+'ต.ค. '!Q32+พ.ย.!Q32+ธ.ค.!Q32</f>
        <v>0</v>
      </c>
      <c r="R32" s="269">
        <f>+'ต.ค. '!R32+พ.ย.!R32+ธ.ค.!R32</f>
        <v>0</v>
      </c>
      <c r="S32" s="269">
        <f>+'ต.ค. '!S32+พ.ย.!S32+ธ.ค.!S32</f>
        <v>0</v>
      </c>
      <c r="T32" s="269"/>
      <c r="U32" s="269">
        <f>+'ต.ค. '!U32+พ.ย.!U32+ธ.ค.!U32</f>
        <v>0</v>
      </c>
      <c r="V32" s="269">
        <f>+'ต.ค. '!V32+พ.ย.!V32+ธ.ค.!V32</f>
        <v>0</v>
      </c>
    </row>
    <row r="33" spans="1:23" ht="25.5" customHeight="1">
      <c r="A33" s="20"/>
      <c r="B33" s="130" t="s">
        <v>8</v>
      </c>
      <c r="C33" s="32">
        <f>132000+42000+42000+42000</f>
        <v>258000</v>
      </c>
      <c r="D33" s="133"/>
      <c r="E33" s="269">
        <f>+'ต.ค. '!E33+พ.ย.!E33+ธ.ค.!E33</f>
        <v>33000</v>
      </c>
      <c r="F33" s="269">
        <f>+'ต.ค. '!F33+พ.ย.!F33+ธ.ค.!F33</f>
        <v>3500</v>
      </c>
      <c r="G33" s="269">
        <f>+'ต.ค. '!G33+พ.ย.!G33+ธ.ค.!G33</f>
        <v>0</v>
      </c>
      <c r="H33" s="269">
        <f>+'ต.ค. '!H33+พ.ย.!H33+ธ.ค.!H33</f>
        <v>10500</v>
      </c>
      <c r="I33" s="269">
        <f>+'ต.ค. '!I33+พ.ย.!I33+ธ.ค.!I33</f>
        <v>0</v>
      </c>
      <c r="J33" s="269">
        <f>+'ต.ค. '!J33+พ.ย.!J33+ธ.ค.!J33</f>
        <v>0</v>
      </c>
      <c r="K33" s="269">
        <f>+'ต.ค. '!K33+พ.ย.!K33+ธ.ค.!K33</f>
        <v>0</v>
      </c>
      <c r="L33" s="269">
        <f>+'ต.ค. '!L33+พ.ย.!L33+ธ.ค.!L33</f>
        <v>0</v>
      </c>
      <c r="M33" s="269">
        <f>+'ต.ค. '!M33+พ.ย.!M33+ธ.ค.!M33</f>
        <v>10500</v>
      </c>
      <c r="N33" s="269">
        <f>+'ต.ค. '!N33+พ.ย.!N33+ธ.ค.!N33</f>
        <v>0</v>
      </c>
      <c r="O33" s="269">
        <f>+'ต.ค. '!O33+พ.ย.!O33+ธ.ค.!O33</f>
        <v>0</v>
      </c>
      <c r="P33" s="269">
        <f>+'ต.ค. '!P33+พ.ย.!P33+ธ.ค.!P33</f>
        <v>0</v>
      </c>
      <c r="Q33" s="269">
        <f>+'ต.ค. '!Q33+พ.ย.!Q33+ธ.ค.!Q33</f>
        <v>0</v>
      </c>
      <c r="R33" s="269">
        <f>+'ต.ค. '!R33+พ.ย.!R33+ธ.ค.!R33</f>
        <v>0</v>
      </c>
      <c r="S33" s="269">
        <f>+'ต.ค. '!S33+พ.ย.!S33+ธ.ค.!S33</f>
        <v>0</v>
      </c>
      <c r="T33" s="269"/>
      <c r="U33" s="269">
        <f>+'ต.ค. '!U33+พ.ย.!U33+ธ.ค.!U33</f>
        <v>0</v>
      </c>
      <c r="V33" s="269">
        <f>+'ต.ค. '!V33+พ.ย.!V33+ธ.ค.!V33</f>
        <v>0</v>
      </c>
    </row>
    <row r="34" spans="1:23" ht="25.5" customHeight="1">
      <c r="A34" s="9"/>
      <c r="B34" s="130" t="s">
        <v>186</v>
      </c>
      <c r="C34" s="31">
        <f>787000+589000+559480+350880</f>
        <v>2286360</v>
      </c>
      <c r="D34" s="131"/>
      <c r="E34" s="269">
        <f>+'ต.ค. '!E34+พ.ย.!E34+ธ.ค.!E34</f>
        <v>194490</v>
      </c>
      <c r="F34" s="269">
        <f>+'ต.ค. '!F34+พ.ย.!F34+ธ.ค.!F34</f>
        <v>112890</v>
      </c>
      <c r="G34" s="269">
        <f>+'ต.ค. '!G34+พ.ย.!G34+ธ.ค.!G34</f>
        <v>0</v>
      </c>
      <c r="H34" s="269">
        <f>+'ต.ค. '!H34+พ.ย.!H34+ธ.ค.!H34</f>
        <v>129230</v>
      </c>
      <c r="I34" s="269">
        <f>+'ต.ค. '!I34+พ.ย.!I34+ธ.ค.!I34</f>
        <v>0</v>
      </c>
      <c r="J34" s="269">
        <f>+'ต.ค. '!J34+พ.ย.!J34+ธ.ค.!J34</f>
        <v>0</v>
      </c>
      <c r="K34" s="269">
        <f>+'ต.ค. '!K34+พ.ย.!K34+ธ.ค.!K34</f>
        <v>0</v>
      </c>
      <c r="L34" s="269">
        <f>+'ต.ค. '!L34+พ.ย.!L34+ธ.ค.!L34</f>
        <v>0</v>
      </c>
      <c r="M34" s="269">
        <f>+'ต.ค. '!M34+พ.ย.!M34+ธ.ค.!M34</f>
        <v>87720</v>
      </c>
      <c r="N34" s="269">
        <f>+'ต.ค. '!N34+พ.ย.!N34+ธ.ค.!N34</f>
        <v>0</v>
      </c>
      <c r="O34" s="269">
        <f>+'ต.ค. '!O34+พ.ย.!O34+ธ.ค.!O34</f>
        <v>0</v>
      </c>
      <c r="P34" s="269">
        <f>+'ต.ค. '!P34+พ.ย.!P34+ธ.ค.!P34</f>
        <v>0</v>
      </c>
      <c r="Q34" s="269">
        <f>+'ต.ค. '!Q34+พ.ย.!Q34+ธ.ค.!Q34</f>
        <v>0</v>
      </c>
      <c r="R34" s="269">
        <f>+'ต.ค. '!R34+พ.ย.!R34+ธ.ค.!R34</f>
        <v>0</v>
      </c>
      <c r="S34" s="269">
        <f>+'ต.ค. '!S34+พ.ย.!S34+ธ.ค.!S34</f>
        <v>0</v>
      </c>
      <c r="T34" s="269"/>
      <c r="U34" s="269">
        <f>+'ต.ค. '!U34+พ.ย.!U34+ธ.ค.!U34</f>
        <v>0</v>
      </c>
      <c r="V34" s="269">
        <f>+'ต.ค. '!V34+พ.ย.!V34+ธ.ค.!V34</f>
        <v>0</v>
      </c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f>+'ต.ค. '!E35+พ.ย.!E35+ธ.ค.!E35</f>
        <v>0</v>
      </c>
      <c r="F35" s="269">
        <f>+'ต.ค. '!F35+พ.ย.!F35+ธ.ค.!F35</f>
        <v>0</v>
      </c>
      <c r="G35" s="269">
        <f>+'ต.ค. '!G35+พ.ย.!G35+ธ.ค.!G35</f>
        <v>0</v>
      </c>
      <c r="H35" s="269">
        <f>+'ต.ค. '!H35+พ.ย.!H35+ธ.ค.!H35</f>
        <v>62910</v>
      </c>
      <c r="I35" s="269">
        <f>+'ต.ค. '!I35+พ.ย.!I35+ธ.ค.!I35</f>
        <v>0</v>
      </c>
      <c r="J35" s="269">
        <f>+'ต.ค. '!J35+พ.ย.!J35+ธ.ค.!J35</f>
        <v>0</v>
      </c>
      <c r="K35" s="269">
        <f>+'ต.ค. '!K35+พ.ย.!K35+ธ.ค.!K35</f>
        <v>0</v>
      </c>
      <c r="L35" s="269">
        <f>+'ต.ค. '!L35+พ.ย.!L35+ธ.ค.!L35</f>
        <v>0</v>
      </c>
      <c r="M35" s="269">
        <f>+'ต.ค. '!M35+พ.ย.!M35+ธ.ค.!M35</f>
        <v>0</v>
      </c>
      <c r="N35" s="269">
        <f>+'ต.ค. '!N35+พ.ย.!N35+ธ.ค.!N35</f>
        <v>0</v>
      </c>
      <c r="O35" s="269">
        <f>+'ต.ค. '!O35+พ.ย.!O35+ธ.ค.!O35</f>
        <v>0</v>
      </c>
      <c r="P35" s="269">
        <f>+'ต.ค. '!P35+พ.ย.!P35+ธ.ค.!P35</f>
        <v>0</v>
      </c>
      <c r="Q35" s="269">
        <f>+'ต.ค. '!Q35+พ.ย.!Q35+ธ.ค.!Q35</f>
        <v>0</v>
      </c>
      <c r="R35" s="269">
        <f>+'ต.ค. '!R35+พ.ย.!R35+ธ.ค.!R35</f>
        <v>0</v>
      </c>
      <c r="S35" s="269">
        <f>+'ต.ค. '!S35+พ.ย.!S35+ธ.ค.!S35</f>
        <v>0</v>
      </c>
      <c r="T35" s="269"/>
      <c r="U35" s="269">
        <f>+'ต.ค. '!U35+พ.ย.!U35+ธ.ค.!U35</f>
        <v>0</v>
      </c>
      <c r="V35" s="269">
        <f>+'ต.ค. '!V35+พ.ย.!V35+ธ.ค.!V35</f>
        <v>0</v>
      </c>
      <c r="W35" s="315"/>
    </row>
    <row r="36" spans="1:23" ht="25.5" customHeight="1">
      <c r="A36" s="9"/>
      <c r="B36" s="130" t="s">
        <v>91</v>
      </c>
      <c r="C36" s="288">
        <f>76000+72000+84000</f>
        <v>232000</v>
      </c>
      <c r="D36" s="131"/>
      <c r="E36" s="269">
        <f>+'ต.ค. '!E36+พ.ย.!E36+ธ.ค.!E36</f>
        <v>19125</v>
      </c>
      <c r="F36" s="269">
        <f>+'ต.ค. '!F36+พ.ย.!F36+ธ.ค.!F36</f>
        <v>10710</v>
      </c>
      <c r="G36" s="269">
        <f>+'ต.ค. '!G36+พ.ย.!G36+ธ.ค.!G36</f>
        <v>0</v>
      </c>
      <c r="H36" s="269">
        <f>+'ต.ค. '!H36+พ.ย.!H36+ธ.ค.!H36</f>
        <v>17715</v>
      </c>
      <c r="I36" s="269">
        <f>+'ต.ค. '!I36+พ.ย.!I36+ธ.ค.!I36</f>
        <v>0</v>
      </c>
      <c r="J36" s="269">
        <f>+'ต.ค. '!J36+พ.ย.!J36+ธ.ค.!J36</f>
        <v>0</v>
      </c>
      <c r="K36" s="269">
        <f>+'ต.ค. '!K36+พ.ย.!K36+ธ.ค.!K36</f>
        <v>0</v>
      </c>
      <c r="L36" s="269">
        <f>+'ต.ค. '!L36+พ.ย.!L36+ธ.ค.!L36</f>
        <v>0</v>
      </c>
      <c r="M36" s="269">
        <f>+'ต.ค. '!M36+พ.ย.!M36+ธ.ค.!M36</f>
        <v>0</v>
      </c>
      <c r="N36" s="269">
        <f>+'ต.ค. '!N36+พ.ย.!N36+ธ.ค.!N36</f>
        <v>0</v>
      </c>
      <c r="O36" s="269">
        <f>+'ต.ค. '!O36+พ.ย.!O36+ธ.ค.!O36</f>
        <v>0</v>
      </c>
      <c r="P36" s="269">
        <f>+'ต.ค. '!P36+พ.ย.!P36+ธ.ค.!P36</f>
        <v>0</v>
      </c>
      <c r="Q36" s="269">
        <f>+'ต.ค. '!Q36+พ.ย.!Q36+ธ.ค.!Q36</f>
        <v>0</v>
      </c>
      <c r="R36" s="269">
        <f>+'ต.ค. '!R36+พ.ย.!R36+ธ.ค.!R36</f>
        <v>0</v>
      </c>
      <c r="S36" s="269">
        <f>+'ต.ค. '!S36+พ.ย.!S36+ธ.ค.!S36</f>
        <v>0</v>
      </c>
      <c r="T36" s="269"/>
      <c r="U36" s="269">
        <f>+'ต.ค. '!U36+พ.ย.!U36+ธ.ค.!U36</f>
        <v>0</v>
      </c>
      <c r="V36" s="269">
        <f>+'ต.ค. '!V36+พ.ย.!V36+ธ.ค.!V36</f>
        <v>0</v>
      </c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f>+'ต.ค. '!E37+พ.ย.!E37+ธ.ค.!E37</f>
        <v>0</v>
      </c>
      <c r="F37" s="269">
        <f>+'ต.ค. '!F37+พ.ย.!F37+ธ.ค.!F37</f>
        <v>0</v>
      </c>
      <c r="G37" s="269">
        <f>+'ต.ค. '!G37+พ.ย.!G37+ธ.ค.!G37</f>
        <v>0</v>
      </c>
      <c r="H37" s="269">
        <f>+'ต.ค. '!H37+พ.ย.!H37+ธ.ค.!H37</f>
        <v>5490</v>
      </c>
      <c r="I37" s="269">
        <f>+'ต.ค. '!I37+พ.ย.!I37+ธ.ค.!I37</f>
        <v>0</v>
      </c>
      <c r="J37" s="269">
        <f>+'ต.ค. '!J37+พ.ย.!J37+ธ.ค.!J37</f>
        <v>0</v>
      </c>
      <c r="K37" s="269">
        <f>+'ต.ค. '!K37+พ.ย.!K37+ธ.ค.!K37</f>
        <v>0</v>
      </c>
      <c r="L37" s="269">
        <f>+'ต.ค. '!L37+พ.ย.!L37+ธ.ค.!L37</f>
        <v>0</v>
      </c>
      <c r="M37" s="269">
        <f>+'ต.ค. '!M37+พ.ย.!M37+ธ.ค.!M37</f>
        <v>0</v>
      </c>
      <c r="N37" s="269">
        <f>+'ต.ค. '!N37+พ.ย.!N37+ธ.ค.!N37</f>
        <v>0</v>
      </c>
      <c r="O37" s="269">
        <f>+'ต.ค. '!O37+พ.ย.!O37+ธ.ค.!O37</f>
        <v>0</v>
      </c>
      <c r="P37" s="269">
        <f>+'ต.ค. '!P37+พ.ย.!P37+ธ.ค.!P37</f>
        <v>0</v>
      </c>
      <c r="Q37" s="269">
        <f>+'ต.ค. '!Q37+พ.ย.!Q37+ธ.ค.!Q37</f>
        <v>0</v>
      </c>
      <c r="R37" s="269">
        <f>+'ต.ค. '!R37+พ.ย.!R37+ธ.ค.!R37</f>
        <v>0</v>
      </c>
      <c r="S37" s="269">
        <f>+'ต.ค. '!S37+พ.ย.!S37+ธ.ค.!S37</f>
        <v>0</v>
      </c>
      <c r="T37" s="269"/>
      <c r="U37" s="269">
        <f>+'ต.ค. '!U37+พ.ย.!U37+ธ.ค.!U37</f>
        <v>0</v>
      </c>
      <c r="V37" s="269">
        <f>+'ต.ค. '!V37+พ.ย.!V37+ธ.ค.!V37</f>
        <v>0</v>
      </c>
      <c r="W37" s="315"/>
    </row>
    <row r="38" spans="1:23" ht="25.5" customHeight="1">
      <c r="A38" s="9"/>
      <c r="B38" s="6"/>
      <c r="C38" s="499"/>
      <c r="D38" s="195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315"/>
    </row>
    <row r="39" spans="1:23" ht="25.5" customHeight="1" thickBot="1">
      <c r="A39" s="46"/>
      <c r="B39" s="47" t="s">
        <v>5</v>
      </c>
      <c r="C39" s="289">
        <f>SUM(C30:C37)</f>
        <v>11982100</v>
      </c>
      <c r="D39" s="255">
        <f>SUM(D30:D37)</f>
        <v>0</v>
      </c>
      <c r="E39" s="254">
        <f>SUM(E30:E37)</f>
        <v>903878</v>
      </c>
      <c r="F39" s="254">
        <f>SUM(F30:F37)</f>
        <v>385830</v>
      </c>
      <c r="G39" s="255">
        <f t="shared" ref="G39:V39" si="2">SUM(G30:G37)</f>
        <v>0</v>
      </c>
      <c r="H39" s="254">
        <f>SUM(H30:H37)</f>
        <v>905855</v>
      </c>
      <c r="I39" s="255">
        <f t="shared" si="2"/>
        <v>0</v>
      </c>
      <c r="J39" s="255">
        <f t="shared" si="2"/>
        <v>0</v>
      </c>
      <c r="K39" s="255">
        <f t="shared" si="2"/>
        <v>0</v>
      </c>
      <c r="L39" s="255">
        <f t="shared" si="2"/>
        <v>0</v>
      </c>
      <c r="M39" s="254">
        <f>SUM(M30:M37)</f>
        <v>422190</v>
      </c>
      <c r="N39" s="255">
        <f t="shared" si="2"/>
        <v>0</v>
      </c>
      <c r="O39" s="255">
        <f t="shared" si="2"/>
        <v>0</v>
      </c>
      <c r="P39" s="255">
        <f t="shared" si="2"/>
        <v>0</v>
      </c>
      <c r="Q39" s="255">
        <f t="shared" si="2"/>
        <v>0</v>
      </c>
      <c r="R39" s="255">
        <f t="shared" si="2"/>
        <v>0</v>
      </c>
      <c r="S39" s="255">
        <f t="shared" si="2"/>
        <v>0</v>
      </c>
      <c r="T39" s="255"/>
      <c r="U39" s="255">
        <f t="shared" si="2"/>
        <v>0</v>
      </c>
      <c r="V39" s="255">
        <f t="shared" si="2"/>
        <v>0</v>
      </c>
      <c r="W39" s="316">
        <f>SUM(D39:V39)</f>
        <v>2617753</v>
      </c>
    </row>
    <row r="40" spans="1:23" ht="25.5" customHeight="1" thickTop="1">
      <c r="A40" s="5" t="s">
        <v>98</v>
      </c>
      <c r="B40" s="6"/>
      <c r="C40" s="190"/>
      <c r="D40" s="133"/>
      <c r="E40" s="269"/>
      <c r="F40" s="136"/>
      <c r="G40" s="136"/>
      <c r="H40" s="136"/>
      <c r="I40" s="133"/>
      <c r="J40" s="133"/>
      <c r="K40" s="133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7"/>
    </row>
    <row r="41" spans="1:23" ht="25.5" customHeight="1">
      <c r="A41" s="9"/>
      <c r="B41" s="130" t="s">
        <v>93</v>
      </c>
      <c r="C41" s="216">
        <v>5000</v>
      </c>
      <c r="D41" s="133"/>
      <c r="E41" s="269">
        <f>+'ต.ค. '!E40+พ.ย.!E40+ธ.ค.!E40</f>
        <v>0</v>
      </c>
      <c r="F41" s="269">
        <f>+'ต.ค. '!F40+พ.ย.!F40+ธ.ค.!F40</f>
        <v>0</v>
      </c>
      <c r="G41" s="269">
        <f>+'ต.ค. '!G40+พ.ย.!G40+ธ.ค.!G40</f>
        <v>0</v>
      </c>
      <c r="H41" s="269">
        <f>+'ต.ค. '!H40+พ.ย.!H40+ธ.ค.!H40</f>
        <v>0</v>
      </c>
      <c r="I41" s="269">
        <f>+'ต.ค. '!I40+พ.ย.!I40+ธ.ค.!I40</f>
        <v>0</v>
      </c>
      <c r="J41" s="269">
        <f>+'ต.ค. '!J40+พ.ย.!J40+ธ.ค.!J40</f>
        <v>0</v>
      </c>
      <c r="K41" s="269">
        <f>+'ต.ค. '!K40+พ.ย.!K40+ธ.ค.!K40</f>
        <v>0</v>
      </c>
      <c r="L41" s="269">
        <f>+'ต.ค. '!L40+พ.ย.!L40+ธ.ค.!L40</f>
        <v>0</v>
      </c>
      <c r="M41" s="269">
        <f>+'ต.ค. '!M40+พ.ย.!M40+ธ.ค.!M40</f>
        <v>0</v>
      </c>
      <c r="N41" s="269">
        <f>+'ต.ค. '!N40+พ.ย.!N40+ธ.ค.!N40</f>
        <v>0</v>
      </c>
      <c r="O41" s="269">
        <f>+'ต.ค. '!O40+พ.ย.!O40+ธ.ค.!O40</f>
        <v>0</v>
      </c>
      <c r="P41" s="269">
        <f>+'ต.ค. '!P40+พ.ย.!P40+ธ.ค.!P40</f>
        <v>0</v>
      </c>
      <c r="Q41" s="269">
        <f>+'ต.ค. '!Q40+พ.ย.!Q40+ธ.ค.!Q40</f>
        <v>0</v>
      </c>
      <c r="R41" s="269">
        <f>+'ต.ค. '!R40+พ.ย.!R40+ธ.ค.!R40</f>
        <v>0</v>
      </c>
      <c r="S41" s="269">
        <f>+'ต.ค. '!S40+พ.ย.!S40+ธ.ค.!S40</f>
        <v>0</v>
      </c>
      <c r="T41" s="269"/>
      <c r="U41" s="269">
        <f>+'ต.ค. '!U40+พ.ย.!U40+ธ.ค.!U40</f>
        <v>0</v>
      </c>
      <c r="V41" s="269">
        <f>+'ต.ค. '!V40+พ.ย.!V40+ธ.ค.!V40</f>
        <v>0</v>
      </c>
      <c r="W41" s="315"/>
    </row>
    <row r="42" spans="1:23" ht="25.5" customHeight="1">
      <c r="A42" s="9"/>
      <c r="B42" s="130" t="s">
        <v>205</v>
      </c>
      <c r="C42" s="285">
        <v>10000</v>
      </c>
      <c r="D42" s="131"/>
      <c r="E42" s="269">
        <f>+'ต.ค. '!E41+พ.ย.!E41+ธ.ค.!E41</f>
        <v>0</v>
      </c>
      <c r="F42" s="269">
        <f>+'ต.ค. '!F41+พ.ย.!F41+ธ.ค.!F41</f>
        <v>0</v>
      </c>
      <c r="G42" s="269">
        <f>+'ต.ค. '!G41+พ.ย.!G41+ธ.ค.!G41</f>
        <v>0</v>
      </c>
      <c r="H42" s="269">
        <f>+'ต.ค. '!H41+พ.ย.!H41+ธ.ค.!H41</f>
        <v>0</v>
      </c>
      <c r="I42" s="269">
        <f>+'ต.ค. '!I41+พ.ย.!I41+ธ.ค.!I41</f>
        <v>0</v>
      </c>
      <c r="J42" s="269">
        <f>+'ต.ค. '!J41+พ.ย.!J41+ธ.ค.!J41</f>
        <v>0</v>
      </c>
      <c r="K42" s="269">
        <f>+'ต.ค. '!K41+พ.ย.!K41+ธ.ค.!K41</f>
        <v>0</v>
      </c>
      <c r="L42" s="269">
        <f>+'ต.ค. '!L41+พ.ย.!L41+ธ.ค.!L41</f>
        <v>0</v>
      </c>
      <c r="M42" s="269">
        <f>+'ต.ค. '!M41+พ.ย.!M41+ธ.ค.!M41</f>
        <v>0</v>
      </c>
      <c r="N42" s="269">
        <f>+'ต.ค. '!N41+พ.ย.!N41+ธ.ค.!N41</f>
        <v>0</v>
      </c>
      <c r="O42" s="269">
        <f>+'ต.ค. '!O41+พ.ย.!O41+ธ.ค.!O41</f>
        <v>0</v>
      </c>
      <c r="P42" s="269">
        <f>+'ต.ค. '!P41+พ.ย.!P41+ธ.ค.!P41</f>
        <v>0</v>
      </c>
      <c r="Q42" s="269">
        <f>+'ต.ค. '!Q41+พ.ย.!Q41+ธ.ค.!Q41</f>
        <v>0</v>
      </c>
      <c r="R42" s="269">
        <f>+'ต.ค. '!R41+พ.ย.!R41+ธ.ค.!R41</f>
        <v>0</v>
      </c>
      <c r="S42" s="269">
        <f>+'ต.ค. '!S41+พ.ย.!S41+ธ.ค.!S41</f>
        <v>0</v>
      </c>
      <c r="T42" s="269"/>
      <c r="U42" s="269">
        <f>+'ต.ค. '!U41+พ.ย.!U41+ธ.ค.!U41</f>
        <v>0</v>
      </c>
      <c r="V42" s="269">
        <f>+'ต.ค. '!V41+พ.ย.!V41+ธ.ค.!V41</f>
        <v>0</v>
      </c>
      <c r="W42" s="315"/>
    </row>
    <row r="43" spans="1:23" ht="25.5" customHeight="1">
      <c r="A43" s="9"/>
      <c r="B43" s="130" t="s">
        <v>94</v>
      </c>
      <c r="C43" s="285">
        <v>10000</v>
      </c>
      <c r="D43" s="131"/>
      <c r="E43" s="269">
        <f>+'ต.ค. '!E42+พ.ย.!E42+ธ.ค.!E42</f>
        <v>0</v>
      </c>
      <c r="F43" s="269">
        <f>+'ต.ค. '!F42+พ.ย.!F42+ธ.ค.!F42</f>
        <v>0</v>
      </c>
      <c r="G43" s="269">
        <f>+'ต.ค. '!G42+พ.ย.!G42+ธ.ค.!G42</f>
        <v>0</v>
      </c>
      <c r="H43" s="269">
        <f>+'ต.ค. '!H42+พ.ย.!H42+ธ.ค.!H42</f>
        <v>0</v>
      </c>
      <c r="I43" s="269">
        <f>+'ต.ค. '!I42+พ.ย.!I42+ธ.ค.!I42</f>
        <v>0</v>
      </c>
      <c r="J43" s="269">
        <f>+'ต.ค. '!J42+พ.ย.!J42+ธ.ค.!J42</f>
        <v>0</v>
      </c>
      <c r="K43" s="269">
        <f>+'ต.ค. '!K42+พ.ย.!K42+ธ.ค.!K42</f>
        <v>0</v>
      </c>
      <c r="L43" s="269">
        <f>+'ต.ค. '!L42+พ.ย.!L42+ธ.ค.!L42</f>
        <v>0</v>
      </c>
      <c r="M43" s="269">
        <f>+'ต.ค. '!M42+พ.ย.!M42+ธ.ค.!M42</f>
        <v>0</v>
      </c>
      <c r="N43" s="269">
        <f>+'ต.ค. '!N42+พ.ย.!N42+ธ.ค.!N42</f>
        <v>0</v>
      </c>
      <c r="O43" s="269">
        <f>+'ต.ค. '!O42+พ.ย.!O42+ธ.ค.!O42</f>
        <v>0</v>
      </c>
      <c r="P43" s="269">
        <f>+'ต.ค. '!P42+พ.ย.!P42+ธ.ค.!P42</f>
        <v>0</v>
      </c>
      <c r="Q43" s="269">
        <f>+'ต.ค. '!Q42+พ.ย.!Q42+ธ.ค.!Q42</f>
        <v>0</v>
      </c>
      <c r="R43" s="269">
        <f>+'ต.ค. '!R42+พ.ย.!R42+ธ.ค.!R42</f>
        <v>0</v>
      </c>
      <c r="S43" s="269">
        <f>+'ต.ค. '!S42+พ.ย.!S42+ธ.ค.!S42</f>
        <v>0</v>
      </c>
      <c r="T43" s="269"/>
      <c r="U43" s="269">
        <f>+'ต.ค. '!U42+พ.ย.!U42+ธ.ค.!U42</f>
        <v>0</v>
      </c>
      <c r="V43" s="269">
        <f>+'ต.ค. '!V42+พ.ย.!V42+ธ.ค.!V42</f>
        <v>0</v>
      </c>
      <c r="W43" s="311"/>
    </row>
    <row r="44" spans="1:23" ht="25.5" customHeight="1">
      <c r="A44" s="9"/>
      <c r="B44" s="130" t="s">
        <v>95</v>
      </c>
      <c r="C44" s="192">
        <v>5000</v>
      </c>
      <c r="D44" s="131"/>
      <c r="E44" s="269">
        <f>+'ต.ค. '!E43+พ.ย.!E43+ธ.ค.!E43</f>
        <v>0</v>
      </c>
      <c r="F44" s="269">
        <f>+'ต.ค. '!F43+พ.ย.!F43+ธ.ค.!F43</f>
        <v>0</v>
      </c>
      <c r="G44" s="269">
        <f>+'ต.ค. '!G43+พ.ย.!G43+ธ.ค.!G43</f>
        <v>0</v>
      </c>
      <c r="H44" s="269">
        <f>+'ต.ค. '!H43+พ.ย.!H43+ธ.ค.!H43</f>
        <v>0</v>
      </c>
      <c r="I44" s="269">
        <f>+'ต.ค. '!I43+พ.ย.!I43+ธ.ค.!I43</f>
        <v>0</v>
      </c>
      <c r="J44" s="269">
        <f>+'ต.ค. '!J43+พ.ย.!J43+ธ.ค.!J43</f>
        <v>0</v>
      </c>
      <c r="K44" s="269">
        <f>+'ต.ค. '!K43+พ.ย.!K43+ธ.ค.!K43</f>
        <v>0</v>
      </c>
      <c r="L44" s="269">
        <f>+'ต.ค. '!L43+พ.ย.!L43+ธ.ค.!L43</f>
        <v>0</v>
      </c>
      <c r="M44" s="269">
        <f>+'ต.ค. '!M43+พ.ย.!M43+ธ.ค.!M43</f>
        <v>0</v>
      </c>
      <c r="N44" s="269">
        <f>+'ต.ค. '!N43+พ.ย.!N43+ธ.ค.!N43</f>
        <v>0</v>
      </c>
      <c r="O44" s="269">
        <f>+'ต.ค. '!O43+พ.ย.!O43+ธ.ค.!O43</f>
        <v>0</v>
      </c>
      <c r="P44" s="269">
        <f>+'ต.ค. '!P43+พ.ย.!P43+ธ.ค.!P43</f>
        <v>0</v>
      </c>
      <c r="Q44" s="269">
        <f>+'ต.ค. '!Q43+พ.ย.!Q43+ธ.ค.!Q43</f>
        <v>0</v>
      </c>
      <c r="R44" s="269">
        <f>+'ต.ค. '!R43+พ.ย.!R43+ธ.ค.!R43</f>
        <v>0</v>
      </c>
      <c r="S44" s="269">
        <f>+'ต.ค. '!S43+พ.ย.!S43+ธ.ค.!S43</f>
        <v>0</v>
      </c>
      <c r="T44" s="269"/>
      <c r="U44" s="269">
        <f>+'ต.ค. '!U43+พ.ย.!U43+ธ.ค.!U43</f>
        <v>0</v>
      </c>
      <c r="V44" s="269">
        <f>+'ต.ค. '!V43+พ.ย.!V43+ธ.ค.!V43</f>
        <v>0</v>
      </c>
    </row>
    <row r="45" spans="1:23" ht="25.5" customHeight="1">
      <c r="A45" s="9"/>
      <c r="B45" s="130" t="s">
        <v>96</v>
      </c>
      <c r="C45" s="192">
        <v>5000</v>
      </c>
      <c r="D45" s="131"/>
      <c r="E45" s="269">
        <f>+'ต.ค. '!E44+พ.ย.!E44+ธ.ค.!E44</f>
        <v>0</v>
      </c>
      <c r="F45" s="269">
        <f>+'ต.ค. '!F44+พ.ย.!F44+ธ.ค.!F44</f>
        <v>0</v>
      </c>
      <c r="G45" s="269">
        <f>+'ต.ค. '!G44+พ.ย.!G44+ธ.ค.!G44</f>
        <v>0</v>
      </c>
      <c r="H45" s="269">
        <f>+'ต.ค. '!H44+พ.ย.!H44+ธ.ค.!H44</f>
        <v>0</v>
      </c>
      <c r="I45" s="269">
        <f>+'ต.ค. '!I44+พ.ย.!I44+ธ.ค.!I44</f>
        <v>0</v>
      </c>
      <c r="J45" s="269">
        <f>+'ต.ค. '!J44+พ.ย.!J44+ธ.ค.!J44</f>
        <v>0</v>
      </c>
      <c r="K45" s="269">
        <f>+'ต.ค. '!K44+พ.ย.!K44+ธ.ค.!K44</f>
        <v>0</v>
      </c>
      <c r="L45" s="269">
        <f>+'ต.ค. '!L44+พ.ย.!L44+ธ.ค.!L44</f>
        <v>0</v>
      </c>
      <c r="M45" s="269">
        <f>+'ต.ค. '!M44+พ.ย.!M44+ธ.ค.!M44</f>
        <v>0</v>
      </c>
      <c r="N45" s="269">
        <f>+'ต.ค. '!N44+พ.ย.!N44+ธ.ค.!N44</f>
        <v>0</v>
      </c>
      <c r="O45" s="269">
        <f>+'ต.ค. '!O44+พ.ย.!O44+ธ.ค.!O44</f>
        <v>0</v>
      </c>
      <c r="P45" s="269">
        <f>+'ต.ค. '!P44+พ.ย.!P44+ธ.ค.!P44</f>
        <v>0</v>
      </c>
      <c r="Q45" s="269">
        <f>+'ต.ค. '!Q44+พ.ย.!Q44+ธ.ค.!Q44</f>
        <v>0</v>
      </c>
      <c r="R45" s="269">
        <f>+'ต.ค. '!R44+พ.ย.!R44+ธ.ค.!R44</f>
        <v>0</v>
      </c>
      <c r="S45" s="269">
        <f>+'ต.ค. '!S44+พ.ย.!S44+ธ.ค.!S44</f>
        <v>0</v>
      </c>
      <c r="T45" s="269"/>
      <c r="U45" s="269">
        <f>+'ต.ค. '!U44+พ.ย.!U44+ธ.ค.!U44</f>
        <v>0</v>
      </c>
      <c r="V45" s="269">
        <f>+'ต.ค. '!V44+พ.ย.!V44+ธ.ค.!V44</f>
        <v>0</v>
      </c>
    </row>
    <row r="46" spans="1:23" ht="25.5" customHeight="1">
      <c r="A46" s="9"/>
      <c r="B46" s="130" t="s">
        <v>10</v>
      </c>
      <c r="C46" s="216">
        <f>144000+36000+78000+78000</f>
        <v>336000</v>
      </c>
      <c r="D46" s="133"/>
      <c r="E46" s="269">
        <f>+'ต.ค. '!E45+พ.ย.!E45+ธ.ค.!E45</f>
        <v>29500</v>
      </c>
      <c r="F46" s="269">
        <f>+'ต.ค. '!F45+พ.ย.!F45+ธ.ค.!F45</f>
        <v>9000</v>
      </c>
      <c r="G46" s="269">
        <f>+'ต.ค. '!G45+พ.ย.!G45+ธ.ค.!G45</f>
        <v>0</v>
      </c>
      <c r="H46" s="269">
        <f>+'ต.ค. '!H45+พ.ย.!H45+ธ.ค.!H45</f>
        <v>19500</v>
      </c>
      <c r="I46" s="269">
        <f>+'ต.ค. '!I45+พ.ย.!I45+ธ.ค.!I45</f>
        <v>0</v>
      </c>
      <c r="J46" s="269">
        <f>+'ต.ค. '!J45+พ.ย.!J45+ธ.ค.!J45</f>
        <v>0</v>
      </c>
      <c r="K46" s="269">
        <f>+'ต.ค. '!K45+พ.ย.!K45+ธ.ค.!K45</f>
        <v>0</v>
      </c>
      <c r="L46" s="269">
        <f>+'ต.ค. '!L45+พ.ย.!L45+ธ.ค.!L45</f>
        <v>0</v>
      </c>
      <c r="M46" s="269">
        <f>+'ต.ค. '!M45+พ.ย.!M45+ธ.ค.!M45</f>
        <v>19500</v>
      </c>
      <c r="N46" s="269">
        <f>+'ต.ค. '!N45+พ.ย.!N45+ธ.ค.!N45</f>
        <v>0</v>
      </c>
      <c r="O46" s="269">
        <f>+'ต.ค. '!O45+พ.ย.!O45+ธ.ค.!O45</f>
        <v>0</v>
      </c>
      <c r="P46" s="269">
        <f>+'ต.ค. '!P45+พ.ย.!P45+ธ.ค.!P45</f>
        <v>0</v>
      </c>
      <c r="Q46" s="269">
        <f>+'ต.ค. '!Q45+พ.ย.!Q45+ธ.ค.!Q45</f>
        <v>0</v>
      </c>
      <c r="R46" s="269">
        <f>+'ต.ค. '!R45+พ.ย.!R45+ธ.ค.!R45</f>
        <v>0</v>
      </c>
      <c r="S46" s="269">
        <f>+'ต.ค. '!S45+พ.ย.!S45+ธ.ค.!S45</f>
        <v>0</v>
      </c>
      <c r="T46" s="269"/>
      <c r="U46" s="269">
        <f>+'ต.ค. '!U45+พ.ย.!U45+ธ.ค.!U45</f>
        <v>0</v>
      </c>
      <c r="V46" s="269">
        <f>+'ต.ค. '!V45+พ.ย.!V45+ธ.ค.!V45</f>
        <v>0</v>
      </c>
    </row>
    <row r="47" spans="1:23" ht="25.5" customHeight="1">
      <c r="A47" s="9"/>
      <c r="B47" s="130" t="s">
        <v>9</v>
      </c>
      <c r="C47" s="216">
        <f>25000+10000+30000+20000</f>
        <v>85000</v>
      </c>
      <c r="D47" s="131"/>
      <c r="E47" s="269">
        <f>+'ต.ค. '!E46+พ.ย.!E46+ธ.ค.!E46</f>
        <v>0</v>
      </c>
      <c r="F47" s="269">
        <f>+'ต.ค. '!F46+พ.ย.!F46+ธ.ค.!F46</f>
        <v>0</v>
      </c>
      <c r="G47" s="269">
        <f>+'ต.ค. '!G46+พ.ย.!G46+ธ.ค.!G46</f>
        <v>0</v>
      </c>
      <c r="H47" s="269">
        <f>+'ต.ค. '!H46+พ.ย.!H46+ธ.ค.!H46</f>
        <v>2800</v>
      </c>
      <c r="I47" s="269">
        <f>+'ต.ค. '!I46+พ.ย.!I46+ธ.ค.!I46</f>
        <v>0</v>
      </c>
      <c r="J47" s="269">
        <f>+'ต.ค. '!J46+พ.ย.!J46+ธ.ค.!J46</f>
        <v>0</v>
      </c>
      <c r="K47" s="269">
        <f>+'ต.ค. '!K46+พ.ย.!K46+ธ.ค.!K46</f>
        <v>0</v>
      </c>
      <c r="L47" s="269">
        <f>+'ต.ค. '!L46+พ.ย.!L46+ธ.ค.!L46</f>
        <v>0</v>
      </c>
      <c r="M47" s="269">
        <f>+'ต.ค. '!M46+พ.ย.!M46+ธ.ค.!M46</f>
        <v>0</v>
      </c>
      <c r="N47" s="269">
        <f>+'ต.ค. '!N46+พ.ย.!N46+ธ.ค.!N46</f>
        <v>0</v>
      </c>
      <c r="O47" s="269">
        <f>+'ต.ค. '!O46+พ.ย.!O46+ธ.ค.!O46</f>
        <v>0</v>
      </c>
      <c r="P47" s="269">
        <f>+'ต.ค. '!P46+พ.ย.!P46+ธ.ค.!P46</f>
        <v>0</v>
      </c>
      <c r="Q47" s="269">
        <f>+'ต.ค. '!Q46+พ.ย.!Q46+ธ.ค.!Q46</f>
        <v>0</v>
      </c>
      <c r="R47" s="269">
        <f>+'ต.ค. '!R46+พ.ย.!R46+ธ.ค.!R46</f>
        <v>0</v>
      </c>
      <c r="S47" s="269">
        <f>+'ต.ค. '!S46+พ.ย.!S46+ธ.ค.!S46</f>
        <v>0</v>
      </c>
      <c r="T47" s="269"/>
      <c r="U47" s="269">
        <f>+'ต.ค. '!U46+พ.ย.!U46+ธ.ค.!U46</f>
        <v>0</v>
      </c>
      <c r="V47" s="269">
        <f>+'ต.ค. '!V46+พ.ย.!V46+ธ.ค.!V46</f>
        <v>0</v>
      </c>
    </row>
    <row r="48" spans="1:23" ht="25.5" customHeight="1">
      <c r="A48" s="197"/>
      <c r="B48" s="198" t="s">
        <v>241</v>
      </c>
      <c r="C48" s="286">
        <v>44200</v>
      </c>
      <c r="D48" s="131"/>
      <c r="E48" s="269">
        <f>+'ต.ค. '!E47+พ.ย.!E47+ธ.ค.!E47</f>
        <v>0</v>
      </c>
      <c r="F48" s="269">
        <f>+'ต.ค. '!F47+พ.ย.!F47+ธ.ค.!F47</f>
        <v>0</v>
      </c>
      <c r="G48" s="269">
        <f>+'ต.ค. '!G47+พ.ย.!G47+ธ.ค.!G47</f>
        <v>0</v>
      </c>
      <c r="H48" s="269">
        <f>+'ต.ค. '!H47+พ.ย.!H47+ธ.ค.!H47</f>
        <v>0</v>
      </c>
      <c r="I48" s="269">
        <f>+'ต.ค. '!I47+พ.ย.!I47+ธ.ค.!I47</f>
        <v>0</v>
      </c>
      <c r="J48" s="269">
        <f>+'ต.ค. '!J47+พ.ย.!J47+ธ.ค.!J47</f>
        <v>0</v>
      </c>
      <c r="K48" s="269">
        <f>+'ต.ค. '!K47+พ.ย.!K47+ธ.ค.!K47</f>
        <v>0</v>
      </c>
      <c r="L48" s="269">
        <f>+'ต.ค. '!L47+พ.ย.!L47+ธ.ค.!L47</f>
        <v>0</v>
      </c>
      <c r="M48" s="269">
        <f>+'ต.ค. '!M47+พ.ย.!M47+ธ.ค.!M47</f>
        <v>0</v>
      </c>
      <c r="N48" s="269">
        <f>+'ต.ค. '!N47+พ.ย.!N47+ธ.ค.!N47</f>
        <v>0</v>
      </c>
      <c r="O48" s="269">
        <f>+'ต.ค. '!O47+พ.ย.!O47+ธ.ค.!O47</f>
        <v>0</v>
      </c>
      <c r="P48" s="269">
        <f>+'ต.ค. '!P47+พ.ย.!P47+ธ.ค.!P47</f>
        <v>0</v>
      </c>
      <c r="Q48" s="269">
        <f>+'ต.ค. '!Q47+พ.ย.!Q47+ธ.ค.!Q47</f>
        <v>0</v>
      </c>
      <c r="R48" s="269">
        <f>+'ต.ค. '!R47+พ.ย.!R47+ธ.ค.!R47</f>
        <v>0</v>
      </c>
      <c r="S48" s="269">
        <f>+'ต.ค. '!S47+พ.ย.!S47+ธ.ค.!S47</f>
        <v>0</v>
      </c>
      <c r="T48" s="269"/>
      <c r="U48" s="269">
        <f>+'ต.ค. '!U47+พ.ย.!U47+ธ.ค.!U47</f>
        <v>0</v>
      </c>
      <c r="V48" s="269">
        <f>+'ต.ค. '!V47+พ.ย.!V47+ธ.ค.!V47</f>
        <v>0</v>
      </c>
    </row>
    <row r="49" spans="1:23" ht="25.5" customHeight="1">
      <c r="A49" s="9"/>
      <c r="B49" s="6"/>
      <c r="C49" s="290"/>
      <c r="D49" s="195"/>
      <c r="E49" s="533"/>
      <c r="F49" s="533"/>
      <c r="G49" s="533"/>
      <c r="H49" s="533"/>
      <c r="I49" s="533"/>
      <c r="J49" s="533"/>
      <c r="K49" s="533"/>
      <c r="L49" s="533"/>
      <c r="M49" s="533"/>
      <c r="N49" s="533"/>
      <c r="O49" s="533"/>
      <c r="P49" s="533"/>
      <c r="Q49" s="533"/>
      <c r="R49" s="533"/>
      <c r="S49" s="533"/>
      <c r="T49" s="533"/>
      <c r="U49" s="533"/>
      <c r="V49" s="533"/>
    </row>
    <row r="50" spans="1:23" ht="25.5" customHeight="1" thickBot="1">
      <c r="A50" s="46"/>
      <c r="B50" s="47" t="s">
        <v>5</v>
      </c>
      <c r="C50" s="289">
        <f>SUM(C41:C48)</f>
        <v>500200</v>
      </c>
      <c r="D50" s="255">
        <f>SUM(D41:D48)</f>
        <v>0</v>
      </c>
      <c r="E50" s="254">
        <f>SUM(E41:E48)</f>
        <v>29500</v>
      </c>
      <c r="F50" s="254">
        <f>SUM(F41:F48)</f>
        <v>9000</v>
      </c>
      <c r="G50" s="255">
        <f t="shared" ref="G50:V50" si="3">SUM(G41:G48)</f>
        <v>0</v>
      </c>
      <c r="H50" s="254">
        <f>SUM(H41:H48)</f>
        <v>22300</v>
      </c>
      <c r="I50" s="255">
        <f t="shared" si="3"/>
        <v>0</v>
      </c>
      <c r="J50" s="255">
        <f t="shared" si="3"/>
        <v>0</v>
      </c>
      <c r="K50" s="255">
        <f t="shared" si="3"/>
        <v>0</v>
      </c>
      <c r="L50" s="255">
        <f t="shared" si="3"/>
        <v>0</v>
      </c>
      <c r="M50" s="254">
        <f>SUM(M41:M48)</f>
        <v>19500</v>
      </c>
      <c r="N50" s="255">
        <f t="shared" si="3"/>
        <v>0</v>
      </c>
      <c r="O50" s="255">
        <f t="shared" si="3"/>
        <v>0</v>
      </c>
      <c r="P50" s="255">
        <f t="shared" si="3"/>
        <v>0</v>
      </c>
      <c r="Q50" s="255">
        <f t="shared" si="3"/>
        <v>0</v>
      </c>
      <c r="R50" s="255">
        <f t="shared" si="3"/>
        <v>0</v>
      </c>
      <c r="S50" s="255">
        <f t="shared" si="3"/>
        <v>0</v>
      </c>
      <c r="T50" s="255"/>
      <c r="U50" s="255">
        <f t="shared" si="3"/>
        <v>0</v>
      </c>
      <c r="V50" s="255">
        <f t="shared" si="3"/>
        <v>0</v>
      </c>
      <c r="W50" s="314">
        <f>SUM(D50:V50)</f>
        <v>80300</v>
      </c>
    </row>
    <row r="51" spans="1:23" ht="25.5" customHeight="1" thickTop="1">
      <c r="A51" s="5" t="s">
        <v>99</v>
      </c>
      <c r="B51" s="6"/>
      <c r="C51" s="190"/>
      <c r="D51" s="133"/>
      <c r="E51" s="269"/>
      <c r="F51" s="136"/>
      <c r="G51" s="136"/>
      <c r="H51" s="136"/>
      <c r="I51" s="133"/>
      <c r="J51" s="133"/>
      <c r="K51" s="133"/>
      <c r="L51" s="133"/>
      <c r="M51" s="136"/>
      <c r="N51" s="133"/>
      <c r="O51" s="133"/>
      <c r="P51" s="133"/>
      <c r="Q51" s="133"/>
      <c r="R51" s="217"/>
      <c r="S51" s="219"/>
      <c r="T51" s="259"/>
      <c r="U51" s="258"/>
      <c r="V51" s="258"/>
    </row>
    <row r="52" spans="1:23" ht="25.5" customHeight="1">
      <c r="A52" s="5"/>
      <c r="B52" s="130" t="s">
        <v>100</v>
      </c>
      <c r="C52" s="281">
        <f>15000+7000+20000+15000</f>
        <v>57000</v>
      </c>
      <c r="D52" s="133"/>
      <c r="E52" s="269">
        <f>+'ต.ค. '!E51+พ.ย.!E51+ธ.ค.!E51</f>
        <v>0</v>
      </c>
      <c r="F52" s="269">
        <f>+'ต.ค. '!F51+พ.ย.!F51+ธ.ค.!F51</f>
        <v>0</v>
      </c>
      <c r="G52" s="269">
        <f>+'ต.ค. '!G51+พ.ย.!G51+ธ.ค.!G51</f>
        <v>0</v>
      </c>
      <c r="H52" s="269">
        <f>+'ต.ค. '!H51+พ.ย.!H51+ธ.ค.!H51</f>
        <v>0</v>
      </c>
      <c r="I52" s="269">
        <f>+'ต.ค. '!I51+พ.ย.!I51+ธ.ค.!I51</f>
        <v>0</v>
      </c>
      <c r="J52" s="269">
        <f>+'ต.ค. '!J51+พ.ย.!J51+ธ.ค.!J51</f>
        <v>0</v>
      </c>
      <c r="K52" s="269">
        <f>+'ต.ค. '!K51+พ.ย.!K51+ธ.ค.!K51</f>
        <v>0</v>
      </c>
      <c r="L52" s="269">
        <f>+'ต.ค. '!L51+พ.ย.!L51+ธ.ค.!L51</f>
        <v>0</v>
      </c>
      <c r="M52" s="269">
        <f>+'ต.ค. '!M51+พ.ย.!M51+ธ.ค.!M51</f>
        <v>0</v>
      </c>
      <c r="N52" s="269">
        <f>+'ต.ค. '!N51+พ.ย.!N51+ธ.ค.!N51</f>
        <v>0</v>
      </c>
      <c r="O52" s="269">
        <f>+'ต.ค. '!O51+พ.ย.!O51+ธ.ค.!O51</f>
        <v>0</v>
      </c>
      <c r="P52" s="269">
        <f>+'ต.ค. '!P51+พ.ย.!P51+ธ.ค.!P51</f>
        <v>0</v>
      </c>
      <c r="Q52" s="269">
        <f>+'ต.ค. '!Q51+พ.ย.!Q51+ธ.ค.!Q51</f>
        <v>0</v>
      </c>
      <c r="R52" s="269">
        <f>+'ต.ค. '!R51+พ.ย.!R51+ธ.ค.!R51</f>
        <v>0</v>
      </c>
      <c r="S52" s="269">
        <f>+'ต.ค. '!S51+พ.ย.!S51+ธ.ค.!S51</f>
        <v>0</v>
      </c>
      <c r="T52" s="269"/>
      <c r="U52" s="269">
        <f>+'ต.ค. '!U51+พ.ย.!U51+ธ.ค.!U51</f>
        <v>0</v>
      </c>
      <c r="V52" s="269">
        <f>+'ต.ค. '!V51+พ.ย.!V51+ธ.ค.!V51</f>
        <v>0</v>
      </c>
    </row>
    <row r="53" spans="1:23" ht="25.5" customHeight="1">
      <c r="A53" s="5"/>
      <c r="B53" s="130" t="s">
        <v>226</v>
      </c>
      <c r="C53" s="281">
        <f>1044000+124000+384000+296000</f>
        <v>1848000</v>
      </c>
      <c r="D53" s="133"/>
      <c r="E53" s="269">
        <f>+'ต.ค. '!E52+พ.ย.!E52+ธ.ค.!E52</f>
        <v>257373</v>
      </c>
      <c r="F53" s="269">
        <f>+'ต.ค. '!F52+พ.ย.!F52+ธ.ค.!F52</f>
        <v>30498</v>
      </c>
      <c r="G53" s="269">
        <f>+'ต.ค. '!G52+พ.ย.!G52+ธ.ค.!G52</f>
        <v>0</v>
      </c>
      <c r="H53" s="269">
        <f>+'ต.ค. '!H52+พ.ย.!H52+ธ.ค.!H52</f>
        <v>106180</v>
      </c>
      <c r="I53" s="269">
        <f>+'ต.ค. '!I52+พ.ย.!I52+ธ.ค.!I52</f>
        <v>0</v>
      </c>
      <c r="J53" s="269">
        <f>+'ต.ค. '!J52+พ.ย.!J52+ธ.ค.!J52</f>
        <v>0</v>
      </c>
      <c r="K53" s="269">
        <f>+'ต.ค. '!K52+พ.ย.!K52+ธ.ค.!K52</f>
        <v>0</v>
      </c>
      <c r="L53" s="269">
        <f>+'ต.ค. '!L52+พ.ย.!L52+ธ.ค.!L52</f>
        <v>0</v>
      </c>
      <c r="M53" s="269">
        <f>+'ต.ค. '!M52+พ.ย.!M52+ธ.ค.!M52</f>
        <v>68452</v>
      </c>
      <c r="N53" s="269">
        <f>+'ต.ค. '!N52+พ.ย.!N52+ธ.ค.!N52</f>
        <v>0</v>
      </c>
      <c r="O53" s="269">
        <f>+'ต.ค. '!O52+พ.ย.!O52+ธ.ค.!O52</f>
        <v>0</v>
      </c>
      <c r="P53" s="269">
        <f>+'ต.ค. '!P52+พ.ย.!P52+ธ.ค.!P52</f>
        <v>0</v>
      </c>
      <c r="Q53" s="269">
        <f>+'ต.ค. '!Q52+พ.ย.!Q52+ธ.ค.!Q52</f>
        <v>0</v>
      </c>
      <c r="R53" s="269">
        <f>+'ต.ค. '!R52+พ.ย.!R52+ธ.ค.!R52</f>
        <v>0</v>
      </c>
      <c r="S53" s="269">
        <f>+'ต.ค. '!S52+พ.ย.!S52+ธ.ค.!S52</f>
        <v>0</v>
      </c>
      <c r="T53" s="269"/>
      <c r="U53" s="269">
        <f>+'ต.ค. '!U52+พ.ย.!U52+ธ.ค.!U52</f>
        <v>0</v>
      </c>
      <c r="V53" s="269">
        <f>+'ต.ค. '!V52+พ.ย.!V52+ธ.ค.!V52</f>
        <v>0</v>
      </c>
    </row>
    <row r="54" spans="1:23" ht="25.5" customHeight="1">
      <c r="A54" s="5"/>
      <c r="B54" s="130" t="s">
        <v>223</v>
      </c>
      <c r="C54" s="281">
        <v>200000</v>
      </c>
      <c r="D54" s="133"/>
      <c r="E54" s="269">
        <f>+'ต.ค. '!E53+พ.ย.!E53+ธ.ค.!E53</f>
        <v>0</v>
      </c>
      <c r="F54" s="269">
        <f>+'ต.ค. '!F53+พ.ย.!F53+ธ.ค.!F53</f>
        <v>0</v>
      </c>
      <c r="G54" s="269">
        <f>+'ต.ค. '!G53+พ.ย.!G53+ธ.ค.!G53</f>
        <v>0</v>
      </c>
      <c r="H54" s="269">
        <f>+'ต.ค. '!H53+พ.ย.!H53+ธ.ค.!H53</f>
        <v>0</v>
      </c>
      <c r="I54" s="269">
        <f>+'ต.ค. '!I53+พ.ย.!I53+ธ.ค.!I53</f>
        <v>0</v>
      </c>
      <c r="J54" s="269">
        <f>+'ต.ค. '!J53+พ.ย.!J53+ธ.ค.!J53</f>
        <v>0</v>
      </c>
      <c r="K54" s="269">
        <f>+'ต.ค. '!K53+พ.ย.!K53+ธ.ค.!K53</f>
        <v>0</v>
      </c>
      <c r="L54" s="269">
        <f>+'ต.ค. '!L53+พ.ย.!L53+ธ.ค.!L53</f>
        <v>0</v>
      </c>
      <c r="M54" s="269">
        <f>+'ต.ค. '!M53+พ.ย.!M53+ธ.ค.!M53</f>
        <v>0</v>
      </c>
      <c r="N54" s="269">
        <f>+'ต.ค. '!N53+พ.ย.!N53+ธ.ค.!N53</f>
        <v>0</v>
      </c>
      <c r="O54" s="269">
        <f>+'ต.ค. '!O53+พ.ย.!O53+ธ.ค.!O53</f>
        <v>0</v>
      </c>
      <c r="P54" s="269">
        <f>+'ต.ค. '!P53+พ.ย.!P53+ธ.ค.!P53</f>
        <v>0</v>
      </c>
      <c r="Q54" s="269">
        <f>+'ต.ค. '!Q53+พ.ย.!Q53+ธ.ค.!Q53</f>
        <v>0</v>
      </c>
      <c r="R54" s="269">
        <f>+'ต.ค. '!R53+พ.ย.!R53+ธ.ค.!R53</f>
        <v>0</v>
      </c>
      <c r="S54" s="269">
        <f>+'ต.ค. '!S53+พ.ย.!S53+ธ.ค.!S53</f>
        <v>0</v>
      </c>
      <c r="T54" s="269"/>
      <c r="U54" s="269">
        <f>+'ต.ค. '!U53+พ.ย.!U53+ธ.ค.!U53</f>
        <v>0</v>
      </c>
      <c r="V54" s="269">
        <f>+'ต.ค. '!V53+พ.ย.!V53+ธ.ค.!V53</f>
        <v>0</v>
      </c>
    </row>
    <row r="55" spans="1:23" ht="25.5" customHeight="1">
      <c r="A55" s="5"/>
      <c r="B55" s="130" t="s">
        <v>224</v>
      </c>
      <c r="C55" s="281">
        <v>20000</v>
      </c>
      <c r="D55" s="133"/>
      <c r="E55" s="269">
        <f>+'ต.ค. '!E54+พ.ย.!E54+ธ.ค.!E54</f>
        <v>0</v>
      </c>
      <c r="F55" s="269">
        <f>+'ต.ค. '!F54+พ.ย.!F54+ธ.ค.!F54</f>
        <v>0</v>
      </c>
      <c r="G55" s="269">
        <f>+'ต.ค. '!G54+พ.ย.!G54+ธ.ค.!G54</f>
        <v>0</v>
      </c>
      <c r="H55" s="269">
        <f>+'ต.ค. '!H54+พ.ย.!H54+ธ.ค.!H54</f>
        <v>0</v>
      </c>
      <c r="I55" s="269">
        <f>+'ต.ค. '!I54+พ.ย.!I54+ธ.ค.!I54</f>
        <v>0</v>
      </c>
      <c r="J55" s="269">
        <f>+'ต.ค. '!J54+พ.ย.!J54+ธ.ค.!J54</f>
        <v>0</v>
      </c>
      <c r="K55" s="269">
        <f>+'ต.ค. '!K54+พ.ย.!K54+ธ.ค.!K54</f>
        <v>0</v>
      </c>
      <c r="L55" s="269">
        <f>+'ต.ค. '!L54+พ.ย.!L54+ธ.ค.!L54</f>
        <v>0</v>
      </c>
      <c r="M55" s="269">
        <f>+'ต.ค. '!M54+พ.ย.!M54+ธ.ค.!M54</f>
        <v>0</v>
      </c>
      <c r="N55" s="269">
        <f>+'ต.ค. '!N54+พ.ย.!N54+ธ.ค.!N54</f>
        <v>0</v>
      </c>
      <c r="O55" s="269">
        <f>+'ต.ค. '!O54+พ.ย.!O54+ธ.ค.!O54</f>
        <v>0</v>
      </c>
      <c r="P55" s="269">
        <f>+'ต.ค. '!P54+พ.ย.!P54+ธ.ค.!P54</f>
        <v>0</v>
      </c>
      <c r="Q55" s="269">
        <f>+'ต.ค. '!Q54+พ.ย.!Q54+ธ.ค.!Q54</f>
        <v>0</v>
      </c>
      <c r="R55" s="269">
        <f>+'ต.ค. '!R54+พ.ย.!R54+ธ.ค.!R54</f>
        <v>0</v>
      </c>
      <c r="S55" s="269">
        <f>+'ต.ค. '!S54+พ.ย.!S54+ธ.ค.!S54</f>
        <v>0</v>
      </c>
      <c r="T55" s="269"/>
      <c r="U55" s="269">
        <f>+'ต.ค. '!U54+พ.ย.!U54+ธ.ค.!U54</f>
        <v>0</v>
      </c>
      <c r="V55" s="269">
        <f>+'ต.ค. '!V54+พ.ย.!V54+ธ.ค.!V54</f>
        <v>0</v>
      </c>
    </row>
    <row r="56" spans="1:23" ht="25.5" customHeight="1">
      <c r="A56" s="5"/>
      <c r="B56" s="130" t="s">
        <v>225</v>
      </c>
      <c r="C56" s="281">
        <v>10000</v>
      </c>
      <c r="D56" s="133"/>
      <c r="E56" s="269">
        <f>+'ต.ค. '!E55+พ.ย.!E55+ธ.ค.!E55</f>
        <v>4810</v>
      </c>
      <c r="F56" s="269">
        <f>+'ต.ค. '!F55+พ.ย.!F55+ธ.ค.!F55</f>
        <v>0</v>
      </c>
      <c r="G56" s="269">
        <f>+'ต.ค. '!G55+พ.ย.!G55+ธ.ค.!G55</f>
        <v>0</v>
      </c>
      <c r="H56" s="269">
        <f>+'ต.ค. '!H55+พ.ย.!H55+ธ.ค.!H55</f>
        <v>0</v>
      </c>
      <c r="I56" s="269">
        <f>+'ต.ค. '!I55+พ.ย.!I55+ธ.ค.!I55</f>
        <v>0</v>
      </c>
      <c r="J56" s="269">
        <f>+'ต.ค. '!J55+พ.ย.!J55+ธ.ค.!J55</f>
        <v>0</v>
      </c>
      <c r="K56" s="269">
        <f>+'ต.ค. '!K55+พ.ย.!K55+ธ.ค.!K55</f>
        <v>0</v>
      </c>
      <c r="L56" s="269">
        <f>+'ต.ค. '!L55+พ.ย.!L55+ธ.ค.!L55</f>
        <v>0</v>
      </c>
      <c r="M56" s="269">
        <f>+'ต.ค. '!M55+พ.ย.!M55+ธ.ค.!M55</f>
        <v>0</v>
      </c>
      <c r="N56" s="269">
        <f>+'ต.ค. '!N55+พ.ย.!N55+ธ.ค.!N55</f>
        <v>0</v>
      </c>
      <c r="O56" s="269">
        <f>+'ต.ค. '!O55+พ.ย.!O55+ธ.ค.!O55</f>
        <v>0</v>
      </c>
      <c r="P56" s="269">
        <f>+'ต.ค. '!P55+พ.ย.!P55+ธ.ค.!P55</f>
        <v>0</v>
      </c>
      <c r="Q56" s="269">
        <f>+'ต.ค. '!Q55+พ.ย.!Q55+ธ.ค.!Q55</f>
        <v>0</v>
      </c>
      <c r="R56" s="269">
        <f>+'ต.ค. '!R55+พ.ย.!R55+ธ.ค.!R55</f>
        <v>0</v>
      </c>
      <c r="S56" s="269">
        <f>+'ต.ค. '!S55+พ.ย.!S55+ธ.ค.!S55</f>
        <v>0</v>
      </c>
      <c r="T56" s="269"/>
      <c r="U56" s="269">
        <f>+'ต.ค. '!U55+พ.ย.!U55+ธ.ค.!U55</f>
        <v>0</v>
      </c>
      <c r="V56" s="269">
        <f>+'ต.ค. '!V55+พ.ย.!V55+ธ.ค.!V55</f>
        <v>0</v>
      </c>
    </row>
    <row r="57" spans="1:23" ht="25.5" customHeight="1">
      <c r="A57" s="5"/>
      <c r="B57" s="130" t="s">
        <v>227</v>
      </c>
      <c r="C57" s="281">
        <v>40000</v>
      </c>
      <c r="D57" s="133"/>
      <c r="E57" s="269">
        <f>+'ต.ค. '!E56+พ.ย.!E56+ธ.ค.!E56</f>
        <v>0</v>
      </c>
      <c r="F57" s="269">
        <f>+'ต.ค. '!F56+พ.ย.!F56+ธ.ค.!F56</f>
        <v>0</v>
      </c>
      <c r="G57" s="269">
        <f>+'ต.ค. '!G56+พ.ย.!G56+ธ.ค.!G56</f>
        <v>0</v>
      </c>
      <c r="H57" s="269">
        <f>+'ต.ค. '!H56+พ.ย.!H56+ธ.ค.!H56</f>
        <v>0</v>
      </c>
      <c r="I57" s="269">
        <f>+'ต.ค. '!I56+พ.ย.!I56+ธ.ค.!I56</f>
        <v>0</v>
      </c>
      <c r="J57" s="269">
        <f>+'ต.ค. '!J56+พ.ย.!J56+ธ.ค.!J56</f>
        <v>0</v>
      </c>
      <c r="K57" s="269">
        <f>+'ต.ค. '!K56+พ.ย.!K56+ธ.ค.!K56</f>
        <v>0</v>
      </c>
      <c r="L57" s="269">
        <f>+'ต.ค. '!L56+พ.ย.!L56+ธ.ค.!L56</f>
        <v>0</v>
      </c>
      <c r="M57" s="269">
        <f>+'ต.ค. '!M56+พ.ย.!M56+ธ.ค.!M56</f>
        <v>0</v>
      </c>
      <c r="N57" s="269">
        <f>+'ต.ค. '!N56+พ.ย.!N56+ธ.ค.!N56</f>
        <v>0</v>
      </c>
      <c r="O57" s="269">
        <f>+'ต.ค. '!O56+พ.ย.!O56+ธ.ค.!O56</f>
        <v>0</v>
      </c>
      <c r="P57" s="269">
        <f>+'ต.ค. '!P56+พ.ย.!P56+ธ.ค.!P56</f>
        <v>0</v>
      </c>
      <c r="Q57" s="269">
        <f>+'ต.ค. '!Q56+พ.ย.!Q56+ธ.ค.!Q56</f>
        <v>0</v>
      </c>
      <c r="R57" s="269">
        <f>+'ต.ค. '!R56+พ.ย.!R56+ธ.ค.!R56</f>
        <v>0</v>
      </c>
      <c r="S57" s="269">
        <f>+'ต.ค. '!S56+พ.ย.!S56+ธ.ค.!S56</f>
        <v>0</v>
      </c>
      <c r="T57" s="269"/>
      <c r="U57" s="269">
        <f>+'ต.ค. '!U56+พ.ย.!U56+ธ.ค.!U56</f>
        <v>0</v>
      </c>
      <c r="V57" s="269">
        <f>+'ต.ค. '!V56+พ.ย.!V56+ธ.ค.!V56</f>
        <v>0</v>
      </c>
    </row>
    <row r="58" spans="1:23" ht="25.5" customHeight="1">
      <c r="A58" s="5"/>
      <c r="B58" s="130" t="s">
        <v>228</v>
      </c>
      <c r="C58" s="281">
        <v>9000</v>
      </c>
      <c r="D58" s="133"/>
      <c r="E58" s="269">
        <f>+'ต.ค. '!E57+พ.ย.!E57+ธ.ค.!E57</f>
        <v>0</v>
      </c>
      <c r="F58" s="269">
        <f>+'ต.ค. '!F57+พ.ย.!F57+ธ.ค.!F57</f>
        <v>0</v>
      </c>
      <c r="G58" s="269">
        <f>+'ต.ค. '!G57+พ.ย.!G57+ธ.ค.!G57</f>
        <v>0</v>
      </c>
      <c r="H58" s="269">
        <f>+'ต.ค. '!H57+พ.ย.!H57+ธ.ค.!H57</f>
        <v>0</v>
      </c>
      <c r="I58" s="269">
        <f>+'ต.ค. '!I57+พ.ย.!I57+ธ.ค.!I57</f>
        <v>0</v>
      </c>
      <c r="J58" s="269">
        <f>+'ต.ค. '!J57+พ.ย.!J57+ธ.ค.!J57</f>
        <v>0</v>
      </c>
      <c r="K58" s="269">
        <f>+'ต.ค. '!K57+พ.ย.!K57+ธ.ค.!K57</f>
        <v>0</v>
      </c>
      <c r="L58" s="269">
        <f>+'ต.ค. '!L57+พ.ย.!L57+ธ.ค.!L57</f>
        <v>0</v>
      </c>
      <c r="M58" s="269">
        <f>+'ต.ค. '!M57+พ.ย.!M57+ธ.ค.!M57</f>
        <v>0</v>
      </c>
      <c r="N58" s="269">
        <f>+'ต.ค. '!N57+พ.ย.!N57+ธ.ค.!N57</f>
        <v>0</v>
      </c>
      <c r="O58" s="269">
        <f>+'ต.ค. '!O57+พ.ย.!O57+ธ.ค.!O57</f>
        <v>0</v>
      </c>
      <c r="P58" s="269">
        <f>+'ต.ค. '!P57+พ.ย.!P57+ธ.ค.!P57</f>
        <v>0</v>
      </c>
      <c r="Q58" s="269">
        <f>+'ต.ค. '!Q57+พ.ย.!Q57+ธ.ค.!Q57</f>
        <v>0</v>
      </c>
      <c r="R58" s="269">
        <f>+'ต.ค. '!R57+พ.ย.!R57+ธ.ค.!R57</f>
        <v>0</v>
      </c>
      <c r="S58" s="269">
        <f>+'ต.ค. '!S57+พ.ย.!S57+ธ.ค.!S57</f>
        <v>0</v>
      </c>
      <c r="T58" s="269"/>
      <c r="U58" s="269">
        <f>+'ต.ค. '!U57+พ.ย.!U57+ธ.ค.!U57</f>
        <v>0</v>
      </c>
      <c r="V58" s="269">
        <f>+'ต.ค. '!V57+พ.ย.!V57+ธ.ค.!V57</f>
        <v>0</v>
      </c>
    </row>
    <row r="59" spans="1:23" ht="25.5" customHeight="1">
      <c r="A59" s="5"/>
      <c r="B59" s="130" t="s">
        <v>11</v>
      </c>
      <c r="C59" s="281">
        <v>10000</v>
      </c>
      <c r="D59" s="133"/>
      <c r="E59" s="269">
        <f>+'ต.ค. '!E58+พ.ย.!E58+ธ.ค.!E58</f>
        <v>1902</v>
      </c>
      <c r="F59" s="269">
        <f>+'ต.ค. '!F58+พ.ย.!F58+ธ.ค.!F58</f>
        <v>0</v>
      </c>
      <c r="G59" s="269">
        <f>+'ต.ค. '!G58+พ.ย.!G58+ธ.ค.!G58</f>
        <v>0</v>
      </c>
      <c r="H59" s="269">
        <f>+'ต.ค. '!H58+พ.ย.!H58+ธ.ค.!H58</f>
        <v>0</v>
      </c>
      <c r="I59" s="269">
        <f>+'ต.ค. '!I58+พ.ย.!I58+ธ.ค.!I58</f>
        <v>0</v>
      </c>
      <c r="J59" s="269">
        <f>+'ต.ค. '!J58+พ.ย.!J58+ธ.ค.!J58</f>
        <v>0</v>
      </c>
      <c r="K59" s="269">
        <f>+'ต.ค. '!K58+พ.ย.!K58+ธ.ค.!K58</f>
        <v>0</v>
      </c>
      <c r="L59" s="269">
        <f>+'ต.ค. '!L58+พ.ย.!L58+ธ.ค.!L58</f>
        <v>0</v>
      </c>
      <c r="M59" s="269">
        <f>+'ต.ค. '!M58+พ.ย.!M58+ธ.ค.!M58</f>
        <v>0</v>
      </c>
      <c r="N59" s="269">
        <f>+'ต.ค. '!N58+พ.ย.!N58+ธ.ค.!N58</f>
        <v>0</v>
      </c>
      <c r="O59" s="269">
        <f>+'ต.ค. '!O58+พ.ย.!O58+ธ.ค.!O58</f>
        <v>0</v>
      </c>
      <c r="P59" s="269">
        <f>+'ต.ค. '!P58+พ.ย.!P58+ธ.ค.!P58</f>
        <v>0</v>
      </c>
      <c r="Q59" s="269">
        <f>+'ต.ค. '!Q58+พ.ย.!Q58+ธ.ค.!Q58</f>
        <v>0</v>
      </c>
      <c r="R59" s="269">
        <f>+'ต.ค. '!R58+พ.ย.!R58+ธ.ค.!R58</f>
        <v>0</v>
      </c>
      <c r="S59" s="269">
        <f>+'ต.ค. '!S58+พ.ย.!S58+ธ.ค.!S58</f>
        <v>0</v>
      </c>
      <c r="T59" s="269"/>
      <c r="U59" s="269">
        <f>+'ต.ค. '!U58+พ.ย.!U58+ธ.ค.!U58</f>
        <v>0</v>
      </c>
      <c r="V59" s="269">
        <f>+'ต.ค. '!V58+พ.ย.!V58+ธ.ค.!V58</f>
        <v>0</v>
      </c>
    </row>
    <row r="60" spans="1:23" ht="25.5" customHeight="1">
      <c r="A60" s="5"/>
      <c r="B60" s="130" t="s">
        <v>229</v>
      </c>
      <c r="C60" s="281">
        <v>10000</v>
      </c>
      <c r="D60" s="133"/>
      <c r="E60" s="269">
        <f>+'ต.ค. '!E59+พ.ย.!E59+ธ.ค.!E59</f>
        <v>1047</v>
      </c>
      <c r="F60" s="269">
        <f>+'ต.ค. '!F59+พ.ย.!F59+ธ.ค.!F59</f>
        <v>0</v>
      </c>
      <c r="G60" s="269">
        <f>+'ต.ค. '!G59+พ.ย.!G59+ธ.ค.!G59</f>
        <v>0</v>
      </c>
      <c r="H60" s="269">
        <f>+'ต.ค. '!H59+พ.ย.!H59+ธ.ค.!H59</f>
        <v>0</v>
      </c>
      <c r="I60" s="269">
        <f>+'ต.ค. '!I59+พ.ย.!I59+ธ.ค.!I59</f>
        <v>0</v>
      </c>
      <c r="J60" s="269">
        <f>+'ต.ค. '!J59+พ.ย.!J59+ธ.ค.!J59</f>
        <v>0</v>
      </c>
      <c r="K60" s="269">
        <f>+'ต.ค. '!K59+พ.ย.!K59+ธ.ค.!K59</f>
        <v>0</v>
      </c>
      <c r="L60" s="269">
        <f>+'ต.ค. '!L59+พ.ย.!L59+ธ.ค.!L59</f>
        <v>0</v>
      </c>
      <c r="M60" s="269">
        <f>+'ต.ค. '!M59+พ.ย.!M59+ธ.ค.!M59</f>
        <v>0</v>
      </c>
      <c r="N60" s="269">
        <f>+'ต.ค. '!N59+พ.ย.!N59+ธ.ค.!N59</f>
        <v>0</v>
      </c>
      <c r="O60" s="269">
        <f>+'ต.ค. '!O59+พ.ย.!O59+ธ.ค.!O59</f>
        <v>0</v>
      </c>
      <c r="P60" s="269">
        <f>+'ต.ค. '!P59+พ.ย.!P59+ธ.ค.!P59</f>
        <v>0</v>
      </c>
      <c r="Q60" s="269">
        <f>+'ต.ค. '!Q59+พ.ย.!Q59+ธ.ค.!Q59</f>
        <v>0</v>
      </c>
      <c r="R60" s="269">
        <f>+'ต.ค. '!R59+พ.ย.!R59+ธ.ค.!R59</f>
        <v>0</v>
      </c>
      <c r="S60" s="269">
        <f>+'ต.ค. '!S59+พ.ย.!S59+ธ.ค.!S59</f>
        <v>0</v>
      </c>
      <c r="T60" s="269"/>
      <c r="U60" s="269">
        <f>+'ต.ค. '!U59+พ.ย.!U59+ธ.ค.!U59</f>
        <v>0</v>
      </c>
      <c r="V60" s="269">
        <f>+'ต.ค. '!V59+พ.ย.!V59+ธ.ค.!V59</f>
        <v>0</v>
      </c>
    </row>
    <row r="61" spans="1:23" ht="25.5" customHeight="1">
      <c r="A61" s="5"/>
      <c r="B61" s="130" t="s">
        <v>230</v>
      </c>
      <c r="C61" s="281">
        <v>20000</v>
      </c>
      <c r="D61" s="133"/>
      <c r="E61" s="269">
        <f>+'ต.ค. '!E60+พ.ย.!E60+ธ.ค.!E60</f>
        <v>61400</v>
      </c>
      <c r="F61" s="269">
        <f>+'ต.ค. '!F60+พ.ย.!F60+ธ.ค.!F60</f>
        <v>0</v>
      </c>
      <c r="G61" s="269">
        <f>+'ต.ค. '!G60+พ.ย.!G60+ธ.ค.!G60</f>
        <v>0</v>
      </c>
      <c r="H61" s="269">
        <f>+'ต.ค. '!H60+พ.ย.!H60+ธ.ค.!H60</f>
        <v>0</v>
      </c>
      <c r="I61" s="269">
        <f>+'ต.ค. '!I60+พ.ย.!I60+ธ.ค.!I60</f>
        <v>0</v>
      </c>
      <c r="J61" s="269">
        <f>+'ต.ค. '!J60+พ.ย.!J60+ธ.ค.!J60</f>
        <v>0</v>
      </c>
      <c r="K61" s="269">
        <f>+'ต.ค. '!K60+พ.ย.!K60+ธ.ค.!K60</f>
        <v>0</v>
      </c>
      <c r="L61" s="269">
        <f>+'ต.ค. '!L60+พ.ย.!L60+ธ.ค.!L60</f>
        <v>0</v>
      </c>
      <c r="M61" s="269">
        <f>+'ต.ค. '!M60+พ.ย.!M60+ธ.ค.!M60</f>
        <v>0</v>
      </c>
      <c r="N61" s="269">
        <f>+'ต.ค. '!N60+พ.ย.!N60+ธ.ค.!N60</f>
        <v>0</v>
      </c>
      <c r="O61" s="269">
        <f>+'ต.ค. '!O60+พ.ย.!O60+ธ.ค.!O60</f>
        <v>0</v>
      </c>
      <c r="P61" s="269">
        <f>+'ต.ค. '!P60+พ.ย.!P60+ธ.ค.!P60</f>
        <v>0</v>
      </c>
      <c r="Q61" s="269">
        <f>+'ต.ค. '!Q60+พ.ย.!Q60+ธ.ค.!Q60</f>
        <v>0</v>
      </c>
      <c r="R61" s="269">
        <f>+'ต.ค. '!R60+พ.ย.!R60+ธ.ค.!R60</f>
        <v>0</v>
      </c>
      <c r="S61" s="269">
        <f>+'ต.ค. '!S60+พ.ย.!S60+ธ.ค.!S60</f>
        <v>0</v>
      </c>
      <c r="T61" s="269"/>
      <c r="U61" s="269">
        <f>+'ต.ค. '!U60+พ.ย.!U60+ธ.ค.!U60</f>
        <v>0</v>
      </c>
      <c r="V61" s="269">
        <f>+'ต.ค. '!V60+พ.ย.!V60+ธ.ค.!V60</f>
        <v>0</v>
      </c>
    </row>
    <row r="62" spans="1:23" ht="25.5" customHeight="1">
      <c r="A62" s="9"/>
      <c r="B62" s="130" t="s">
        <v>50</v>
      </c>
      <c r="C62" s="280">
        <v>10000</v>
      </c>
      <c r="D62" s="133"/>
      <c r="E62" s="269">
        <f>+'ต.ค. '!E61+พ.ย.!E61+ธ.ค.!E61</f>
        <v>0</v>
      </c>
      <c r="F62" s="269">
        <f>+'ต.ค. '!F61+พ.ย.!F61+ธ.ค.!F61</f>
        <v>0</v>
      </c>
      <c r="G62" s="269">
        <f>+'ต.ค. '!G61+พ.ย.!G61+ธ.ค.!G61</f>
        <v>0</v>
      </c>
      <c r="H62" s="269">
        <f>+'ต.ค. '!H61+พ.ย.!H61+ธ.ค.!H61</f>
        <v>0</v>
      </c>
      <c r="I62" s="269">
        <f>+'ต.ค. '!I61+พ.ย.!I61+ธ.ค.!I61</f>
        <v>0</v>
      </c>
      <c r="J62" s="269">
        <f>+'ต.ค. '!J61+พ.ย.!J61+ธ.ค.!J61</f>
        <v>0</v>
      </c>
      <c r="K62" s="269">
        <f>+'ต.ค. '!K61+พ.ย.!K61+ธ.ค.!K61</f>
        <v>0</v>
      </c>
      <c r="L62" s="269">
        <f>+'ต.ค. '!L61+พ.ย.!L61+ธ.ค.!L61</f>
        <v>0</v>
      </c>
      <c r="M62" s="269">
        <f>+'ต.ค. '!M61+พ.ย.!M61+ธ.ค.!M61</f>
        <v>0</v>
      </c>
      <c r="N62" s="269">
        <f>+'ต.ค. '!N61+พ.ย.!N61+ธ.ค.!N61</f>
        <v>0</v>
      </c>
      <c r="O62" s="269">
        <f>+'ต.ค. '!O61+พ.ย.!O61+ธ.ค.!O61</f>
        <v>0</v>
      </c>
      <c r="P62" s="269">
        <f>+'ต.ค. '!P61+พ.ย.!P61+ธ.ค.!P61</f>
        <v>0</v>
      </c>
      <c r="Q62" s="269">
        <f>+'ต.ค. '!Q61+พ.ย.!Q61+ธ.ค.!Q61</f>
        <v>0</v>
      </c>
      <c r="R62" s="269">
        <f>+'ต.ค. '!R61+พ.ย.!R61+ธ.ค.!R61</f>
        <v>0</v>
      </c>
      <c r="S62" s="269">
        <f>+'ต.ค. '!S61+พ.ย.!S61+ธ.ค.!S61</f>
        <v>0</v>
      </c>
      <c r="T62" s="269"/>
      <c r="U62" s="269">
        <f>+'ต.ค. '!U61+พ.ย.!U61+ธ.ค.!U61</f>
        <v>0</v>
      </c>
      <c r="V62" s="269">
        <f>+'ต.ค. '!V61+พ.ย.!V61+ธ.ค.!V61</f>
        <v>0</v>
      </c>
    </row>
    <row r="63" spans="1:23" ht="25.5" customHeight="1">
      <c r="A63" s="9"/>
      <c r="B63" s="130" t="s">
        <v>103</v>
      </c>
      <c r="C63" s="280">
        <v>10000</v>
      </c>
      <c r="D63" s="131"/>
      <c r="E63" s="269">
        <f>+'ต.ค. '!E62+พ.ย.!E62+ธ.ค.!E62</f>
        <v>0</v>
      </c>
      <c r="F63" s="269">
        <f>+'ต.ค. '!F62+พ.ย.!F62+ธ.ค.!F62</f>
        <v>0</v>
      </c>
      <c r="G63" s="269">
        <f>+'ต.ค. '!G62+พ.ย.!G62+ธ.ค.!G62</f>
        <v>0</v>
      </c>
      <c r="H63" s="269">
        <f>+'ต.ค. '!H62+พ.ย.!H62+ธ.ค.!H62</f>
        <v>0</v>
      </c>
      <c r="I63" s="269">
        <f>+'ต.ค. '!I62+พ.ย.!I62+ธ.ค.!I62</f>
        <v>0</v>
      </c>
      <c r="J63" s="269">
        <f>+'ต.ค. '!J62+พ.ย.!J62+ธ.ค.!J62</f>
        <v>0</v>
      </c>
      <c r="K63" s="269">
        <f>+'ต.ค. '!K62+พ.ย.!K62+ธ.ค.!K62</f>
        <v>0</v>
      </c>
      <c r="L63" s="269">
        <f>+'ต.ค. '!L62+พ.ย.!L62+ธ.ค.!L62</f>
        <v>0</v>
      </c>
      <c r="M63" s="269">
        <f>+'ต.ค. '!M62+พ.ย.!M62+ธ.ค.!M62</f>
        <v>0</v>
      </c>
      <c r="N63" s="269">
        <f>+'ต.ค. '!N62+พ.ย.!N62+ธ.ค.!N62</f>
        <v>0</v>
      </c>
      <c r="O63" s="269">
        <f>+'ต.ค. '!O62+พ.ย.!O62+ธ.ค.!O62</f>
        <v>0</v>
      </c>
      <c r="P63" s="269">
        <f>+'ต.ค. '!P62+พ.ย.!P62+ธ.ค.!P62</f>
        <v>0</v>
      </c>
      <c r="Q63" s="269">
        <f>+'ต.ค. '!Q62+พ.ย.!Q62+ธ.ค.!Q62</f>
        <v>0</v>
      </c>
      <c r="R63" s="269">
        <f>+'ต.ค. '!R62+พ.ย.!R62+ธ.ค.!R62</f>
        <v>0</v>
      </c>
      <c r="S63" s="269">
        <f>+'ต.ค. '!S62+พ.ย.!S62+ธ.ค.!S62</f>
        <v>0</v>
      </c>
      <c r="T63" s="269"/>
      <c r="U63" s="269">
        <f>+'ต.ค. '!U62+พ.ย.!U62+ธ.ค.!U62</f>
        <v>0</v>
      </c>
      <c r="V63" s="269">
        <f>+'ต.ค. '!V62+พ.ย.!V62+ธ.ค.!V62</f>
        <v>0</v>
      </c>
    </row>
    <row r="64" spans="1:23" ht="25.5" customHeight="1">
      <c r="A64" s="9"/>
      <c r="B64" s="187" t="s">
        <v>106</v>
      </c>
      <c r="C64" s="283">
        <f>200000+30000+30000+80000</f>
        <v>340000</v>
      </c>
      <c r="D64" s="131"/>
      <c r="E64" s="269">
        <f>+'ต.ค. '!E63+พ.ย.!E63+ธ.ค.!E63</f>
        <v>25824</v>
      </c>
      <c r="F64" s="269">
        <f>+'ต.ค. '!F63+พ.ย.!F63+ธ.ค.!F63</f>
        <v>8060</v>
      </c>
      <c r="G64" s="269">
        <f>+'ต.ค. '!G63+พ.ย.!G63+ธ.ค.!G63</f>
        <v>0</v>
      </c>
      <c r="H64" s="269">
        <f>+'ต.ค. '!H63+พ.ย.!H63+ธ.ค.!H63</f>
        <v>61188</v>
      </c>
      <c r="I64" s="269">
        <f>+'ต.ค. '!I63+พ.ย.!I63+ธ.ค.!I63</f>
        <v>0</v>
      </c>
      <c r="J64" s="269">
        <f>+'ต.ค. '!J63+พ.ย.!J63+ธ.ค.!J63</f>
        <v>0</v>
      </c>
      <c r="K64" s="269">
        <f>+'ต.ค. '!K63+พ.ย.!K63+ธ.ค.!K63</f>
        <v>0</v>
      </c>
      <c r="L64" s="269">
        <f>+'ต.ค. '!L63+พ.ย.!L63+ธ.ค.!L63</f>
        <v>0</v>
      </c>
      <c r="M64" s="269">
        <f>+'ต.ค. '!M63+พ.ย.!M63+ธ.ค.!M63</f>
        <v>0</v>
      </c>
      <c r="N64" s="269">
        <f>+'ต.ค. '!N63+พ.ย.!N63+ธ.ค.!N63</f>
        <v>0</v>
      </c>
      <c r="O64" s="269">
        <f>+'ต.ค. '!O63+พ.ย.!O63+ธ.ค.!O63</f>
        <v>0</v>
      </c>
      <c r="P64" s="269">
        <f>+'ต.ค. '!P63+พ.ย.!P63+ธ.ค.!P63</f>
        <v>0</v>
      </c>
      <c r="Q64" s="269">
        <f>+'ต.ค. '!Q63+พ.ย.!Q63+ธ.ค.!Q63</f>
        <v>0</v>
      </c>
      <c r="R64" s="269">
        <f>+'ต.ค. '!R63+พ.ย.!R63+ธ.ค.!R63</f>
        <v>0</v>
      </c>
      <c r="S64" s="269">
        <f>+'ต.ค. '!S63+พ.ย.!S63+ธ.ค.!S63</f>
        <v>0</v>
      </c>
      <c r="T64" s="269"/>
      <c r="U64" s="269">
        <f>+'ต.ค. '!U63+พ.ย.!U63+ธ.ค.!U63</f>
        <v>0</v>
      </c>
      <c r="V64" s="269">
        <f>+'ต.ค. '!V63+พ.ย.!V63+ธ.ค.!V63</f>
        <v>0</v>
      </c>
    </row>
    <row r="65" spans="1:22" ht="25.5" customHeight="1">
      <c r="A65" s="9"/>
      <c r="B65" s="187" t="s">
        <v>231</v>
      </c>
      <c r="C65" s="283">
        <v>5000</v>
      </c>
      <c r="D65" s="131"/>
      <c r="E65" s="269">
        <f>+'ต.ค. '!E64+พ.ย.!E64+ธ.ค.!E64</f>
        <v>7000</v>
      </c>
      <c r="F65" s="269">
        <f>+'ต.ค. '!F64+พ.ย.!F64+ธ.ค.!F64</f>
        <v>0</v>
      </c>
      <c r="G65" s="269">
        <f>+'ต.ค. '!G64+พ.ย.!G64+ธ.ค.!G64</f>
        <v>0</v>
      </c>
      <c r="H65" s="269">
        <f>+'ต.ค. '!H64+พ.ย.!H64+ธ.ค.!H64</f>
        <v>0</v>
      </c>
      <c r="I65" s="269">
        <f>+'ต.ค. '!I64+พ.ย.!I64+ธ.ค.!I64</f>
        <v>0</v>
      </c>
      <c r="J65" s="269">
        <f>+'ต.ค. '!J64+พ.ย.!J64+ธ.ค.!J64</f>
        <v>0</v>
      </c>
      <c r="K65" s="269">
        <f>+'ต.ค. '!K64+พ.ย.!K64+ธ.ค.!K64</f>
        <v>0</v>
      </c>
      <c r="L65" s="269">
        <f>+'ต.ค. '!L64+พ.ย.!L64+ธ.ค.!L64</f>
        <v>0</v>
      </c>
      <c r="M65" s="269">
        <f>+'ต.ค. '!M64+พ.ย.!M64+ธ.ค.!M64</f>
        <v>0</v>
      </c>
      <c r="N65" s="269">
        <f>+'ต.ค. '!N64+พ.ย.!N64+ธ.ค.!N64</f>
        <v>0</v>
      </c>
      <c r="O65" s="269">
        <f>+'ต.ค. '!O64+พ.ย.!O64+ธ.ค.!O64</f>
        <v>0</v>
      </c>
      <c r="P65" s="269">
        <f>+'ต.ค. '!P64+พ.ย.!P64+ธ.ค.!P64</f>
        <v>0</v>
      </c>
      <c r="Q65" s="269">
        <f>+'ต.ค. '!Q64+พ.ย.!Q64+ธ.ค.!Q64</f>
        <v>0</v>
      </c>
      <c r="R65" s="269">
        <f>+'ต.ค. '!R64+พ.ย.!R64+ธ.ค.!R64</f>
        <v>0</v>
      </c>
      <c r="S65" s="269">
        <f>+'ต.ค. '!S64+พ.ย.!S64+ธ.ค.!S64</f>
        <v>0</v>
      </c>
      <c r="T65" s="269"/>
      <c r="U65" s="269">
        <f>+'ต.ค. '!U64+พ.ย.!U64+ธ.ค.!U64</f>
        <v>0</v>
      </c>
      <c r="V65" s="269">
        <f>+'ต.ค. '!V64+พ.ย.!V64+ธ.ค.!V64</f>
        <v>0</v>
      </c>
    </row>
    <row r="66" spans="1:22" ht="25.5" customHeight="1">
      <c r="A66" s="9"/>
      <c r="B66" s="187" t="s">
        <v>204</v>
      </c>
      <c r="C66" s="283">
        <v>5000</v>
      </c>
      <c r="D66" s="131"/>
      <c r="E66" s="269">
        <f>+'ต.ค. '!E65+พ.ย.!E65+ธ.ค.!E65</f>
        <v>0</v>
      </c>
      <c r="F66" s="269">
        <f>+'ต.ค. '!F65+พ.ย.!F65+ธ.ค.!F65</f>
        <v>0</v>
      </c>
      <c r="G66" s="269">
        <f>+'ต.ค. '!G65+พ.ย.!G65+ธ.ค.!G65</f>
        <v>0</v>
      </c>
      <c r="H66" s="269">
        <f>+'ต.ค. '!H65+พ.ย.!H65+ธ.ค.!H65</f>
        <v>0</v>
      </c>
      <c r="I66" s="269">
        <f>+'ต.ค. '!I65+พ.ย.!I65+ธ.ค.!I65</f>
        <v>0</v>
      </c>
      <c r="J66" s="269">
        <f>+'ต.ค. '!J65+พ.ย.!J65+ธ.ค.!J65</f>
        <v>0</v>
      </c>
      <c r="K66" s="269">
        <f>+'ต.ค. '!K65+พ.ย.!K65+ธ.ค.!K65</f>
        <v>0</v>
      </c>
      <c r="L66" s="269">
        <f>+'ต.ค. '!L65+พ.ย.!L65+ธ.ค.!L65</f>
        <v>0</v>
      </c>
      <c r="M66" s="269">
        <f>+'ต.ค. '!M65+พ.ย.!M65+ธ.ค.!M65</f>
        <v>0</v>
      </c>
      <c r="N66" s="269">
        <f>+'ต.ค. '!N65+พ.ย.!N65+ธ.ค.!N65</f>
        <v>0</v>
      </c>
      <c r="O66" s="269">
        <f>+'ต.ค. '!O65+พ.ย.!O65+ธ.ค.!O65</f>
        <v>0</v>
      </c>
      <c r="P66" s="269">
        <f>+'ต.ค. '!P65+พ.ย.!P65+ธ.ค.!P65</f>
        <v>0</v>
      </c>
      <c r="Q66" s="269">
        <f>+'ต.ค. '!Q65+พ.ย.!Q65+ธ.ค.!Q65</f>
        <v>0</v>
      </c>
      <c r="R66" s="269">
        <f>+'ต.ค. '!R65+พ.ย.!R65+ธ.ค.!R65</f>
        <v>0</v>
      </c>
      <c r="S66" s="269">
        <f>+'ต.ค. '!S65+พ.ย.!S65+ธ.ค.!S65</f>
        <v>0</v>
      </c>
      <c r="T66" s="269"/>
      <c r="U66" s="269">
        <f>+'ต.ค. '!U65+พ.ย.!U65+ธ.ค.!U65</f>
        <v>0</v>
      </c>
      <c r="V66" s="269">
        <f>+'ต.ค. '!V65+พ.ย.!V65+ธ.ค.!V65</f>
        <v>0</v>
      </c>
    </row>
    <row r="67" spans="1:22" ht="25.5" customHeight="1">
      <c r="A67" s="9"/>
      <c r="B67" s="187" t="s">
        <v>232</v>
      </c>
      <c r="C67" s="283">
        <v>120000</v>
      </c>
      <c r="D67" s="131"/>
      <c r="E67" s="269">
        <f>+'ต.ค. '!E66+พ.ย.!E66+ธ.ค.!E66</f>
        <v>0</v>
      </c>
      <c r="F67" s="269">
        <f>+'ต.ค. '!F66+พ.ย.!F66+ธ.ค.!F66</f>
        <v>0</v>
      </c>
      <c r="G67" s="269">
        <f>+'ต.ค. '!G66+พ.ย.!G66+ธ.ค.!G66</f>
        <v>0</v>
      </c>
      <c r="H67" s="269">
        <f>+'ต.ค. '!H66+พ.ย.!H66+ธ.ค.!H66</f>
        <v>0</v>
      </c>
      <c r="I67" s="269">
        <f>+'ต.ค. '!I66+พ.ย.!I66+ธ.ค.!I66</f>
        <v>0</v>
      </c>
      <c r="J67" s="269">
        <f>+'ต.ค. '!J66+พ.ย.!J66+ธ.ค.!J66</f>
        <v>0</v>
      </c>
      <c r="K67" s="269">
        <f>+'ต.ค. '!K66+พ.ย.!K66+ธ.ค.!K66</f>
        <v>0</v>
      </c>
      <c r="L67" s="269">
        <f>+'ต.ค. '!L66+พ.ย.!L66+ธ.ค.!L66</f>
        <v>0</v>
      </c>
      <c r="M67" s="269">
        <f>+'ต.ค. '!M66+พ.ย.!M66+ธ.ค.!M66</f>
        <v>0</v>
      </c>
      <c r="N67" s="269">
        <f>+'ต.ค. '!N66+พ.ย.!N66+ธ.ค.!N66</f>
        <v>0</v>
      </c>
      <c r="O67" s="269">
        <f>+'ต.ค. '!O66+พ.ย.!O66+ธ.ค.!O66</f>
        <v>0</v>
      </c>
      <c r="P67" s="269">
        <f>+'ต.ค. '!P66+พ.ย.!P66+ธ.ค.!P66</f>
        <v>0</v>
      </c>
      <c r="Q67" s="269">
        <f>+'ต.ค. '!Q66+พ.ย.!Q66+ธ.ค.!Q66</f>
        <v>0</v>
      </c>
      <c r="R67" s="269">
        <f>+'ต.ค. '!R66+พ.ย.!R66+ธ.ค.!R66</f>
        <v>0</v>
      </c>
      <c r="S67" s="269">
        <f>+'ต.ค. '!S66+พ.ย.!S66+ธ.ค.!S66</f>
        <v>0</v>
      </c>
      <c r="T67" s="269"/>
      <c r="U67" s="269">
        <f>+'ต.ค. '!U66+พ.ย.!U66+ธ.ค.!U66</f>
        <v>0</v>
      </c>
      <c r="V67" s="269">
        <f>+'ต.ค. '!V66+พ.ย.!V66+ธ.ค.!V66</f>
        <v>0</v>
      </c>
    </row>
    <row r="68" spans="1:22" ht="25.5" customHeight="1">
      <c r="A68" s="9"/>
      <c r="B68" s="187" t="s">
        <v>233</v>
      </c>
      <c r="C68" s="283">
        <v>125000</v>
      </c>
      <c r="D68" s="131"/>
      <c r="E68" s="269">
        <f>+'ต.ค. '!E67+พ.ย.!E67+ธ.ค.!E67</f>
        <v>0</v>
      </c>
      <c r="F68" s="269">
        <f>+'ต.ค. '!F67+พ.ย.!F67+ธ.ค.!F67</f>
        <v>0</v>
      </c>
      <c r="G68" s="269">
        <f>+'ต.ค. '!G67+พ.ย.!G67+ธ.ค.!G67</f>
        <v>0</v>
      </c>
      <c r="H68" s="269">
        <f>+'ต.ค. '!H67+พ.ย.!H67+ธ.ค.!H67</f>
        <v>0</v>
      </c>
      <c r="I68" s="269">
        <f>+'ต.ค. '!I67+พ.ย.!I67+ธ.ค.!I67</f>
        <v>0</v>
      </c>
      <c r="J68" s="269">
        <f>+'ต.ค. '!J67+พ.ย.!J67+ธ.ค.!J67</f>
        <v>0</v>
      </c>
      <c r="K68" s="269">
        <f>+'ต.ค. '!K67+พ.ย.!K67+ธ.ค.!K67</f>
        <v>0</v>
      </c>
      <c r="L68" s="269">
        <f>+'ต.ค. '!L67+พ.ย.!L67+ธ.ค.!L67</f>
        <v>0</v>
      </c>
      <c r="M68" s="269">
        <f>+'ต.ค. '!M67+พ.ย.!M67+ธ.ค.!M67</f>
        <v>0</v>
      </c>
      <c r="N68" s="269">
        <f>+'ต.ค. '!N67+พ.ย.!N67+ธ.ค.!N67</f>
        <v>0</v>
      </c>
      <c r="O68" s="269">
        <f>+'ต.ค. '!O67+พ.ย.!O67+ธ.ค.!O67</f>
        <v>0</v>
      </c>
      <c r="P68" s="269">
        <f>+'ต.ค. '!P67+พ.ย.!P67+ธ.ค.!P67</f>
        <v>0</v>
      </c>
      <c r="Q68" s="269">
        <f>+'ต.ค. '!Q67+พ.ย.!Q67+ธ.ค.!Q67</f>
        <v>0</v>
      </c>
      <c r="R68" s="269">
        <f>+'ต.ค. '!R67+พ.ย.!R67+ธ.ค.!R67</f>
        <v>0</v>
      </c>
      <c r="S68" s="269">
        <f>+'ต.ค. '!S67+พ.ย.!S67+ธ.ค.!S67</f>
        <v>0</v>
      </c>
      <c r="T68" s="269"/>
      <c r="U68" s="269">
        <f>+'ต.ค. '!U67+พ.ย.!U67+ธ.ค.!U67</f>
        <v>0</v>
      </c>
      <c r="V68" s="269">
        <f>+'ต.ค. '!V67+พ.ย.!V67+ธ.ค.!V67</f>
        <v>0</v>
      </c>
    </row>
    <row r="69" spans="1:22" ht="25.5" customHeight="1">
      <c r="A69" s="9"/>
      <c r="B69" s="187" t="s">
        <v>234</v>
      </c>
      <c r="C69" s="283">
        <v>5000</v>
      </c>
      <c r="D69" s="131"/>
      <c r="E69" s="269">
        <f>+'ต.ค. '!E68+พ.ย.!E68+ธ.ค.!E68</f>
        <v>0</v>
      </c>
      <c r="F69" s="269">
        <f>+'ต.ค. '!F68+พ.ย.!F68+ธ.ค.!F68</f>
        <v>0</v>
      </c>
      <c r="G69" s="269">
        <f>+'ต.ค. '!G68+พ.ย.!G68+ธ.ค.!G68</f>
        <v>0</v>
      </c>
      <c r="H69" s="269">
        <f>+'ต.ค. '!H68+พ.ย.!H68+ธ.ค.!H68</f>
        <v>0</v>
      </c>
      <c r="I69" s="269">
        <f>+'ต.ค. '!I68+พ.ย.!I68+ธ.ค.!I68</f>
        <v>0</v>
      </c>
      <c r="J69" s="269">
        <f>+'ต.ค. '!J68+พ.ย.!J68+ธ.ค.!J68</f>
        <v>0</v>
      </c>
      <c r="K69" s="269">
        <f>+'ต.ค. '!K68+พ.ย.!K68+ธ.ค.!K68</f>
        <v>0</v>
      </c>
      <c r="L69" s="269">
        <f>+'ต.ค. '!L68+พ.ย.!L68+ธ.ค.!L68</f>
        <v>0</v>
      </c>
      <c r="M69" s="269">
        <f>+'ต.ค. '!M68+พ.ย.!M68+ธ.ค.!M68</f>
        <v>0</v>
      </c>
      <c r="N69" s="269">
        <f>+'ต.ค. '!N68+พ.ย.!N68+ธ.ค.!N68</f>
        <v>0</v>
      </c>
      <c r="O69" s="269">
        <f>+'ต.ค. '!O68+พ.ย.!O68+ธ.ค.!O68</f>
        <v>0</v>
      </c>
      <c r="P69" s="269">
        <f>+'ต.ค. '!P68+พ.ย.!P68+ธ.ค.!P68</f>
        <v>0</v>
      </c>
      <c r="Q69" s="269">
        <f>+'ต.ค. '!Q68+พ.ย.!Q68+ธ.ค.!Q68</f>
        <v>0</v>
      </c>
      <c r="R69" s="269">
        <f>+'ต.ค. '!R68+พ.ย.!R68+ธ.ค.!R68</f>
        <v>0</v>
      </c>
      <c r="S69" s="269">
        <f>+'ต.ค. '!S68+พ.ย.!S68+ธ.ค.!S68</f>
        <v>0</v>
      </c>
      <c r="T69" s="269"/>
      <c r="U69" s="269">
        <f>+'ต.ค. '!U68+พ.ย.!U68+ธ.ค.!U68</f>
        <v>0</v>
      </c>
      <c r="V69" s="269">
        <f>+'ต.ค. '!V68+พ.ย.!V68+ธ.ค.!V68</f>
        <v>0</v>
      </c>
    </row>
    <row r="70" spans="1:22" ht="25.5" customHeight="1">
      <c r="A70" s="9"/>
      <c r="B70" s="187" t="s">
        <v>235</v>
      </c>
      <c r="C70" s="283">
        <v>90000</v>
      </c>
      <c r="D70" s="131"/>
      <c r="E70" s="269">
        <f>+'ต.ค. '!E69+พ.ย.!E69+ธ.ค.!E69</f>
        <v>0</v>
      </c>
      <c r="F70" s="269">
        <f>+'ต.ค. '!F69+พ.ย.!F69+ธ.ค.!F69</f>
        <v>0</v>
      </c>
      <c r="G70" s="269">
        <f>+'ต.ค. '!G69+พ.ย.!G69+ธ.ค.!G69</f>
        <v>0</v>
      </c>
      <c r="H70" s="269">
        <f>+'ต.ค. '!H69+พ.ย.!H69+ธ.ค.!H69</f>
        <v>0</v>
      </c>
      <c r="I70" s="269">
        <f>+'ต.ค. '!I69+พ.ย.!I69+ธ.ค.!I69</f>
        <v>0</v>
      </c>
      <c r="J70" s="269">
        <f>+'ต.ค. '!J69+พ.ย.!J69+ธ.ค.!J69</f>
        <v>0</v>
      </c>
      <c r="K70" s="269">
        <f>+'ต.ค. '!K69+พ.ย.!K69+ธ.ค.!K69</f>
        <v>0</v>
      </c>
      <c r="L70" s="269">
        <f>+'ต.ค. '!L69+พ.ย.!L69+ธ.ค.!L69</f>
        <v>0</v>
      </c>
      <c r="M70" s="269">
        <f>+'ต.ค. '!M69+พ.ย.!M69+ธ.ค.!M69</f>
        <v>0</v>
      </c>
      <c r="N70" s="269">
        <f>+'ต.ค. '!N69+พ.ย.!N69+ธ.ค.!N69</f>
        <v>0</v>
      </c>
      <c r="O70" s="269">
        <f>+'ต.ค. '!O69+พ.ย.!O69+ธ.ค.!O69</f>
        <v>0</v>
      </c>
      <c r="P70" s="269">
        <f>+'ต.ค. '!P69+พ.ย.!P69+ธ.ค.!P69</f>
        <v>0</v>
      </c>
      <c r="Q70" s="269">
        <f>+'ต.ค. '!Q69+พ.ย.!Q69+ธ.ค.!Q69</f>
        <v>0</v>
      </c>
      <c r="R70" s="269">
        <f>+'ต.ค. '!R69+พ.ย.!R69+ธ.ค.!R69</f>
        <v>0</v>
      </c>
      <c r="S70" s="269">
        <f>+'ต.ค. '!S69+พ.ย.!S69+ธ.ค.!S69</f>
        <v>0</v>
      </c>
      <c r="T70" s="269"/>
      <c r="U70" s="269">
        <f>+'ต.ค. '!U69+พ.ย.!U69+ธ.ค.!U69</f>
        <v>0</v>
      </c>
      <c r="V70" s="269">
        <f>+'ต.ค. '!V69+พ.ย.!V69+ธ.ค.!V69</f>
        <v>0</v>
      </c>
    </row>
    <row r="71" spans="1:22" ht="25.5" customHeight="1">
      <c r="A71" s="9"/>
      <c r="B71" s="187" t="s">
        <v>236</v>
      </c>
      <c r="C71" s="283">
        <v>5000</v>
      </c>
      <c r="D71" s="131"/>
      <c r="E71" s="269">
        <f>+'ต.ค. '!E70+พ.ย.!E70+ธ.ค.!E70</f>
        <v>0</v>
      </c>
      <c r="F71" s="269">
        <f>+'ต.ค. '!F70+พ.ย.!F70+ธ.ค.!F70</f>
        <v>0</v>
      </c>
      <c r="G71" s="269">
        <f>+'ต.ค. '!G70+พ.ย.!G70+ธ.ค.!G70</f>
        <v>0</v>
      </c>
      <c r="H71" s="269">
        <f>+'ต.ค. '!H70+พ.ย.!H70+ธ.ค.!H70</f>
        <v>0</v>
      </c>
      <c r="I71" s="269">
        <f>+'ต.ค. '!I70+พ.ย.!I70+ธ.ค.!I70</f>
        <v>0</v>
      </c>
      <c r="J71" s="269">
        <f>+'ต.ค. '!J70+พ.ย.!J70+ธ.ค.!J70</f>
        <v>0</v>
      </c>
      <c r="K71" s="269">
        <f>+'ต.ค. '!K70+พ.ย.!K70+ธ.ค.!K70</f>
        <v>0</v>
      </c>
      <c r="L71" s="269">
        <f>+'ต.ค. '!L70+พ.ย.!L70+ธ.ค.!L70</f>
        <v>0</v>
      </c>
      <c r="M71" s="269">
        <f>+'ต.ค. '!M70+พ.ย.!M70+ธ.ค.!M70</f>
        <v>0</v>
      </c>
      <c r="N71" s="269">
        <f>+'ต.ค. '!N70+พ.ย.!N70+ธ.ค.!N70</f>
        <v>0</v>
      </c>
      <c r="O71" s="269">
        <f>+'ต.ค. '!O70+พ.ย.!O70+ธ.ค.!O70</f>
        <v>0</v>
      </c>
      <c r="P71" s="269">
        <f>+'ต.ค. '!P70+พ.ย.!P70+ธ.ค.!P70</f>
        <v>0</v>
      </c>
      <c r="Q71" s="269">
        <f>+'ต.ค. '!Q70+พ.ย.!Q70+ธ.ค.!Q70</f>
        <v>0</v>
      </c>
      <c r="R71" s="269">
        <f>+'ต.ค. '!R70+พ.ย.!R70+ธ.ค.!R70</f>
        <v>0</v>
      </c>
      <c r="S71" s="269">
        <f>+'ต.ค. '!S70+พ.ย.!S70+ธ.ค.!S70</f>
        <v>0</v>
      </c>
      <c r="T71" s="269"/>
      <c r="U71" s="269">
        <f>+'ต.ค. '!U70+พ.ย.!U70+ธ.ค.!U70</f>
        <v>0</v>
      </c>
      <c r="V71" s="269">
        <f>+'ต.ค. '!V70+พ.ย.!V70+ธ.ค.!V70</f>
        <v>0</v>
      </c>
    </row>
    <row r="72" spans="1:22" ht="25.5" customHeight="1">
      <c r="A72" s="9"/>
      <c r="B72" s="187" t="s">
        <v>237</v>
      </c>
      <c r="C72" s="283">
        <v>5000</v>
      </c>
      <c r="D72" s="131"/>
      <c r="E72" s="269">
        <f>+'ต.ค. '!E71+พ.ย.!E71+ธ.ค.!E71</f>
        <v>0</v>
      </c>
      <c r="F72" s="269">
        <f>+'ต.ค. '!F71+พ.ย.!F71+ธ.ค.!F71</f>
        <v>0</v>
      </c>
      <c r="G72" s="269">
        <f>+'ต.ค. '!G71+พ.ย.!G71+ธ.ค.!G71</f>
        <v>0</v>
      </c>
      <c r="H72" s="269">
        <f>+'ต.ค. '!H71+พ.ย.!H71+ธ.ค.!H71</f>
        <v>0</v>
      </c>
      <c r="I72" s="269">
        <f>+'ต.ค. '!I71+พ.ย.!I71+ธ.ค.!I71</f>
        <v>0</v>
      </c>
      <c r="J72" s="269">
        <f>+'ต.ค. '!J71+พ.ย.!J71+ธ.ค.!J71</f>
        <v>0</v>
      </c>
      <c r="K72" s="269">
        <f>+'ต.ค. '!K71+พ.ย.!K71+ธ.ค.!K71</f>
        <v>0</v>
      </c>
      <c r="L72" s="269">
        <f>+'ต.ค. '!L71+พ.ย.!L71+ธ.ค.!L71</f>
        <v>0</v>
      </c>
      <c r="M72" s="269">
        <f>+'ต.ค. '!M71+พ.ย.!M71+ธ.ค.!M71</f>
        <v>0</v>
      </c>
      <c r="N72" s="269">
        <f>+'ต.ค. '!N71+พ.ย.!N71+ธ.ค.!N71</f>
        <v>0</v>
      </c>
      <c r="O72" s="269">
        <f>+'ต.ค. '!O71+พ.ย.!O71+ธ.ค.!O71</f>
        <v>0</v>
      </c>
      <c r="P72" s="269">
        <f>+'ต.ค. '!P71+พ.ย.!P71+ธ.ค.!P71</f>
        <v>0</v>
      </c>
      <c r="Q72" s="269">
        <f>+'ต.ค. '!Q71+พ.ย.!Q71+ธ.ค.!Q71</f>
        <v>0</v>
      </c>
      <c r="R72" s="269">
        <f>+'ต.ค. '!R71+พ.ย.!R71+ธ.ค.!R71</f>
        <v>0</v>
      </c>
      <c r="S72" s="269">
        <f>+'ต.ค. '!S71+พ.ย.!S71+ธ.ค.!S71</f>
        <v>0</v>
      </c>
      <c r="T72" s="269"/>
      <c r="U72" s="269">
        <f>+'ต.ค. '!U71+พ.ย.!U71+ธ.ค.!U71</f>
        <v>0</v>
      </c>
      <c r="V72" s="269">
        <f>+'ต.ค. '!V71+พ.ย.!V71+ธ.ค.!V71</f>
        <v>0</v>
      </c>
    </row>
    <row r="73" spans="1:22" ht="25.5" customHeight="1">
      <c r="A73" s="165"/>
      <c r="B73" s="226" t="s">
        <v>277</v>
      </c>
      <c r="C73" s="279">
        <v>5000</v>
      </c>
      <c r="D73" s="131"/>
      <c r="E73" s="269">
        <f>+'ต.ค. '!E72+พ.ย.!E72+ธ.ค.!E72</f>
        <v>0</v>
      </c>
      <c r="F73" s="269">
        <f>+'ต.ค. '!F72+พ.ย.!F72+ธ.ค.!F72</f>
        <v>0</v>
      </c>
      <c r="G73" s="269">
        <f>+'ต.ค. '!G72+พ.ย.!G72+ธ.ค.!G72</f>
        <v>0</v>
      </c>
      <c r="H73" s="269">
        <f>+'ต.ค. '!H72+พ.ย.!H72+ธ.ค.!H72</f>
        <v>0</v>
      </c>
      <c r="I73" s="269">
        <f>+'ต.ค. '!I72+พ.ย.!I72+ธ.ค.!I72</f>
        <v>0</v>
      </c>
      <c r="J73" s="269">
        <f>+'ต.ค. '!J72+พ.ย.!J72+ธ.ค.!J72</f>
        <v>0</v>
      </c>
      <c r="K73" s="269">
        <f>+'ต.ค. '!K72+พ.ย.!K72+ธ.ค.!K72</f>
        <v>0</v>
      </c>
      <c r="L73" s="269">
        <f>+'ต.ค. '!L72+พ.ย.!L72+ธ.ค.!L72</f>
        <v>0</v>
      </c>
      <c r="M73" s="269">
        <f>+'ต.ค. '!M72+พ.ย.!M72+ธ.ค.!M72</f>
        <v>0</v>
      </c>
      <c r="N73" s="269">
        <f>+'ต.ค. '!N72+พ.ย.!N72+ธ.ค.!N72</f>
        <v>0</v>
      </c>
      <c r="O73" s="269">
        <f>+'ต.ค. '!O72+พ.ย.!O72+ธ.ค.!O72</f>
        <v>0</v>
      </c>
      <c r="P73" s="269">
        <f>+'ต.ค. '!P72+พ.ย.!P72+ธ.ค.!P72</f>
        <v>0</v>
      </c>
      <c r="Q73" s="269">
        <f>+'ต.ค. '!Q72+พ.ย.!Q72+ธ.ค.!Q72</f>
        <v>0</v>
      </c>
      <c r="R73" s="269">
        <f>+'ต.ค. '!R72+พ.ย.!R72+ธ.ค.!R72</f>
        <v>0</v>
      </c>
      <c r="S73" s="269">
        <f>+'ต.ค. '!S72+พ.ย.!S72+ธ.ค.!S72</f>
        <v>0</v>
      </c>
      <c r="T73" s="269"/>
      <c r="U73" s="269">
        <f>+'ต.ค. '!U72+พ.ย.!U72+ธ.ค.!U72</f>
        <v>0</v>
      </c>
      <c r="V73" s="269">
        <f>+'ต.ค. '!V72+พ.ย.!V72+ธ.ค.!V72</f>
        <v>0</v>
      </c>
    </row>
    <row r="74" spans="1:22" ht="25.5" customHeight="1">
      <c r="A74" s="165"/>
      <c r="B74" s="226" t="s">
        <v>107</v>
      </c>
      <c r="C74" s="279">
        <v>10000</v>
      </c>
      <c r="D74" s="131"/>
      <c r="E74" s="269">
        <f>+'ต.ค. '!E73+พ.ย.!E73+ธ.ค.!E73</f>
        <v>0</v>
      </c>
      <c r="F74" s="269">
        <f>+'ต.ค. '!F73+พ.ย.!F73+ธ.ค.!F73</f>
        <v>0</v>
      </c>
      <c r="G74" s="269">
        <f>+'ต.ค. '!G73+พ.ย.!G73+ธ.ค.!G73</f>
        <v>0</v>
      </c>
      <c r="H74" s="269">
        <f>+'ต.ค. '!H73+พ.ย.!H73+ธ.ค.!H73</f>
        <v>0</v>
      </c>
      <c r="I74" s="269">
        <f>+'ต.ค. '!I73+พ.ย.!I73+ธ.ค.!I73</f>
        <v>0</v>
      </c>
      <c r="J74" s="269">
        <f>+'ต.ค. '!J73+พ.ย.!J73+ธ.ค.!J73</f>
        <v>0</v>
      </c>
      <c r="K74" s="269">
        <f>+'ต.ค. '!K73+พ.ย.!K73+ธ.ค.!K73</f>
        <v>0</v>
      </c>
      <c r="L74" s="269">
        <f>+'ต.ค. '!L73+พ.ย.!L73+ธ.ค.!L73</f>
        <v>0</v>
      </c>
      <c r="M74" s="269">
        <f>+'ต.ค. '!M73+พ.ย.!M73+ธ.ค.!M73</f>
        <v>0</v>
      </c>
      <c r="N74" s="269">
        <f>+'ต.ค. '!N73+พ.ย.!N73+ธ.ค.!N73</f>
        <v>0</v>
      </c>
      <c r="O74" s="269">
        <f>+'ต.ค. '!O73+พ.ย.!O73+ธ.ค.!O73</f>
        <v>0</v>
      </c>
      <c r="P74" s="269">
        <f>+'ต.ค. '!P73+พ.ย.!P73+ธ.ค.!P73</f>
        <v>0</v>
      </c>
      <c r="Q74" s="269">
        <f>+'ต.ค. '!Q73+พ.ย.!Q73+ธ.ค.!Q73</f>
        <v>0</v>
      </c>
      <c r="R74" s="269">
        <f>+'ต.ค. '!R73+พ.ย.!R73+ธ.ค.!R73</f>
        <v>0</v>
      </c>
      <c r="S74" s="269">
        <f>+'ต.ค. '!S73+พ.ย.!S73+ธ.ค.!S73</f>
        <v>0</v>
      </c>
      <c r="T74" s="269"/>
      <c r="U74" s="269">
        <f>+'ต.ค. '!U73+พ.ย.!U73+ธ.ค.!U73</f>
        <v>0</v>
      </c>
      <c r="V74" s="269">
        <f>+'ต.ค. '!V73+พ.ย.!V73+ธ.ค.!V73</f>
        <v>0</v>
      </c>
    </row>
    <row r="75" spans="1:22" ht="25.5" customHeight="1">
      <c r="A75" s="9"/>
      <c r="B75" s="226" t="s">
        <v>278</v>
      </c>
      <c r="C75" s="279">
        <v>10000</v>
      </c>
      <c r="D75" s="195"/>
      <c r="E75" s="269">
        <f>+'ต.ค. '!E74+พ.ย.!E74+ธ.ค.!E74</f>
        <v>0</v>
      </c>
      <c r="F75" s="269">
        <f>+'ต.ค. '!F74+พ.ย.!F74+ธ.ค.!F74</f>
        <v>0</v>
      </c>
      <c r="G75" s="269">
        <f>+'ต.ค. '!G74+พ.ย.!G74+ธ.ค.!G74</f>
        <v>0</v>
      </c>
      <c r="H75" s="269">
        <f>+'ต.ค. '!H74+พ.ย.!H74+ธ.ค.!H74</f>
        <v>0</v>
      </c>
      <c r="I75" s="269">
        <f>+'ต.ค. '!I74+พ.ย.!I74+ธ.ค.!I74</f>
        <v>0</v>
      </c>
      <c r="J75" s="269">
        <f>+'ต.ค. '!J74+พ.ย.!J74+ธ.ค.!J74</f>
        <v>0</v>
      </c>
      <c r="K75" s="269">
        <f>+'ต.ค. '!K74+พ.ย.!K74+ธ.ค.!K74</f>
        <v>0</v>
      </c>
      <c r="L75" s="269">
        <f>+'ต.ค. '!L74+พ.ย.!L74+ธ.ค.!L74</f>
        <v>0</v>
      </c>
      <c r="M75" s="269">
        <f>+'ต.ค. '!M74+พ.ย.!M74+ธ.ค.!M74</f>
        <v>0</v>
      </c>
      <c r="N75" s="269">
        <f>+'ต.ค. '!N74+พ.ย.!N74+ธ.ค.!N74</f>
        <v>0</v>
      </c>
      <c r="O75" s="269">
        <f>+'ต.ค. '!O74+พ.ย.!O74+ธ.ค.!O74</f>
        <v>0</v>
      </c>
      <c r="P75" s="269">
        <f>+'ต.ค. '!P74+พ.ย.!P74+ธ.ค.!P74</f>
        <v>0</v>
      </c>
      <c r="Q75" s="269">
        <f>+'ต.ค. '!Q74+พ.ย.!Q74+ธ.ค.!Q74</f>
        <v>0</v>
      </c>
      <c r="R75" s="269">
        <f>+'ต.ค. '!R74+พ.ย.!R74+ธ.ค.!R74</f>
        <v>0</v>
      </c>
      <c r="S75" s="269">
        <f>+'ต.ค. '!S74+พ.ย.!S74+ธ.ค.!S74</f>
        <v>0</v>
      </c>
      <c r="T75" s="269"/>
      <c r="U75" s="269">
        <f>+'ต.ค. '!U74+พ.ย.!U74+ธ.ค.!U74</f>
        <v>0</v>
      </c>
      <c r="V75" s="269">
        <f>+'ต.ค. '!V74+พ.ย.!V74+ธ.ค.!V74</f>
        <v>0</v>
      </c>
    </row>
    <row r="76" spans="1:22" ht="25.5" customHeight="1">
      <c r="A76" s="165"/>
      <c r="B76" s="226" t="s">
        <v>279</v>
      </c>
      <c r="C76" s="279">
        <v>10000</v>
      </c>
      <c r="D76" s="195"/>
      <c r="E76" s="269">
        <f>+'ต.ค. '!E75+พ.ย.!E75+ธ.ค.!E75</f>
        <v>0</v>
      </c>
      <c r="F76" s="269">
        <f>+'ต.ค. '!F75+พ.ย.!F75+ธ.ค.!F75</f>
        <v>0</v>
      </c>
      <c r="G76" s="269">
        <f>+'ต.ค. '!G75+พ.ย.!G75+ธ.ค.!G75</f>
        <v>0</v>
      </c>
      <c r="H76" s="269">
        <f>+'ต.ค. '!H75+พ.ย.!H75+ธ.ค.!H75</f>
        <v>0</v>
      </c>
      <c r="I76" s="269">
        <f>+'ต.ค. '!I75+พ.ย.!I75+ธ.ค.!I75</f>
        <v>0</v>
      </c>
      <c r="J76" s="269">
        <f>+'ต.ค. '!J75+พ.ย.!J75+ธ.ค.!J75</f>
        <v>0</v>
      </c>
      <c r="K76" s="269">
        <f>+'ต.ค. '!K75+พ.ย.!K75+ธ.ค.!K75</f>
        <v>0</v>
      </c>
      <c r="L76" s="269">
        <f>+'ต.ค. '!L75+พ.ย.!L75+ธ.ค.!L75</f>
        <v>0</v>
      </c>
      <c r="M76" s="269">
        <f>+'ต.ค. '!M75+พ.ย.!M75+ธ.ค.!M75</f>
        <v>0</v>
      </c>
      <c r="N76" s="269">
        <f>+'ต.ค. '!N75+พ.ย.!N75+ธ.ค.!N75</f>
        <v>0</v>
      </c>
      <c r="O76" s="269">
        <f>+'ต.ค. '!O75+พ.ย.!O75+ธ.ค.!O75</f>
        <v>0</v>
      </c>
      <c r="P76" s="269">
        <f>+'ต.ค. '!P75+พ.ย.!P75+ธ.ค.!P75</f>
        <v>0</v>
      </c>
      <c r="Q76" s="269">
        <f>+'ต.ค. '!Q75+พ.ย.!Q75+ธ.ค.!Q75</f>
        <v>0</v>
      </c>
      <c r="R76" s="269">
        <f>+'ต.ค. '!R75+พ.ย.!R75+ธ.ค.!R75</f>
        <v>0</v>
      </c>
      <c r="S76" s="269">
        <f>+'ต.ค. '!S75+พ.ย.!S75+ธ.ค.!S75</f>
        <v>0</v>
      </c>
      <c r="T76" s="269"/>
      <c r="U76" s="269">
        <f>+'ต.ค. '!U75+พ.ย.!U75+ธ.ค.!U75</f>
        <v>0</v>
      </c>
      <c r="V76" s="269">
        <f>+'ต.ค. '!V75+พ.ย.!V75+ธ.ค.!V75</f>
        <v>0</v>
      </c>
    </row>
    <row r="77" spans="1:22" ht="25.5" customHeight="1">
      <c r="A77" s="9"/>
      <c r="B77" s="226" t="s">
        <v>280</v>
      </c>
      <c r="C77" s="279">
        <v>10000</v>
      </c>
      <c r="D77" s="195"/>
      <c r="E77" s="269">
        <f>+'ต.ค. '!E76+พ.ย.!E76+ธ.ค.!E76</f>
        <v>0</v>
      </c>
      <c r="F77" s="269">
        <f>+'ต.ค. '!F76+พ.ย.!F76+ธ.ค.!F76</f>
        <v>0</v>
      </c>
      <c r="G77" s="269">
        <f>+'ต.ค. '!G76+พ.ย.!G76+ธ.ค.!G76</f>
        <v>0</v>
      </c>
      <c r="H77" s="269">
        <f>+'ต.ค. '!H76+พ.ย.!H76+ธ.ค.!H76</f>
        <v>0</v>
      </c>
      <c r="I77" s="269">
        <f>+'ต.ค. '!I76+พ.ย.!I76+ธ.ค.!I76</f>
        <v>0</v>
      </c>
      <c r="J77" s="269">
        <f>+'ต.ค. '!J76+พ.ย.!J76+ธ.ค.!J76</f>
        <v>0</v>
      </c>
      <c r="K77" s="269">
        <f>+'ต.ค. '!K76+พ.ย.!K76+ธ.ค.!K76</f>
        <v>0</v>
      </c>
      <c r="L77" s="269">
        <f>+'ต.ค. '!L76+พ.ย.!L76+ธ.ค.!L76</f>
        <v>0</v>
      </c>
      <c r="M77" s="269">
        <f>+'ต.ค. '!M76+พ.ย.!M76+ธ.ค.!M76</f>
        <v>0</v>
      </c>
      <c r="N77" s="269">
        <f>+'ต.ค. '!N76+พ.ย.!N76+ธ.ค.!N76</f>
        <v>0</v>
      </c>
      <c r="O77" s="269">
        <f>+'ต.ค. '!O76+พ.ย.!O76+ธ.ค.!O76</f>
        <v>0</v>
      </c>
      <c r="P77" s="269">
        <f>+'ต.ค. '!P76+พ.ย.!P76+ธ.ค.!P76</f>
        <v>0</v>
      </c>
      <c r="Q77" s="269">
        <f>+'ต.ค. '!Q76+พ.ย.!Q76+ธ.ค.!Q76</f>
        <v>0</v>
      </c>
      <c r="R77" s="269">
        <f>+'ต.ค. '!R76+พ.ย.!R76+ธ.ค.!R76</f>
        <v>0</v>
      </c>
      <c r="S77" s="269">
        <f>+'ต.ค. '!S76+พ.ย.!S76+ธ.ค.!S76</f>
        <v>0</v>
      </c>
      <c r="T77" s="269"/>
      <c r="U77" s="269">
        <f>+'ต.ค. '!U76+พ.ย.!U76+ธ.ค.!U76</f>
        <v>0</v>
      </c>
      <c r="V77" s="269">
        <f>+'ต.ค. '!V76+พ.ย.!V76+ธ.ค.!V76</f>
        <v>0</v>
      </c>
    </row>
    <row r="78" spans="1:22" ht="25.5" customHeight="1">
      <c r="A78" s="9"/>
      <c r="B78" s="226" t="s">
        <v>281</v>
      </c>
      <c r="C78" s="279">
        <v>5000</v>
      </c>
      <c r="D78" s="195"/>
      <c r="E78" s="269">
        <f>+'ต.ค. '!E77+พ.ย.!E77+ธ.ค.!E77</f>
        <v>0</v>
      </c>
      <c r="F78" s="269">
        <f>+'ต.ค. '!F77+พ.ย.!F77+ธ.ค.!F77</f>
        <v>0</v>
      </c>
      <c r="G78" s="269">
        <f>+'ต.ค. '!G77+พ.ย.!G77+ธ.ค.!G77</f>
        <v>0</v>
      </c>
      <c r="H78" s="269">
        <f>+'ต.ค. '!H77+พ.ย.!H77+ธ.ค.!H77</f>
        <v>0</v>
      </c>
      <c r="I78" s="269">
        <f>+'ต.ค. '!I77+พ.ย.!I77+ธ.ค.!I77</f>
        <v>0</v>
      </c>
      <c r="J78" s="269">
        <f>+'ต.ค. '!J77+พ.ย.!J77+ธ.ค.!J77</f>
        <v>0</v>
      </c>
      <c r="K78" s="269">
        <f>+'ต.ค. '!K77+พ.ย.!K77+ธ.ค.!K77</f>
        <v>0</v>
      </c>
      <c r="L78" s="269">
        <f>+'ต.ค. '!L77+พ.ย.!L77+ธ.ค.!L77</f>
        <v>0</v>
      </c>
      <c r="M78" s="269">
        <f>+'ต.ค. '!M77+พ.ย.!M77+ธ.ค.!M77</f>
        <v>0</v>
      </c>
      <c r="N78" s="269">
        <f>+'ต.ค. '!N77+พ.ย.!N77+ธ.ค.!N77</f>
        <v>0</v>
      </c>
      <c r="O78" s="269">
        <f>+'ต.ค. '!O77+พ.ย.!O77+ธ.ค.!O77</f>
        <v>0</v>
      </c>
      <c r="P78" s="269">
        <f>+'ต.ค. '!P77+พ.ย.!P77+ธ.ค.!P77</f>
        <v>0</v>
      </c>
      <c r="Q78" s="269">
        <f>+'ต.ค. '!Q77+พ.ย.!Q77+ธ.ค.!Q77</f>
        <v>0</v>
      </c>
      <c r="R78" s="269">
        <f>+'ต.ค. '!R77+พ.ย.!R77+ธ.ค.!R77</f>
        <v>0</v>
      </c>
      <c r="S78" s="269">
        <f>+'ต.ค. '!S77+พ.ย.!S77+ธ.ค.!S77</f>
        <v>0</v>
      </c>
      <c r="T78" s="269"/>
      <c r="U78" s="269">
        <f>+'ต.ค. '!U77+พ.ย.!U77+ธ.ค.!U77</f>
        <v>0</v>
      </c>
      <c r="V78" s="269">
        <f>+'ต.ค. '!V77+พ.ย.!V77+ธ.ค.!V77</f>
        <v>0</v>
      </c>
    </row>
    <row r="79" spans="1:22" ht="25.5" customHeight="1">
      <c r="A79" s="9"/>
      <c r="B79" s="226" t="s">
        <v>282</v>
      </c>
      <c r="C79" s="279">
        <v>5000</v>
      </c>
      <c r="D79" s="195"/>
      <c r="E79" s="269">
        <f>+'ต.ค. '!E78+พ.ย.!E78+ธ.ค.!E78</f>
        <v>0</v>
      </c>
      <c r="F79" s="269">
        <f>+'ต.ค. '!F78+พ.ย.!F78+ธ.ค.!F78</f>
        <v>0</v>
      </c>
      <c r="G79" s="269">
        <f>+'ต.ค. '!G78+พ.ย.!G78+ธ.ค.!G78</f>
        <v>0</v>
      </c>
      <c r="H79" s="269">
        <f>+'ต.ค. '!H78+พ.ย.!H78+ธ.ค.!H78</f>
        <v>0</v>
      </c>
      <c r="I79" s="269">
        <f>+'ต.ค. '!I78+พ.ย.!I78+ธ.ค.!I78</f>
        <v>0</v>
      </c>
      <c r="J79" s="269">
        <f>+'ต.ค. '!J78+พ.ย.!J78+ธ.ค.!J78</f>
        <v>0</v>
      </c>
      <c r="K79" s="269">
        <f>+'ต.ค. '!K78+พ.ย.!K78+ธ.ค.!K78</f>
        <v>0</v>
      </c>
      <c r="L79" s="269">
        <f>+'ต.ค. '!L78+พ.ย.!L78+ธ.ค.!L78</f>
        <v>0</v>
      </c>
      <c r="M79" s="269">
        <f>+'ต.ค. '!M78+พ.ย.!M78+ธ.ค.!M78</f>
        <v>0</v>
      </c>
      <c r="N79" s="269">
        <f>+'ต.ค. '!N78+พ.ย.!N78+ธ.ค.!N78</f>
        <v>0</v>
      </c>
      <c r="O79" s="269">
        <f>+'ต.ค. '!O78+พ.ย.!O78+ธ.ค.!O78</f>
        <v>0</v>
      </c>
      <c r="P79" s="269">
        <f>+'ต.ค. '!P78+พ.ย.!P78+ธ.ค.!P78</f>
        <v>0</v>
      </c>
      <c r="Q79" s="269">
        <f>+'ต.ค. '!Q78+พ.ย.!Q78+ธ.ค.!Q78</f>
        <v>0</v>
      </c>
      <c r="R79" s="269">
        <f>+'ต.ค. '!R78+พ.ย.!R78+ธ.ค.!R78</f>
        <v>0</v>
      </c>
      <c r="S79" s="269">
        <f>+'ต.ค. '!S78+พ.ย.!S78+ธ.ค.!S78</f>
        <v>0</v>
      </c>
      <c r="T79" s="269"/>
      <c r="U79" s="269">
        <f>+'ต.ค. '!U78+พ.ย.!U78+ธ.ค.!U78</f>
        <v>0</v>
      </c>
      <c r="V79" s="269">
        <f>+'ต.ค. '!V78+พ.ย.!V78+ธ.ค.!V78</f>
        <v>0</v>
      </c>
    </row>
    <row r="80" spans="1:22" ht="25.5" customHeight="1">
      <c r="A80" s="9"/>
      <c r="B80" s="226" t="s">
        <v>238</v>
      </c>
      <c r="C80" s="279">
        <f>70000+40000+10000+20000</f>
        <v>140000</v>
      </c>
      <c r="D80" s="195"/>
      <c r="E80" s="269">
        <f>+'ต.ค. '!E79+พ.ย.!E79+ธ.ค.!E79</f>
        <v>21076</v>
      </c>
      <c r="F80" s="269">
        <f>+'ต.ค. '!F79+พ.ย.!F79+ธ.ค.!F79</f>
        <v>0</v>
      </c>
      <c r="G80" s="269">
        <f>+'ต.ค. '!G79+พ.ย.!G79+ธ.ค.!G79</f>
        <v>0</v>
      </c>
      <c r="H80" s="269">
        <f>+'ต.ค. '!H79+พ.ย.!H79+ธ.ค.!H79</f>
        <v>54000</v>
      </c>
      <c r="I80" s="269">
        <f>+'ต.ค. '!I79+พ.ย.!I79+ธ.ค.!I79</f>
        <v>0</v>
      </c>
      <c r="J80" s="269">
        <f>+'ต.ค. '!J79+พ.ย.!J79+ธ.ค.!J79</f>
        <v>0</v>
      </c>
      <c r="K80" s="269">
        <f>+'ต.ค. '!K79+พ.ย.!K79+ธ.ค.!K79</f>
        <v>0</v>
      </c>
      <c r="L80" s="269">
        <f>+'ต.ค. '!L79+พ.ย.!L79+ธ.ค.!L79</f>
        <v>0</v>
      </c>
      <c r="M80" s="269">
        <f>+'ต.ค. '!M79+พ.ย.!M79+ธ.ค.!M79</f>
        <v>0</v>
      </c>
      <c r="N80" s="269">
        <f>+'ต.ค. '!N79+พ.ย.!N79+ธ.ค.!N79</f>
        <v>0</v>
      </c>
      <c r="O80" s="269">
        <f>+'ต.ค. '!O79+พ.ย.!O79+ธ.ค.!O79</f>
        <v>0</v>
      </c>
      <c r="P80" s="269">
        <f>+'ต.ค. '!P79+พ.ย.!P79+ธ.ค.!P79</f>
        <v>0</v>
      </c>
      <c r="Q80" s="269">
        <f>+'ต.ค. '!Q79+พ.ย.!Q79+ธ.ค.!Q79</f>
        <v>0</v>
      </c>
      <c r="R80" s="269">
        <f>+'ต.ค. '!R79+พ.ย.!R79+ธ.ค.!R79</f>
        <v>0</v>
      </c>
      <c r="S80" s="269">
        <f>+'ต.ค. '!S79+พ.ย.!S79+ธ.ค.!S79</f>
        <v>0</v>
      </c>
      <c r="T80" s="269"/>
      <c r="U80" s="269">
        <f>+'ต.ค. '!U79+พ.ย.!U79+ธ.ค.!U79</f>
        <v>0</v>
      </c>
      <c r="V80" s="269">
        <f>+'ต.ค. '!V79+พ.ย.!V79+ธ.ค.!V79</f>
        <v>0</v>
      </c>
    </row>
    <row r="81" spans="1:22" ht="25.5" customHeight="1">
      <c r="A81" s="9"/>
      <c r="B81" s="226" t="s">
        <v>121</v>
      </c>
      <c r="C81" s="279">
        <v>100000</v>
      </c>
      <c r="D81" s="195"/>
      <c r="E81" s="269">
        <f>+'ต.ค. '!E80+พ.ย.!E80+ธ.ค.!E80</f>
        <v>0</v>
      </c>
      <c r="F81" s="269">
        <f>+'ต.ค. '!F80+พ.ย.!F80+ธ.ค.!F80</f>
        <v>0</v>
      </c>
      <c r="G81" s="269">
        <f>+'ต.ค. '!G80+พ.ย.!G80+ธ.ค.!G80</f>
        <v>0</v>
      </c>
      <c r="H81" s="269">
        <f>+'ต.ค. '!H80+พ.ย.!H80+ธ.ค.!H80</f>
        <v>0</v>
      </c>
      <c r="I81" s="269">
        <f>+'ต.ค. '!I80+พ.ย.!I80+ธ.ค.!I80</f>
        <v>0</v>
      </c>
      <c r="J81" s="269">
        <f>+'ต.ค. '!J80+พ.ย.!J80+ธ.ค.!J80</f>
        <v>0</v>
      </c>
      <c r="K81" s="269">
        <f>+'ต.ค. '!K80+พ.ย.!K80+ธ.ค.!K80</f>
        <v>0</v>
      </c>
      <c r="L81" s="269">
        <f>+'ต.ค. '!L80+พ.ย.!L80+ธ.ค.!L80</f>
        <v>0</v>
      </c>
      <c r="M81" s="269">
        <f>+'ต.ค. '!M80+พ.ย.!M80+ธ.ค.!M80</f>
        <v>0</v>
      </c>
      <c r="N81" s="269">
        <f>+'ต.ค. '!N80+พ.ย.!N80+ธ.ค.!N80</f>
        <v>0</v>
      </c>
      <c r="O81" s="269">
        <f>+'ต.ค. '!O80+พ.ย.!O80+ธ.ค.!O80</f>
        <v>0</v>
      </c>
      <c r="P81" s="269">
        <f>+'ต.ค. '!P80+พ.ย.!P80+ธ.ค.!P80</f>
        <v>0</v>
      </c>
      <c r="Q81" s="269">
        <f>+'ต.ค. '!Q80+พ.ย.!Q80+ธ.ค.!Q80</f>
        <v>0</v>
      </c>
      <c r="R81" s="269">
        <f>+'ต.ค. '!R80+พ.ย.!R80+ธ.ค.!R80</f>
        <v>0</v>
      </c>
      <c r="S81" s="269">
        <f>+'ต.ค. '!S80+พ.ย.!S80+ธ.ค.!S80</f>
        <v>0</v>
      </c>
      <c r="T81" s="269"/>
      <c r="U81" s="269">
        <f>+'ต.ค. '!U80+พ.ย.!U80+ธ.ค.!U80</f>
        <v>0</v>
      </c>
      <c r="V81" s="269">
        <f>+'ต.ค. '!V80+พ.ย.!V80+ธ.ค.!V80</f>
        <v>0</v>
      </c>
    </row>
    <row r="82" spans="1:22" ht="25.5" customHeight="1">
      <c r="A82" s="9"/>
      <c r="B82" s="226" t="s">
        <v>295</v>
      </c>
      <c r="C82" s="279">
        <v>40000</v>
      </c>
      <c r="D82" s="195"/>
      <c r="E82" s="269">
        <f>+'ต.ค. '!E81+พ.ย.!E81+ธ.ค.!E81</f>
        <v>0</v>
      </c>
      <c r="F82" s="269">
        <f>+'ต.ค. '!F81+พ.ย.!F81+ธ.ค.!F81</f>
        <v>0</v>
      </c>
      <c r="G82" s="269">
        <f>+'ต.ค. '!G81+พ.ย.!G81+ธ.ค.!G81</f>
        <v>0</v>
      </c>
      <c r="H82" s="269">
        <f>+'ต.ค. '!H81+พ.ย.!H81+ธ.ค.!H81</f>
        <v>0</v>
      </c>
      <c r="I82" s="269">
        <f>+'ต.ค. '!I81+พ.ย.!I81+ธ.ค.!I81</f>
        <v>0</v>
      </c>
      <c r="J82" s="269">
        <f>+'ต.ค. '!J81+พ.ย.!J81+ธ.ค.!J81</f>
        <v>0</v>
      </c>
      <c r="K82" s="269">
        <f>+'ต.ค. '!K81+พ.ย.!K81+ธ.ค.!K81</f>
        <v>0</v>
      </c>
      <c r="L82" s="269">
        <f>+'ต.ค. '!L81+พ.ย.!L81+ธ.ค.!L81</f>
        <v>0</v>
      </c>
      <c r="M82" s="269">
        <f>+'ต.ค. '!M81+พ.ย.!M81+ธ.ค.!M81</f>
        <v>0</v>
      </c>
      <c r="N82" s="269">
        <f>+'ต.ค. '!N81+พ.ย.!N81+ธ.ค.!N81</f>
        <v>0</v>
      </c>
      <c r="O82" s="269">
        <f>+'ต.ค. '!O81+พ.ย.!O81+ธ.ค.!O81</f>
        <v>0</v>
      </c>
      <c r="P82" s="269">
        <f>+'ต.ค. '!P81+พ.ย.!P81+ธ.ค.!P81</f>
        <v>0</v>
      </c>
      <c r="Q82" s="269">
        <f>+'ต.ค. '!Q81+พ.ย.!Q81+ธ.ค.!Q81</f>
        <v>0</v>
      </c>
      <c r="R82" s="269">
        <f>+'ต.ค. '!R81+พ.ย.!R81+ธ.ค.!R81</f>
        <v>0</v>
      </c>
      <c r="S82" s="269">
        <f>+'ต.ค. '!S81+พ.ย.!S81+ธ.ค.!S81</f>
        <v>0</v>
      </c>
      <c r="T82" s="269"/>
      <c r="U82" s="269">
        <f>+'ต.ค. '!U81+พ.ย.!U81+ธ.ค.!U81</f>
        <v>0</v>
      </c>
      <c r="V82" s="269">
        <f>+'ต.ค. '!V81+พ.ย.!V81+ธ.ค.!V81</f>
        <v>0</v>
      </c>
    </row>
    <row r="83" spans="1:22" ht="25.5" customHeight="1">
      <c r="A83" s="9"/>
      <c r="B83" s="226" t="s">
        <v>296</v>
      </c>
      <c r="C83" s="279">
        <v>30000</v>
      </c>
      <c r="D83" s="195"/>
      <c r="E83" s="269">
        <f>+'ต.ค. '!E82+พ.ย.!E82+ธ.ค.!E82</f>
        <v>0</v>
      </c>
      <c r="F83" s="269">
        <f>+'ต.ค. '!F82+พ.ย.!F82+ธ.ค.!F82</f>
        <v>0</v>
      </c>
      <c r="G83" s="269">
        <f>+'ต.ค. '!G82+พ.ย.!G82+ธ.ค.!G82</f>
        <v>0</v>
      </c>
      <c r="H83" s="269">
        <f>+'ต.ค. '!H82+พ.ย.!H82+ธ.ค.!H82</f>
        <v>0</v>
      </c>
      <c r="I83" s="269">
        <f>+'ต.ค. '!I82+พ.ย.!I82+ธ.ค.!I82</f>
        <v>0</v>
      </c>
      <c r="J83" s="269">
        <f>+'ต.ค. '!J82+พ.ย.!J82+ธ.ค.!J82</f>
        <v>0</v>
      </c>
      <c r="K83" s="269">
        <f>+'ต.ค. '!K82+พ.ย.!K82+ธ.ค.!K82</f>
        <v>0</v>
      </c>
      <c r="L83" s="269">
        <f>+'ต.ค. '!L82+พ.ย.!L82+ธ.ค.!L82</f>
        <v>0</v>
      </c>
      <c r="M83" s="269">
        <f>+'ต.ค. '!M82+พ.ย.!M82+ธ.ค.!M82</f>
        <v>0</v>
      </c>
      <c r="N83" s="269">
        <f>+'ต.ค. '!N82+พ.ย.!N82+ธ.ค.!N82</f>
        <v>0</v>
      </c>
      <c r="O83" s="269">
        <f>+'ต.ค. '!O82+พ.ย.!O82+ธ.ค.!O82</f>
        <v>0</v>
      </c>
      <c r="P83" s="269">
        <f>+'ต.ค. '!P82+พ.ย.!P82+ธ.ค.!P82</f>
        <v>0</v>
      </c>
      <c r="Q83" s="269">
        <f>+'ต.ค. '!Q82+พ.ย.!Q82+ธ.ค.!Q82</f>
        <v>0</v>
      </c>
      <c r="R83" s="269">
        <f>+'ต.ค. '!R82+พ.ย.!R82+ธ.ค.!R82</f>
        <v>0</v>
      </c>
      <c r="S83" s="269">
        <f>+'ต.ค. '!S82+พ.ย.!S82+ธ.ค.!S82</f>
        <v>0</v>
      </c>
      <c r="T83" s="269"/>
      <c r="U83" s="269">
        <f>+'ต.ค. '!U82+พ.ย.!U82+ธ.ค.!U82</f>
        <v>0</v>
      </c>
      <c r="V83" s="269">
        <f>+'ต.ค. '!V82+พ.ย.!V82+ธ.ค.!V82</f>
        <v>0</v>
      </c>
    </row>
    <row r="84" spans="1:22" ht="25.5" customHeight="1">
      <c r="A84" s="9"/>
      <c r="B84" s="226" t="s">
        <v>210</v>
      </c>
      <c r="C84" s="279">
        <v>10000</v>
      </c>
      <c r="D84" s="195"/>
      <c r="E84" s="269">
        <f>+'ต.ค. '!E83+พ.ย.!E83+ธ.ค.!E83</f>
        <v>0</v>
      </c>
      <c r="F84" s="269">
        <f>+'ต.ค. '!F83+พ.ย.!F83+ธ.ค.!F83</f>
        <v>0</v>
      </c>
      <c r="G84" s="269">
        <f>+'ต.ค. '!G83+พ.ย.!G83+ธ.ค.!G83</f>
        <v>0</v>
      </c>
      <c r="H84" s="269">
        <f>+'ต.ค. '!H83+พ.ย.!H83+ธ.ค.!H83</f>
        <v>0</v>
      </c>
      <c r="I84" s="269">
        <f>+'ต.ค. '!I83+พ.ย.!I83+ธ.ค.!I83</f>
        <v>0</v>
      </c>
      <c r="J84" s="269">
        <f>+'ต.ค. '!J83+พ.ย.!J83+ธ.ค.!J83</f>
        <v>0</v>
      </c>
      <c r="K84" s="269">
        <f>+'ต.ค. '!K83+พ.ย.!K83+ธ.ค.!K83</f>
        <v>0</v>
      </c>
      <c r="L84" s="269">
        <f>+'ต.ค. '!L83+พ.ย.!L83+ธ.ค.!L83</f>
        <v>0</v>
      </c>
      <c r="M84" s="269">
        <f>+'ต.ค. '!M83+พ.ย.!M83+ธ.ค.!M83</f>
        <v>0</v>
      </c>
      <c r="N84" s="269">
        <f>+'ต.ค. '!N83+พ.ย.!N83+ธ.ค.!N83</f>
        <v>0</v>
      </c>
      <c r="O84" s="269">
        <f>+'ต.ค. '!O83+พ.ย.!O83+ธ.ค.!O83</f>
        <v>0</v>
      </c>
      <c r="P84" s="269">
        <f>+'ต.ค. '!P83+พ.ย.!P83+ธ.ค.!P83</f>
        <v>0</v>
      </c>
      <c r="Q84" s="269">
        <f>+'ต.ค. '!Q83+พ.ย.!Q83+ธ.ค.!Q83</f>
        <v>0</v>
      </c>
      <c r="R84" s="269">
        <f>+'ต.ค. '!R83+พ.ย.!R83+ธ.ค.!R83</f>
        <v>0</v>
      </c>
      <c r="S84" s="269">
        <f>+'ต.ค. '!S83+พ.ย.!S83+ธ.ค.!S83</f>
        <v>0</v>
      </c>
      <c r="T84" s="269"/>
      <c r="U84" s="269">
        <f>+'ต.ค. '!U83+พ.ย.!U83+ธ.ค.!U83</f>
        <v>0</v>
      </c>
      <c r="V84" s="269">
        <f>+'ต.ค. '!V83+พ.ย.!V83+ธ.ค.!V83</f>
        <v>0</v>
      </c>
    </row>
    <row r="85" spans="1:22" ht="25.5" customHeight="1">
      <c r="A85" s="9"/>
      <c r="B85" s="187" t="s">
        <v>297</v>
      </c>
      <c r="C85" s="279">
        <v>20000</v>
      </c>
      <c r="D85" s="195"/>
      <c r="E85" s="269">
        <f>+'ต.ค. '!E84+พ.ย.!E84+ธ.ค.!E84</f>
        <v>0</v>
      </c>
      <c r="F85" s="269">
        <f>+'ต.ค. '!F84+พ.ย.!F84+ธ.ค.!F84</f>
        <v>0</v>
      </c>
      <c r="G85" s="269">
        <f>+'ต.ค. '!G84+พ.ย.!G84+ธ.ค.!G84</f>
        <v>0</v>
      </c>
      <c r="H85" s="269">
        <f>+'ต.ค. '!H84+พ.ย.!H84+ธ.ค.!H84</f>
        <v>0</v>
      </c>
      <c r="I85" s="269">
        <f>+'ต.ค. '!I84+พ.ย.!I84+ธ.ค.!I84</f>
        <v>0</v>
      </c>
      <c r="J85" s="269">
        <f>+'ต.ค. '!J84+พ.ย.!J84+ธ.ค.!J84</f>
        <v>0</v>
      </c>
      <c r="K85" s="269">
        <f>+'ต.ค. '!K84+พ.ย.!K84+ธ.ค.!K84</f>
        <v>0</v>
      </c>
      <c r="L85" s="269">
        <f>+'ต.ค. '!L84+พ.ย.!L84+ธ.ค.!L84</f>
        <v>0</v>
      </c>
      <c r="M85" s="269">
        <f>+'ต.ค. '!M84+พ.ย.!M84+ธ.ค.!M84</f>
        <v>0</v>
      </c>
      <c r="N85" s="269">
        <f>+'ต.ค. '!N84+พ.ย.!N84+ธ.ค.!N84</f>
        <v>0</v>
      </c>
      <c r="O85" s="269">
        <f>+'ต.ค. '!O84+พ.ย.!O84+ธ.ค.!O84</f>
        <v>0</v>
      </c>
      <c r="P85" s="269">
        <f>+'ต.ค. '!P84+พ.ย.!P84+ธ.ค.!P84</f>
        <v>0</v>
      </c>
      <c r="Q85" s="269">
        <f>+'ต.ค. '!Q84+พ.ย.!Q84+ธ.ค.!Q84</f>
        <v>0</v>
      </c>
      <c r="R85" s="269">
        <f>+'ต.ค. '!R84+พ.ย.!R84+ธ.ค.!R84</f>
        <v>0</v>
      </c>
      <c r="S85" s="269">
        <f>+'ต.ค. '!S84+พ.ย.!S84+ธ.ค.!S84</f>
        <v>0</v>
      </c>
      <c r="T85" s="269"/>
      <c r="U85" s="269">
        <f>+'ต.ค. '!U84+พ.ย.!U84+ธ.ค.!U84</f>
        <v>0</v>
      </c>
      <c r="V85" s="269">
        <f>+'ต.ค. '!V84+พ.ย.!V84+ธ.ค.!V84</f>
        <v>0</v>
      </c>
    </row>
    <row r="86" spans="1:22" ht="25.5" customHeight="1">
      <c r="A86" s="9"/>
      <c r="B86" s="187" t="s">
        <v>298</v>
      </c>
      <c r="C86" s="279">
        <v>20000</v>
      </c>
      <c r="D86" s="195"/>
      <c r="E86" s="269">
        <f>+'ต.ค. '!E85+พ.ย.!E85+ธ.ค.!E85</f>
        <v>0</v>
      </c>
      <c r="F86" s="269">
        <f>+'ต.ค. '!F85+พ.ย.!F85+ธ.ค.!F85</f>
        <v>0</v>
      </c>
      <c r="G86" s="269">
        <f>+'ต.ค. '!G85+พ.ย.!G85+ธ.ค.!G85</f>
        <v>0</v>
      </c>
      <c r="H86" s="269">
        <f>+'ต.ค. '!H85+พ.ย.!H85+ธ.ค.!H85</f>
        <v>0</v>
      </c>
      <c r="I86" s="269">
        <f>+'ต.ค. '!I85+พ.ย.!I85+ธ.ค.!I85</f>
        <v>0</v>
      </c>
      <c r="J86" s="269">
        <f>+'ต.ค. '!J85+พ.ย.!J85+ธ.ค.!J85</f>
        <v>0</v>
      </c>
      <c r="K86" s="269">
        <f>+'ต.ค. '!K85+พ.ย.!K85+ธ.ค.!K85</f>
        <v>0</v>
      </c>
      <c r="L86" s="269">
        <f>+'ต.ค. '!L85+พ.ย.!L85+ธ.ค.!L85</f>
        <v>0</v>
      </c>
      <c r="M86" s="269">
        <f>+'ต.ค. '!M85+พ.ย.!M85+ธ.ค.!M85</f>
        <v>0</v>
      </c>
      <c r="N86" s="269">
        <f>+'ต.ค. '!N85+พ.ย.!N85+ธ.ค.!N85</f>
        <v>0</v>
      </c>
      <c r="O86" s="269">
        <f>+'ต.ค. '!O85+พ.ย.!O85+ธ.ค.!O85</f>
        <v>0</v>
      </c>
      <c r="P86" s="269">
        <f>+'ต.ค. '!P85+พ.ย.!P85+ธ.ค.!P85</f>
        <v>0</v>
      </c>
      <c r="Q86" s="269">
        <f>+'ต.ค. '!Q85+พ.ย.!Q85+ธ.ค.!Q85</f>
        <v>0</v>
      </c>
      <c r="R86" s="269">
        <f>+'ต.ค. '!R85+พ.ย.!R85+ธ.ค.!R85</f>
        <v>0</v>
      </c>
      <c r="S86" s="269">
        <f>+'ต.ค. '!S85+พ.ย.!S85+ธ.ค.!S85</f>
        <v>0</v>
      </c>
      <c r="T86" s="269"/>
      <c r="U86" s="269">
        <f>+'ต.ค. '!U85+พ.ย.!U85+ธ.ค.!U85</f>
        <v>0</v>
      </c>
      <c r="V86" s="269">
        <f>+'ต.ค. '!V85+พ.ย.!V85+ธ.ค.!V85</f>
        <v>0</v>
      </c>
    </row>
    <row r="87" spans="1:22" ht="25.5" customHeight="1">
      <c r="A87" s="9"/>
      <c r="B87" s="187" t="s">
        <v>299</v>
      </c>
      <c r="C87" s="279">
        <v>15000</v>
      </c>
      <c r="D87" s="195"/>
      <c r="E87" s="269">
        <f>+'ต.ค. '!E86+พ.ย.!E86+ธ.ค.!E86</f>
        <v>0</v>
      </c>
      <c r="F87" s="269">
        <f>+'ต.ค. '!F86+พ.ย.!F86+ธ.ค.!F86</f>
        <v>0</v>
      </c>
      <c r="G87" s="269">
        <f>+'ต.ค. '!G86+พ.ย.!G86+ธ.ค.!G86</f>
        <v>0</v>
      </c>
      <c r="H87" s="269">
        <f>+'ต.ค. '!H86+พ.ย.!H86+ธ.ค.!H86</f>
        <v>0</v>
      </c>
      <c r="I87" s="269">
        <f>+'ต.ค. '!I86+พ.ย.!I86+ธ.ค.!I86</f>
        <v>0</v>
      </c>
      <c r="J87" s="269">
        <f>+'ต.ค. '!J86+พ.ย.!J86+ธ.ค.!J86</f>
        <v>0</v>
      </c>
      <c r="K87" s="269">
        <f>+'ต.ค. '!K86+พ.ย.!K86+ธ.ค.!K86</f>
        <v>0</v>
      </c>
      <c r="L87" s="269">
        <f>+'ต.ค. '!L86+พ.ย.!L86+ธ.ค.!L86</f>
        <v>0</v>
      </c>
      <c r="M87" s="269">
        <f>+'ต.ค. '!M86+พ.ย.!M86+ธ.ค.!M86</f>
        <v>0</v>
      </c>
      <c r="N87" s="269">
        <f>+'ต.ค. '!N86+พ.ย.!N86+ธ.ค.!N86</f>
        <v>0</v>
      </c>
      <c r="O87" s="269">
        <f>+'ต.ค. '!O86+พ.ย.!O86+ธ.ค.!O86</f>
        <v>0</v>
      </c>
      <c r="P87" s="269">
        <f>+'ต.ค. '!P86+พ.ย.!P86+ธ.ค.!P86</f>
        <v>0</v>
      </c>
      <c r="Q87" s="269">
        <f>+'ต.ค. '!Q86+พ.ย.!Q86+ธ.ค.!Q86</f>
        <v>0</v>
      </c>
      <c r="R87" s="269">
        <f>+'ต.ค. '!R86+พ.ย.!R86+ธ.ค.!R86</f>
        <v>0</v>
      </c>
      <c r="S87" s="269">
        <f>+'ต.ค. '!S86+พ.ย.!S86+ธ.ค.!S86</f>
        <v>0</v>
      </c>
      <c r="T87" s="269"/>
      <c r="U87" s="269">
        <f>+'ต.ค. '!U86+พ.ย.!U86+ธ.ค.!U86</f>
        <v>0</v>
      </c>
      <c r="V87" s="269">
        <f>+'ต.ค. '!V86+พ.ย.!V86+ธ.ค.!V86</f>
        <v>0</v>
      </c>
    </row>
    <row r="88" spans="1:22" ht="25.5" customHeight="1">
      <c r="A88" s="9"/>
      <c r="B88" s="187" t="s">
        <v>300</v>
      </c>
      <c r="C88" s="279">
        <v>10000</v>
      </c>
      <c r="D88" s="195"/>
      <c r="E88" s="269">
        <f>+'ต.ค. '!E87+พ.ย.!E87+ธ.ค.!E87</f>
        <v>0</v>
      </c>
      <c r="F88" s="269">
        <f>+'ต.ค. '!F87+พ.ย.!F87+ธ.ค.!F87</f>
        <v>0</v>
      </c>
      <c r="G88" s="269">
        <f>+'ต.ค. '!G87+พ.ย.!G87+ธ.ค.!G87</f>
        <v>0</v>
      </c>
      <c r="H88" s="269">
        <f>+'ต.ค. '!H87+พ.ย.!H87+ธ.ค.!H87</f>
        <v>10000</v>
      </c>
      <c r="I88" s="269">
        <f>+'ต.ค. '!I87+พ.ย.!I87+ธ.ค.!I87</f>
        <v>0</v>
      </c>
      <c r="J88" s="269">
        <f>+'ต.ค. '!J87+พ.ย.!J87+ธ.ค.!J87</f>
        <v>0</v>
      </c>
      <c r="K88" s="269">
        <f>+'ต.ค. '!K87+พ.ย.!K87+ธ.ค.!K87</f>
        <v>0</v>
      </c>
      <c r="L88" s="269">
        <f>+'ต.ค. '!L87+พ.ย.!L87+ธ.ค.!L87</f>
        <v>0</v>
      </c>
      <c r="M88" s="269">
        <f>+'ต.ค. '!M87+พ.ย.!M87+ธ.ค.!M87</f>
        <v>0</v>
      </c>
      <c r="N88" s="269">
        <f>+'ต.ค. '!N87+พ.ย.!N87+ธ.ค.!N87</f>
        <v>0</v>
      </c>
      <c r="O88" s="269">
        <f>+'ต.ค. '!O87+พ.ย.!O87+ธ.ค.!O87</f>
        <v>0</v>
      </c>
      <c r="P88" s="269">
        <f>+'ต.ค. '!P87+พ.ย.!P87+ธ.ค.!P87</f>
        <v>0</v>
      </c>
      <c r="Q88" s="269">
        <f>+'ต.ค. '!Q87+พ.ย.!Q87+ธ.ค.!Q87</f>
        <v>0</v>
      </c>
      <c r="R88" s="269">
        <f>+'ต.ค. '!R87+พ.ย.!R87+ธ.ค.!R87</f>
        <v>0</v>
      </c>
      <c r="S88" s="269">
        <f>+'ต.ค. '!S87+พ.ย.!S87+ธ.ค.!S87</f>
        <v>0</v>
      </c>
      <c r="T88" s="269"/>
      <c r="U88" s="269">
        <f>+'ต.ค. '!U87+พ.ย.!U87+ธ.ค.!U87</f>
        <v>0</v>
      </c>
      <c r="V88" s="269">
        <f>+'ต.ค. '!V87+พ.ย.!V87+ธ.ค.!V87</f>
        <v>0</v>
      </c>
    </row>
    <row r="89" spans="1:22" ht="25.5" customHeight="1">
      <c r="A89" s="9"/>
      <c r="B89" s="187" t="s">
        <v>301</v>
      </c>
      <c r="C89" s="279">
        <v>345100</v>
      </c>
      <c r="D89" s="195"/>
      <c r="E89" s="269">
        <f>+'ต.ค. '!E88+พ.ย.!E88+ธ.ค.!E88</f>
        <v>0</v>
      </c>
      <c r="F89" s="269">
        <f>+'ต.ค. '!F88+พ.ย.!F88+ธ.ค.!F88</f>
        <v>0</v>
      </c>
      <c r="G89" s="269">
        <f>+'ต.ค. '!G88+พ.ย.!G88+ธ.ค.!G88</f>
        <v>0</v>
      </c>
      <c r="H89" s="269">
        <f>+'ต.ค. '!H88+พ.ย.!H88+ธ.ค.!H88</f>
        <v>345100</v>
      </c>
      <c r="I89" s="269">
        <f>+'ต.ค. '!I88+พ.ย.!I88+ธ.ค.!I88</f>
        <v>0</v>
      </c>
      <c r="J89" s="269">
        <f>+'ต.ค. '!J88+พ.ย.!J88+ธ.ค.!J88</f>
        <v>0</v>
      </c>
      <c r="K89" s="269">
        <f>+'ต.ค. '!K88+พ.ย.!K88+ธ.ค.!K88</f>
        <v>0</v>
      </c>
      <c r="L89" s="269">
        <f>+'ต.ค. '!L88+พ.ย.!L88+ธ.ค.!L88</f>
        <v>0</v>
      </c>
      <c r="M89" s="269">
        <f>+'ต.ค. '!M88+พ.ย.!M88+ธ.ค.!M88</f>
        <v>0</v>
      </c>
      <c r="N89" s="269">
        <f>+'ต.ค. '!N88+พ.ย.!N88+ธ.ค.!N88</f>
        <v>0</v>
      </c>
      <c r="O89" s="269">
        <f>+'ต.ค. '!O88+พ.ย.!O88+ธ.ค.!O88</f>
        <v>0</v>
      </c>
      <c r="P89" s="269">
        <f>+'ต.ค. '!P88+พ.ย.!P88+ธ.ค.!P88</f>
        <v>0</v>
      </c>
      <c r="Q89" s="269">
        <f>+'ต.ค. '!Q88+พ.ย.!Q88+ธ.ค.!Q88</f>
        <v>0</v>
      </c>
      <c r="R89" s="269">
        <f>+'ต.ค. '!R88+พ.ย.!R88+ธ.ค.!R88</f>
        <v>0</v>
      </c>
      <c r="S89" s="269">
        <f>+'ต.ค. '!S88+พ.ย.!S88+ธ.ค.!S88</f>
        <v>0</v>
      </c>
      <c r="T89" s="269"/>
      <c r="U89" s="269">
        <f>+'ต.ค. '!U88+พ.ย.!U88+ธ.ค.!U88</f>
        <v>0</v>
      </c>
      <c r="V89" s="269">
        <f>+'ต.ค. '!V88+พ.ย.!V88+ธ.ค.!V88</f>
        <v>0</v>
      </c>
    </row>
    <row r="90" spans="1:22" ht="25.5" customHeight="1">
      <c r="A90" s="9"/>
      <c r="B90" s="187" t="s">
        <v>242</v>
      </c>
      <c r="C90" s="279">
        <v>40000</v>
      </c>
      <c r="D90" s="195"/>
      <c r="E90" s="269">
        <f>+'ต.ค. '!E89+พ.ย.!E89+ธ.ค.!E89</f>
        <v>0</v>
      </c>
      <c r="F90" s="269">
        <f>+'ต.ค. '!F89+พ.ย.!F89+ธ.ค.!F89</f>
        <v>0</v>
      </c>
      <c r="G90" s="269">
        <f>+'ต.ค. '!G89+พ.ย.!G89+ธ.ค.!G89</f>
        <v>0</v>
      </c>
      <c r="H90" s="269">
        <f>+'ต.ค. '!H89+พ.ย.!H89+ธ.ค.!H89</f>
        <v>0</v>
      </c>
      <c r="I90" s="269">
        <f>+'ต.ค. '!I89+พ.ย.!I89+ธ.ค.!I89</f>
        <v>0</v>
      </c>
      <c r="J90" s="269">
        <f>+'ต.ค. '!J89+พ.ย.!J89+ธ.ค.!J89</f>
        <v>0</v>
      </c>
      <c r="K90" s="269">
        <f>+'ต.ค. '!K89+พ.ย.!K89+ธ.ค.!K89</f>
        <v>0</v>
      </c>
      <c r="L90" s="269">
        <f>+'ต.ค. '!L89+พ.ย.!L89+ธ.ค.!L89</f>
        <v>0</v>
      </c>
      <c r="M90" s="269">
        <f>+'ต.ค. '!M89+พ.ย.!M89+ธ.ค.!M89</f>
        <v>0</v>
      </c>
      <c r="N90" s="269">
        <f>+'ต.ค. '!N89+พ.ย.!N89+ธ.ค.!N89</f>
        <v>0</v>
      </c>
      <c r="O90" s="269">
        <f>+'ต.ค. '!O89+พ.ย.!O89+ธ.ค.!O89</f>
        <v>0</v>
      </c>
      <c r="P90" s="269">
        <f>+'ต.ค. '!P89+พ.ย.!P89+ธ.ค.!P89</f>
        <v>0</v>
      </c>
      <c r="Q90" s="269">
        <f>+'ต.ค. '!Q89+พ.ย.!Q89+ธ.ค.!Q89</f>
        <v>0</v>
      </c>
      <c r="R90" s="269">
        <f>+'ต.ค. '!R89+พ.ย.!R89+ธ.ค.!R89</f>
        <v>0</v>
      </c>
      <c r="S90" s="269">
        <f>+'ต.ค. '!S89+พ.ย.!S89+ธ.ค.!S89</f>
        <v>0</v>
      </c>
      <c r="T90" s="269"/>
      <c r="U90" s="269">
        <f>+'ต.ค. '!U89+พ.ย.!U89+ธ.ค.!U89</f>
        <v>0</v>
      </c>
      <c r="V90" s="269">
        <f>+'ต.ค. '!V89+พ.ย.!V89+ธ.ค.!V89</f>
        <v>0</v>
      </c>
    </row>
    <row r="91" spans="1:22" ht="25.5" customHeight="1">
      <c r="A91" s="9"/>
      <c r="B91" s="187" t="s">
        <v>307</v>
      </c>
      <c r="C91" s="279">
        <v>10000</v>
      </c>
      <c r="D91" s="131"/>
      <c r="E91" s="269">
        <f>+'ต.ค. '!E90+พ.ย.!E90+ธ.ค.!E90</f>
        <v>0</v>
      </c>
      <c r="F91" s="269">
        <f>+'ต.ค. '!F90+พ.ย.!F90+ธ.ค.!F90</f>
        <v>0</v>
      </c>
      <c r="G91" s="269">
        <f>+'ต.ค. '!G90+พ.ย.!G90+ธ.ค.!G90</f>
        <v>0</v>
      </c>
      <c r="H91" s="269">
        <f>+'ต.ค. '!H90+พ.ย.!H90+ธ.ค.!H90</f>
        <v>0</v>
      </c>
      <c r="I91" s="269">
        <f>+'ต.ค. '!I90+พ.ย.!I90+ธ.ค.!I90</f>
        <v>0</v>
      </c>
      <c r="J91" s="269">
        <f>+'ต.ค. '!J90+พ.ย.!J90+ธ.ค.!J90</f>
        <v>0</v>
      </c>
      <c r="K91" s="269">
        <f>+'ต.ค. '!K90+พ.ย.!K90+ธ.ค.!K90</f>
        <v>0</v>
      </c>
      <c r="L91" s="269">
        <f>+'ต.ค. '!L90+พ.ย.!L90+ธ.ค.!L90</f>
        <v>0</v>
      </c>
      <c r="M91" s="269">
        <f>+'ต.ค. '!M90+พ.ย.!M90+ธ.ค.!M90</f>
        <v>0</v>
      </c>
      <c r="N91" s="269">
        <f>+'ต.ค. '!N90+พ.ย.!N90+ธ.ค.!N90</f>
        <v>0</v>
      </c>
      <c r="O91" s="269">
        <f>+'ต.ค. '!O90+พ.ย.!O90+ธ.ค.!O90</f>
        <v>0</v>
      </c>
      <c r="P91" s="269">
        <f>+'ต.ค. '!P90+พ.ย.!P90+ธ.ค.!P90</f>
        <v>0</v>
      </c>
      <c r="Q91" s="269">
        <f>+'ต.ค. '!Q90+พ.ย.!Q90+ธ.ค.!Q90</f>
        <v>0</v>
      </c>
      <c r="R91" s="269">
        <f>+'ต.ค. '!R90+พ.ย.!R90+ธ.ค.!R90</f>
        <v>0</v>
      </c>
      <c r="S91" s="269">
        <f>+'ต.ค. '!S90+พ.ย.!S90+ธ.ค.!S90</f>
        <v>0</v>
      </c>
      <c r="T91" s="269"/>
      <c r="U91" s="269">
        <f>+'ต.ค. '!U90+พ.ย.!U90+ธ.ค.!U90</f>
        <v>0</v>
      </c>
      <c r="V91" s="269">
        <f>+'ต.ค. '!V90+พ.ย.!V90+ธ.ค.!V90</f>
        <v>0</v>
      </c>
    </row>
    <row r="92" spans="1:22" ht="25.5" customHeight="1">
      <c r="A92" s="9"/>
      <c r="B92" s="187" t="s">
        <v>134</v>
      </c>
      <c r="C92" s="279">
        <v>15000</v>
      </c>
      <c r="D92" s="195"/>
      <c r="E92" s="269">
        <f>+'ต.ค. '!E91+พ.ย.!E91+ธ.ค.!E91</f>
        <v>0</v>
      </c>
      <c r="F92" s="269">
        <f>+'ต.ค. '!F91+พ.ย.!F91+ธ.ค.!F91</f>
        <v>0</v>
      </c>
      <c r="G92" s="269">
        <f>+'ต.ค. '!G91+พ.ย.!G91+ธ.ค.!G91</f>
        <v>0</v>
      </c>
      <c r="H92" s="269">
        <f>+'ต.ค. '!H91+พ.ย.!H91+ธ.ค.!H91</f>
        <v>0</v>
      </c>
      <c r="I92" s="269">
        <f>+'ต.ค. '!I91+พ.ย.!I91+ธ.ค.!I91</f>
        <v>0</v>
      </c>
      <c r="J92" s="269">
        <f>+'ต.ค. '!J91+พ.ย.!J91+ธ.ค.!J91</f>
        <v>0</v>
      </c>
      <c r="K92" s="269">
        <f>+'ต.ค. '!K91+พ.ย.!K91+ธ.ค.!K91</f>
        <v>0</v>
      </c>
      <c r="L92" s="269">
        <f>+'ต.ค. '!L91+พ.ย.!L91+ธ.ค.!L91</f>
        <v>0</v>
      </c>
      <c r="M92" s="269">
        <f>+'ต.ค. '!M91+พ.ย.!M91+ธ.ค.!M91</f>
        <v>0</v>
      </c>
      <c r="N92" s="269">
        <f>+'ต.ค. '!N91+พ.ย.!N91+ธ.ค.!N91</f>
        <v>0</v>
      </c>
      <c r="O92" s="269">
        <f>+'ต.ค. '!O91+พ.ย.!O91+ธ.ค.!O91</f>
        <v>0</v>
      </c>
      <c r="P92" s="269">
        <f>+'ต.ค. '!P91+พ.ย.!P91+ธ.ค.!P91</f>
        <v>0</v>
      </c>
      <c r="Q92" s="269">
        <f>+'ต.ค. '!Q91+พ.ย.!Q91+ธ.ค.!Q91</f>
        <v>0</v>
      </c>
      <c r="R92" s="269">
        <f>+'ต.ค. '!R91+พ.ย.!R91+ธ.ค.!R91</f>
        <v>0</v>
      </c>
      <c r="S92" s="269">
        <f>+'ต.ค. '!S91+พ.ย.!S91+ธ.ค.!S91</f>
        <v>0</v>
      </c>
      <c r="T92" s="269"/>
      <c r="U92" s="269">
        <f>+'ต.ค. '!U91+พ.ย.!U91+ธ.ค.!U91</f>
        <v>0</v>
      </c>
      <c r="V92" s="269">
        <f>+'ต.ค. '!V91+พ.ย.!V91+ธ.ค.!V91</f>
        <v>0</v>
      </c>
    </row>
    <row r="93" spans="1:22" ht="25.5" customHeight="1">
      <c r="A93" s="9"/>
      <c r="B93" s="187" t="s">
        <v>308</v>
      </c>
      <c r="C93" s="279">
        <v>2500</v>
      </c>
      <c r="D93" s="195"/>
      <c r="E93" s="269">
        <f>+'ต.ค. '!E92+พ.ย.!E92+ธ.ค.!E92</f>
        <v>0</v>
      </c>
      <c r="F93" s="269">
        <f>+'ต.ค. '!F92+พ.ย.!F92+ธ.ค.!F92</f>
        <v>0</v>
      </c>
      <c r="G93" s="269">
        <f>+'ต.ค. '!G92+พ.ย.!G92+ธ.ค.!G92</f>
        <v>0</v>
      </c>
      <c r="H93" s="269">
        <f>+'ต.ค. '!H92+พ.ย.!H92+ธ.ค.!H92</f>
        <v>0</v>
      </c>
      <c r="I93" s="269">
        <f>+'ต.ค. '!I92+พ.ย.!I92+ธ.ค.!I92</f>
        <v>0</v>
      </c>
      <c r="J93" s="269">
        <f>+'ต.ค. '!J92+พ.ย.!J92+ธ.ค.!J92</f>
        <v>0</v>
      </c>
      <c r="K93" s="269">
        <f>+'ต.ค. '!K92+พ.ย.!K92+ธ.ค.!K92</f>
        <v>0</v>
      </c>
      <c r="L93" s="269">
        <f>+'ต.ค. '!L92+พ.ย.!L92+ธ.ค.!L92</f>
        <v>0</v>
      </c>
      <c r="M93" s="269">
        <f>+'ต.ค. '!M92+พ.ย.!M92+ธ.ค.!M92</f>
        <v>0</v>
      </c>
      <c r="N93" s="269">
        <f>+'ต.ค. '!N92+พ.ย.!N92+ธ.ค.!N92</f>
        <v>0</v>
      </c>
      <c r="O93" s="269">
        <f>+'ต.ค. '!O92+พ.ย.!O92+ธ.ค.!O92</f>
        <v>0</v>
      </c>
      <c r="P93" s="269">
        <f>+'ต.ค. '!P92+พ.ย.!P92+ธ.ค.!P92</f>
        <v>0</v>
      </c>
      <c r="Q93" s="269">
        <f>+'ต.ค. '!Q92+พ.ย.!Q92+ธ.ค.!Q92</f>
        <v>0</v>
      </c>
      <c r="R93" s="269">
        <f>+'ต.ค. '!R92+พ.ย.!R92+ธ.ค.!R92</f>
        <v>0</v>
      </c>
      <c r="S93" s="269">
        <f>+'ต.ค. '!S92+พ.ย.!S92+ธ.ค.!S92</f>
        <v>0</v>
      </c>
      <c r="T93" s="269"/>
      <c r="U93" s="269">
        <f>+'ต.ค. '!U92+พ.ย.!U92+ธ.ค.!U92</f>
        <v>0</v>
      </c>
      <c r="V93" s="269">
        <f>+'ต.ค. '!V92+พ.ย.!V92+ธ.ค.!V92</f>
        <v>0</v>
      </c>
    </row>
    <row r="94" spans="1:22" ht="25.5" customHeight="1">
      <c r="A94" s="9"/>
      <c r="B94" s="187" t="s">
        <v>309</v>
      </c>
      <c r="C94" s="279">
        <v>2500</v>
      </c>
      <c r="D94" s="195"/>
      <c r="E94" s="269">
        <f>+'ต.ค. '!E93+พ.ย.!E93+ธ.ค.!E93</f>
        <v>0</v>
      </c>
      <c r="F94" s="269">
        <f>+'ต.ค. '!F93+พ.ย.!F93+ธ.ค.!F93</f>
        <v>0</v>
      </c>
      <c r="G94" s="269">
        <f>+'ต.ค. '!G93+พ.ย.!G93+ธ.ค.!G93</f>
        <v>0</v>
      </c>
      <c r="H94" s="269">
        <f>+'ต.ค. '!H93+พ.ย.!H93+ธ.ค.!H93</f>
        <v>0</v>
      </c>
      <c r="I94" s="269">
        <f>+'ต.ค. '!I93+พ.ย.!I93+ธ.ค.!I93</f>
        <v>0</v>
      </c>
      <c r="J94" s="269">
        <f>+'ต.ค. '!J93+พ.ย.!J93+ธ.ค.!J93</f>
        <v>0</v>
      </c>
      <c r="K94" s="269">
        <f>+'ต.ค. '!K93+พ.ย.!K93+ธ.ค.!K93</f>
        <v>0</v>
      </c>
      <c r="L94" s="269">
        <f>+'ต.ค. '!L93+พ.ย.!L93+ธ.ค.!L93</f>
        <v>0</v>
      </c>
      <c r="M94" s="269">
        <f>+'ต.ค. '!M93+พ.ย.!M93+ธ.ค.!M93</f>
        <v>0</v>
      </c>
      <c r="N94" s="269">
        <f>+'ต.ค. '!N93+พ.ย.!N93+ธ.ค.!N93</f>
        <v>0</v>
      </c>
      <c r="O94" s="269">
        <f>+'ต.ค. '!O93+พ.ย.!O93+ธ.ค.!O93</f>
        <v>0</v>
      </c>
      <c r="P94" s="269">
        <f>+'ต.ค. '!P93+พ.ย.!P93+ธ.ค.!P93</f>
        <v>0</v>
      </c>
      <c r="Q94" s="269">
        <f>+'ต.ค. '!Q93+พ.ย.!Q93+ธ.ค.!Q93</f>
        <v>0</v>
      </c>
      <c r="R94" s="269">
        <f>+'ต.ค. '!R93+พ.ย.!R93+ธ.ค.!R93</f>
        <v>0</v>
      </c>
      <c r="S94" s="269">
        <f>+'ต.ค. '!S93+พ.ย.!S93+ธ.ค.!S93</f>
        <v>0</v>
      </c>
      <c r="T94" s="269"/>
      <c r="U94" s="269">
        <f>+'ต.ค. '!U93+พ.ย.!U93+ธ.ค.!U93</f>
        <v>0</v>
      </c>
      <c r="V94" s="269">
        <f>+'ต.ค. '!V93+พ.ย.!V93+ธ.ค.!V93</f>
        <v>0</v>
      </c>
    </row>
    <row r="95" spans="1:22" ht="25.5" customHeight="1">
      <c r="A95" s="9"/>
      <c r="B95" s="187" t="s">
        <v>310</v>
      </c>
      <c r="C95" s="279">
        <v>2500</v>
      </c>
      <c r="D95" s="195"/>
      <c r="E95" s="269">
        <f>+'ต.ค. '!E94+พ.ย.!E94+ธ.ค.!E94</f>
        <v>0</v>
      </c>
      <c r="F95" s="269">
        <f>+'ต.ค. '!F94+พ.ย.!F94+ธ.ค.!F94</f>
        <v>0</v>
      </c>
      <c r="G95" s="269">
        <f>+'ต.ค. '!G94+พ.ย.!G94+ธ.ค.!G94</f>
        <v>0</v>
      </c>
      <c r="H95" s="269">
        <f>+'ต.ค. '!H94+พ.ย.!H94+ธ.ค.!H94</f>
        <v>0</v>
      </c>
      <c r="I95" s="269">
        <f>+'ต.ค. '!I94+พ.ย.!I94+ธ.ค.!I94</f>
        <v>0</v>
      </c>
      <c r="J95" s="269">
        <f>+'ต.ค. '!J94+พ.ย.!J94+ธ.ค.!J94</f>
        <v>0</v>
      </c>
      <c r="K95" s="269">
        <f>+'ต.ค. '!K94+พ.ย.!K94+ธ.ค.!K94</f>
        <v>0</v>
      </c>
      <c r="L95" s="269">
        <f>+'ต.ค. '!L94+พ.ย.!L94+ธ.ค.!L94</f>
        <v>0</v>
      </c>
      <c r="M95" s="269">
        <f>+'ต.ค. '!M94+พ.ย.!M94+ธ.ค.!M94</f>
        <v>0</v>
      </c>
      <c r="N95" s="269">
        <f>+'ต.ค. '!N94+พ.ย.!N94+ธ.ค.!N94</f>
        <v>0</v>
      </c>
      <c r="O95" s="269">
        <f>+'ต.ค. '!O94+พ.ย.!O94+ธ.ค.!O94</f>
        <v>0</v>
      </c>
      <c r="P95" s="269">
        <f>+'ต.ค. '!P94+พ.ย.!P94+ธ.ค.!P94</f>
        <v>0</v>
      </c>
      <c r="Q95" s="269">
        <f>+'ต.ค. '!Q94+พ.ย.!Q94+ธ.ค.!Q94</f>
        <v>0</v>
      </c>
      <c r="R95" s="269">
        <f>+'ต.ค. '!R94+พ.ย.!R94+ธ.ค.!R94</f>
        <v>0</v>
      </c>
      <c r="S95" s="269">
        <f>+'ต.ค. '!S94+พ.ย.!S94+ธ.ค.!S94</f>
        <v>0</v>
      </c>
      <c r="T95" s="269"/>
      <c r="U95" s="269">
        <f>+'ต.ค. '!U94+พ.ย.!U94+ธ.ค.!U94</f>
        <v>0</v>
      </c>
      <c r="V95" s="269">
        <f>+'ต.ค. '!V94+พ.ย.!V94+ธ.ค.!V94</f>
        <v>0</v>
      </c>
    </row>
    <row r="96" spans="1:22" ht="25.5" customHeight="1">
      <c r="A96" s="9"/>
      <c r="B96" s="187" t="s">
        <v>311</v>
      </c>
      <c r="C96" s="279">
        <v>2500</v>
      </c>
      <c r="D96" s="195"/>
      <c r="E96" s="269">
        <f>+'ต.ค. '!E95+พ.ย.!E95+ธ.ค.!E95</f>
        <v>0</v>
      </c>
      <c r="F96" s="269">
        <f>+'ต.ค. '!F95+พ.ย.!F95+ธ.ค.!F95</f>
        <v>0</v>
      </c>
      <c r="G96" s="269">
        <f>+'ต.ค. '!G95+พ.ย.!G95+ธ.ค.!G95</f>
        <v>0</v>
      </c>
      <c r="H96" s="269">
        <f>+'ต.ค. '!H95+พ.ย.!H95+ธ.ค.!H95</f>
        <v>0</v>
      </c>
      <c r="I96" s="269">
        <f>+'ต.ค. '!I95+พ.ย.!I95+ธ.ค.!I95</f>
        <v>0</v>
      </c>
      <c r="J96" s="269">
        <f>+'ต.ค. '!J95+พ.ย.!J95+ธ.ค.!J95</f>
        <v>0</v>
      </c>
      <c r="K96" s="269">
        <f>+'ต.ค. '!K95+พ.ย.!K95+ธ.ค.!K95</f>
        <v>0</v>
      </c>
      <c r="L96" s="269">
        <f>+'ต.ค. '!L95+พ.ย.!L95+ธ.ค.!L95</f>
        <v>0</v>
      </c>
      <c r="M96" s="269">
        <f>+'ต.ค. '!M95+พ.ย.!M95+ธ.ค.!M95</f>
        <v>0</v>
      </c>
      <c r="N96" s="269">
        <f>+'ต.ค. '!N95+พ.ย.!N95+ธ.ค.!N95</f>
        <v>0</v>
      </c>
      <c r="O96" s="269">
        <f>+'ต.ค. '!O95+พ.ย.!O95+ธ.ค.!O95</f>
        <v>0</v>
      </c>
      <c r="P96" s="269">
        <f>+'ต.ค. '!P95+พ.ย.!P95+ธ.ค.!P95</f>
        <v>0</v>
      </c>
      <c r="Q96" s="269">
        <f>+'ต.ค. '!Q95+พ.ย.!Q95+ธ.ค.!Q95</f>
        <v>0</v>
      </c>
      <c r="R96" s="269">
        <f>+'ต.ค. '!R95+พ.ย.!R95+ธ.ค.!R95</f>
        <v>0</v>
      </c>
      <c r="S96" s="269">
        <f>+'ต.ค. '!S95+พ.ย.!S95+ธ.ค.!S95</f>
        <v>0</v>
      </c>
      <c r="T96" s="269"/>
      <c r="U96" s="269">
        <f>+'ต.ค. '!U95+พ.ย.!U95+ธ.ค.!U95</f>
        <v>0</v>
      </c>
      <c r="V96" s="269">
        <f>+'ต.ค. '!V95+พ.ย.!V95+ธ.ค.!V95</f>
        <v>0</v>
      </c>
    </row>
    <row r="97" spans="1:22" ht="25.5" customHeight="1">
      <c r="A97" s="9"/>
      <c r="B97" s="187" t="s">
        <v>243</v>
      </c>
      <c r="C97" s="279">
        <v>2000</v>
      </c>
      <c r="D97" s="195"/>
      <c r="E97" s="269">
        <f>+'ต.ค. '!E96+พ.ย.!E96+ธ.ค.!E96</f>
        <v>0</v>
      </c>
      <c r="F97" s="269">
        <f>+'ต.ค. '!F96+พ.ย.!F96+ธ.ค.!F96</f>
        <v>0</v>
      </c>
      <c r="G97" s="269">
        <f>+'ต.ค. '!G96+พ.ย.!G96+ธ.ค.!G96</f>
        <v>0</v>
      </c>
      <c r="H97" s="269">
        <f>+'ต.ค. '!H96+พ.ย.!H96+ธ.ค.!H96</f>
        <v>0</v>
      </c>
      <c r="I97" s="269">
        <f>+'ต.ค. '!I96+พ.ย.!I96+ธ.ค.!I96</f>
        <v>0</v>
      </c>
      <c r="J97" s="269">
        <f>+'ต.ค. '!J96+พ.ย.!J96+ธ.ค.!J96</f>
        <v>0</v>
      </c>
      <c r="K97" s="269">
        <f>+'ต.ค. '!K96+พ.ย.!K96+ธ.ค.!K96</f>
        <v>0</v>
      </c>
      <c r="L97" s="269">
        <f>+'ต.ค. '!L96+พ.ย.!L96+ธ.ค.!L96</f>
        <v>0</v>
      </c>
      <c r="M97" s="269">
        <f>+'ต.ค. '!M96+พ.ย.!M96+ธ.ค.!M96</f>
        <v>0</v>
      </c>
      <c r="N97" s="269">
        <f>+'ต.ค. '!N96+พ.ย.!N96+ธ.ค.!N96</f>
        <v>0</v>
      </c>
      <c r="O97" s="269">
        <f>+'ต.ค. '!O96+พ.ย.!O96+ธ.ค.!O96</f>
        <v>0</v>
      </c>
      <c r="P97" s="269">
        <f>+'ต.ค. '!P96+พ.ย.!P96+ธ.ค.!P96</f>
        <v>0</v>
      </c>
      <c r="Q97" s="269">
        <f>+'ต.ค. '!Q96+พ.ย.!Q96+ธ.ค.!Q96</f>
        <v>0</v>
      </c>
      <c r="R97" s="269">
        <f>+'ต.ค. '!R96+พ.ย.!R96+ธ.ค.!R96</f>
        <v>0</v>
      </c>
      <c r="S97" s="269">
        <f>+'ต.ค. '!S96+พ.ย.!S96+ธ.ค.!S96</f>
        <v>0</v>
      </c>
      <c r="T97" s="269"/>
      <c r="U97" s="269">
        <f>+'ต.ค. '!U96+พ.ย.!U96+ธ.ค.!U96</f>
        <v>0</v>
      </c>
      <c r="V97" s="269">
        <f>+'ต.ค. '!V96+พ.ย.!V96+ธ.ค.!V96</f>
        <v>0</v>
      </c>
    </row>
    <row r="98" spans="1:22" ht="25.5" customHeight="1">
      <c r="A98" s="9"/>
      <c r="B98" s="187" t="s">
        <v>248</v>
      </c>
      <c r="C98" s="279">
        <v>2000</v>
      </c>
      <c r="D98" s="195"/>
      <c r="E98" s="269">
        <f>+'ต.ค. '!E97+พ.ย.!E97+ธ.ค.!E97</f>
        <v>0</v>
      </c>
      <c r="F98" s="269">
        <f>+'ต.ค. '!F97+พ.ย.!F97+ธ.ค.!F97</f>
        <v>0</v>
      </c>
      <c r="G98" s="269">
        <f>+'ต.ค. '!G97+พ.ย.!G97+ธ.ค.!G97</f>
        <v>0</v>
      </c>
      <c r="H98" s="269">
        <f>+'ต.ค. '!H97+พ.ย.!H97+ธ.ค.!H97</f>
        <v>0</v>
      </c>
      <c r="I98" s="269">
        <f>+'ต.ค. '!I97+พ.ย.!I97+ธ.ค.!I97</f>
        <v>0</v>
      </c>
      <c r="J98" s="269">
        <f>+'ต.ค. '!J97+พ.ย.!J97+ธ.ค.!J97</f>
        <v>0</v>
      </c>
      <c r="K98" s="269">
        <f>+'ต.ค. '!K97+พ.ย.!K97+ธ.ค.!K97</f>
        <v>0</v>
      </c>
      <c r="L98" s="269">
        <f>+'ต.ค. '!L97+พ.ย.!L97+ธ.ค.!L97</f>
        <v>0</v>
      </c>
      <c r="M98" s="269">
        <f>+'ต.ค. '!M97+พ.ย.!M97+ธ.ค.!M97</f>
        <v>0</v>
      </c>
      <c r="N98" s="269">
        <f>+'ต.ค. '!N97+พ.ย.!N97+ธ.ค.!N97</f>
        <v>0</v>
      </c>
      <c r="O98" s="269">
        <f>+'ต.ค. '!O97+พ.ย.!O97+ธ.ค.!O97</f>
        <v>0</v>
      </c>
      <c r="P98" s="269">
        <f>+'ต.ค. '!P97+พ.ย.!P97+ธ.ค.!P97</f>
        <v>0</v>
      </c>
      <c r="Q98" s="269">
        <f>+'ต.ค. '!Q97+พ.ย.!Q97+ธ.ค.!Q97</f>
        <v>0</v>
      </c>
      <c r="R98" s="269">
        <f>+'ต.ค. '!R97+พ.ย.!R97+ธ.ค.!R97</f>
        <v>0</v>
      </c>
      <c r="S98" s="269">
        <f>+'ต.ค. '!S97+พ.ย.!S97+ธ.ค.!S97</f>
        <v>0</v>
      </c>
      <c r="T98" s="269"/>
      <c r="U98" s="269">
        <f>+'ต.ค. '!U97+พ.ย.!U97+ธ.ค.!U97</f>
        <v>0</v>
      </c>
      <c r="V98" s="269">
        <f>+'ต.ค. '!V97+พ.ย.!V97+ธ.ค.!V97</f>
        <v>0</v>
      </c>
    </row>
    <row r="99" spans="1:22" ht="25.5" customHeight="1">
      <c r="A99" s="9"/>
      <c r="B99" s="187" t="s">
        <v>244</v>
      </c>
      <c r="C99" s="279">
        <v>2000</v>
      </c>
      <c r="D99" s="195"/>
      <c r="E99" s="269">
        <f>+'ต.ค. '!E98+พ.ย.!E98+ธ.ค.!E98</f>
        <v>0</v>
      </c>
      <c r="F99" s="269">
        <f>+'ต.ค. '!F98+พ.ย.!F98+ธ.ค.!F98</f>
        <v>0</v>
      </c>
      <c r="G99" s="269">
        <f>+'ต.ค. '!G98+พ.ย.!G98+ธ.ค.!G98</f>
        <v>0</v>
      </c>
      <c r="H99" s="269">
        <f>+'ต.ค. '!H98+พ.ย.!H98+ธ.ค.!H98</f>
        <v>0</v>
      </c>
      <c r="I99" s="269">
        <f>+'ต.ค. '!I98+พ.ย.!I98+ธ.ค.!I98</f>
        <v>0</v>
      </c>
      <c r="J99" s="269">
        <f>+'ต.ค. '!J98+พ.ย.!J98+ธ.ค.!J98</f>
        <v>0</v>
      </c>
      <c r="K99" s="269">
        <f>+'ต.ค. '!K98+พ.ย.!K98+ธ.ค.!K98</f>
        <v>0</v>
      </c>
      <c r="L99" s="269">
        <f>+'ต.ค. '!L98+พ.ย.!L98+ธ.ค.!L98</f>
        <v>0</v>
      </c>
      <c r="M99" s="269">
        <f>+'ต.ค. '!M98+พ.ย.!M98+ธ.ค.!M98</f>
        <v>0</v>
      </c>
      <c r="N99" s="269">
        <f>+'ต.ค. '!N98+พ.ย.!N98+ธ.ค.!N98</f>
        <v>0</v>
      </c>
      <c r="O99" s="269">
        <f>+'ต.ค. '!O98+พ.ย.!O98+ธ.ค.!O98</f>
        <v>0</v>
      </c>
      <c r="P99" s="269">
        <f>+'ต.ค. '!P98+พ.ย.!P98+ธ.ค.!P98</f>
        <v>0</v>
      </c>
      <c r="Q99" s="269">
        <f>+'ต.ค. '!Q98+พ.ย.!Q98+ธ.ค.!Q98</f>
        <v>0</v>
      </c>
      <c r="R99" s="269">
        <f>+'ต.ค. '!R98+พ.ย.!R98+ธ.ค.!R98</f>
        <v>0</v>
      </c>
      <c r="S99" s="269">
        <f>+'ต.ค. '!S98+พ.ย.!S98+ธ.ค.!S98</f>
        <v>0</v>
      </c>
      <c r="T99" s="269"/>
      <c r="U99" s="269">
        <f>+'ต.ค. '!U98+พ.ย.!U98+ธ.ค.!U98</f>
        <v>0</v>
      </c>
      <c r="V99" s="269">
        <f>+'ต.ค. '!V98+พ.ย.!V98+ธ.ค.!V98</f>
        <v>0</v>
      </c>
    </row>
    <row r="100" spans="1:22" ht="25.5" customHeight="1">
      <c r="A100" s="9"/>
      <c r="B100" s="187" t="s">
        <v>245</v>
      </c>
      <c r="C100" s="279">
        <v>2000</v>
      </c>
      <c r="D100" s="195"/>
      <c r="E100" s="269">
        <f>+'ต.ค. '!E99+พ.ย.!E99+ธ.ค.!E99</f>
        <v>0</v>
      </c>
      <c r="F100" s="269">
        <f>+'ต.ค. '!F99+พ.ย.!F99+ธ.ค.!F99</f>
        <v>0</v>
      </c>
      <c r="G100" s="269">
        <f>+'ต.ค. '!G99+พ.ย.!G99+ธ.ค.!G99</f>
        <v>0</v>
      </c>
      <c r="H100" s="269">
        <f>+'ต.ค. '!H99+พ.ย.!H99+ธ.ค.!H99</f>
        <v>0</v>
      </c>
      <c r="I100" s="269">
        <f>+'ต.ค. '!I99+พ.ย.!I99+ธ.ค.!I99</f>
        <v>0</v>
      </c>
      <c r="J100" s="269">
        <f>+'ต.ค. '!J99+พ.ย.!J99+ธ.ค.!J99</f>
        <v>0</v>
      </c>
      <c r="K100" s="269">
        <f>+'ต.ค. '!K99+พ.ย.!K99+ธ.ค.!K99</f>
        <v>0</v>
      </c>
      <c r="L100" s="269">
        <f>+'ต.ค. '!L99+พ.ย.!L99+ธ.ค.!L99</f>
        <v>0</v>
      </c>
      <c r="M100" s="269">
        <f>+'ต.ค. '!M99+พ.ย.!M99+ธ.ค.!M99</f>
        <v>0</v>
      </c>
      <c r="N100" s="269">
        <f>+'ต.ค. '!N99+พ.ย.!N99+ธ.ค.!N99</f>
        <v>0</v>
      </c>
      <c r="O100" s="269">
        <f>+'ต.ค. '!O99+พ.ย.!O99+ธ.ค.!O99</f>
        <v>0</v>
      </c>
      <c r="P100" s="269">
        <f>+'ต.ค. '!P99+พ.ย.!P99+ธ.ค.!P99</f>
        <v>0</v>
      </c>
      <c r="Q100" s="269">
        <f>+'ต.ค. '!Q99+พ.ย.!Q99+ธ.ค.!Q99</f>
        <v>0</v>
      </c>
      <c r="R100" s="269">
        <f>+'ต.ค. '!R99+พ.ย.!R99+ธ.ค.!R99</f>
        <v>0</v>
      </c>
      <c r="S100" s="269">
        <f>+'ต.ค. '!S99+พ.ย.!S99+ธ.ค.!S99</f>
        <v>0</v>
      </c>
      <c r="T100" s="269"/>
      <c r="U100" s="269">
        <f>+'ต.ค. '!U99+พ.ย.!U99+ธ.ค.!U99</f>
        <v>0</v>
      </c>
      <c r="V100" s="269">
        <f>+'ต.ค. '!V99+พ.ย.!V99+ธ.ค.!V99</f>
        <v>0</v>
      </c>
    </row>
    <row r="101" spans="1:22" ht="25.5" customHeight="1">
      <c r="A101" s="9"/>
      <c r="B101" s="187" t="s">
        <v>246</v>
      </c>
      <c r="C101" s="279">
        <v>2000</v>
      </c>
      <c r="D101" s="195"/>
      <c r="E101" s="269">
        <f>+'ต.ค. '!E100+พ.ย.!E100+ธ.ค.!E100</f>
        <v>0</v>
      </c>
      <c r="F101" s="269">
        <f>+'ต.ค. '!F100+พ.ย.!F100+ธ.ค.!F100</f>
        <v>0</v>
      </c>
      <c r="G101" s="269">
        <f>+'ต.ค. '!G100+พ.ย.!G100+ธ.ค.!G100</f>
        <v>0</v>
      </c>
      <c r="H101" s="269">
        <f>+'ต.ค. '!H100+พ.ย.!H100+ธ.ค.!H100</f>
        <v>0</v>
      </c>
      <c r="I101" s="269">
        <f>+'ต.ค. '!I100+พ.ย.!I100+ธ.ค.!I100</f>
        <v>0</v>
      </c>
      <c r="J101" s="269">
        <f>+'ต.ค. '!J100+พ.ย.!J100+ธ.ค.!J100</f>
        <v>0</v>
      </c>
      <c r="K101" s="269">
        <f>+'ต.ค. '!K100+พ.ย.!K100+ธ.ค.!K100</f>
        <v>0</v>
      </c>
      <c r="L101" s="269">
        <f>+'ต.ค. '!L100+พ.ย.!L100+ธ.ค.!L100</f>
        <v>0</v>
      </c>
      <c r="M101" s="269">
        <f>+'ต.ค. '!M100+พ.ย.!M100+ธ.ค.!M100</f>
        <v>0</v>
      </c>
      <c r="N101" s="269">
        <f>+'ต.ค. '!N100+พ.ย.!N100+ธ.ค.!N100</f>
        <v>0</v>
      </c>
      <c r="O101" s="269">
        <f>+'ต.ค. '!O100+พ.ย.!O100+ธ.ค.!O100</f>
        <v>0</v>
      </c>
      <c r="P101" s="269">
        <f>+'ต.ค. '!P100+พ.ย.!P100+ธ.ค.!P100</f>
        <v>0</v>
      </c>
      <c r="Q101" s="269">
        <f>+'ต.ค. '!Q100+พ.ย.!Q100+ธ.ค.!Q100</f>
        <v>0</v>
      </c>
      <c r="R101" s="269">
        <f>+'ต.ค. '!R100+พ.ย.!R100+ธ.ค.!R100</f>
        <v>0</v>
      </c>
      <c r="S101" s="269">
        <f>+'ต.ค. '!S100+พ.ย.!S100+ธ.ค.!S100</f>
        <v>0</v>
      </c>
      <c r="T101" s="269"/>
      <c r="U101" s="269">
        <f>+'ต.ค. '!U100+พ.ย.!U100+ธ.ค.!U100</f>
        <v>0</v>
      </c>
      <c r="V101" s="269">
        <f>+'ต.ค. '!V100+พ.ย.!V100+ธ.ค.!V100</f>
        <v>0</v>
      </c>
    </row>
    <row r="102" spans="1:22" ht="25.5" customHeight="1">
      <c r="A102" s="9"/>
      <c r="B102" s="187" t="s">
        <v>247</v>
      </c>
      <c r="C102" s="279">
        <v>2000</v>
      </c>
      <c r="D102" s="195"/>
      <c r="E102" s="269">
        <f>+'ต.ค. '!E101+พ.ย.!E101+ธ.ค.!E101</f>
        <v>0</v>
      </c>
      <c r="F102" s="269">
        <f>+'ต.ค. '!F101+พ.ย.!F101+ธ.ค.!F101</f>
        <v>0</v>
      </c>
      <c r="G102" s="269">
        <f>+'ต.ค. '!G101+พ.ย.!G101+ธ.ค.!G101</f>
        <v>0</v>
      </c>
      <c r="H102" s="269">
        <f>+'ต.ค. '!H101+พ.ย.!H101+ธ.ค.!H101</f>
        <v>0</v>
      </c>
      <c r="I102" s="269">
        <f>+'ต.ค. '!I101+พ.ย.!I101+ธ.ค.!I101</f>
        <v>0</v>
      </c>
      <c r="J102" s="269">
        <f>+'ต.ค. '!J101+พ.ย.!J101+ธ.ค.!J101</f>
        <v>0</v>
      </c>
      <c r="K102" s="269">
        <f>+'ต.ค. '!K101+พ.ย.!K101+ธ.ค.!K101</f>
        <v>0</v>
      </c>
      <c r="L102" s="269">
        <f>+'ต.ค. '!L101+พ.ย.!L101+ธ.ค.!L101</f>
        <v>0</v>
      </c>
      <c r="M102" s="269">
        <f>+'ต.ค. '!M101+พ.ย.!M101+ธ.ค.!M101</f>
        <v>0</v>
      </c>
      <c r="N102" s="269">
        <f>+'ต.ค. '!N101+พ.ย.!N101+ธ.ค.!N101</f>
        <v>0</v>
      </c>
      <c r="O102" s="269">
        <f>+'ต.ค. '!O101+พ.ย.!O101+ธ.ค.!O101</f>
        <v>0</v>
      </c>
      <c r="P102" s="269">
        <f>+'ต.ค. '!P101+พ.ย.!P101+ธ.ค.!P101</f>
        <v>0</v>
      </c>
      <c r="Q102" s="269">
        <f>+'ต.ค. '!Q101+พ.ย.!Q101+ธ.ค.!Q101</f>
        <v>0</v>
      </c>
      <c r="R102" s="269">
        <f>+'ต.ค. '!R101+พ.ย.!R101+ธ.ค.!R101</f>
        <v>0</v>
      </c>
      <c r="S102" s="269">
        <f>+'ต.ค. '!S101+พ.ย.!S101+ธ.ค.!S101</f>
        <v>0</v>
      </c>
      <c r="T102" s="269"/>
      <c r="U102" s="269">
        <f>+'ต.ค. '!U101+พ.ย.!U101+ธ.ค.!U101</f>
        <v>0</v>
      </c>
      <c r="V102" s="269">
        <f>+'ต.ค. '!V101+พ.ย.!V101+ธ.ค.!V101</f>
        <v>0</v>
      </c>
    </row>
    <row r="103" spans="1:22" ht="25.5" customHeight="1">
      <c r="A103" s="9"/>
      <c r="B103" s="187" t="s">
        <v>249</v>
      </c>
      <c r="C103" s="279">
        <v>2000</v>
      </c>
      <c r="D103" s="195"/>
      <c r="E103" s="269">
        <f>+'ต.ค. '!E102+พ.ย.!E102+ธ.ค.!E102</f>
        <v>0</v>
      </c>
      <c r="F103" s="269">
        <f>+'ต.ค. '!F102+พ.ย.!F102+ธ.ค.!F102</f>
        <v>0</v>
      </c>
      <c r="G103" s="269">
        <f>+'ต.ค. '!G102+พ.ย.!G102+ธ.ค.!G102</f>
        <v>0</v>
      </c>
      <c r="H103" s="269">
        <f>+'ต.ค. '!H102+พ.ย.!H102+ธ.ค.!H102</f>
        <v>0</v>
      </c>
      <c r="I103" s="269">
        <f>+'ต.ค. '!I102+พ.ย.!I102+ธ.ค.!I102</f>
        <v>0</v>
      </c>
      <c r="J103" s="269">
        <f>+'ต.ค. '!J102+พ.ย.!J102+ธ.ค.!J102</f>
        <v>0</v>
      </c>
      <c r="K103" s="269">
        <f>+'ต.ค. '!K102+พ.ย.!K102+ธ.ค.!K102</f>
        <v>0</v>
      </c>
      <c r="L103" s="269">
        <f>+'ต.ค. '!L102+พ.ย.!L102+ธ.ค.!L102</f>
        <v>0</v>
      </c>
      <c r="M103" s="269">
        <f>+'ต.ค. '!M102+พ.ย.!M102+ธ.ค.!M102</f>
        <v>0</v>
      </c>
      <c r="N103" s="269">
        <f>+'ต.ค. '!N102+พ.ย.!N102+ธ.ค.!N102</f>
        <v>0</v>
      </c>
      <c r="O103" s="269">
        <f>+'ต.ค. '!O102+พ.ย.!O102+ธ.ค.!O102</f>
        <v>0</v>
      </c>
      <c r="P103" s="269">
        <f>+'ต.ค. '!P102+พ.ย.!P102+ธ.ค.!P102</f>
        <v>0</v>
      </c>
      <c r="Q103" s="269">
        <f>+'ต.ค. '!Q102+พ.ย.!Q102+ธ.ค.!Q102</f>
        <v>0</v>
      </c>
      <c r="R103" s="269">
        <f>+'ต.ค. '!R102+พ.ย.!R102+ธ.ค.!R102</f>
        <v>0</v>
      </c>
      <c r="S103" s="269">
        <f>+'ต.ค. '!S102+พ.ย.!S102+ธ.ค.!S102</f>
        <v>0</v>
      </c>
      <c r="T103" s="269"/>
      <c r="U103" s="269">
        <f>+'ต.ค. '!U102+พ.ย.!U102+ธ.ค.!U102</f>
        <v>0</v>
      </c>
      <c r="V103" s="269">
        <f>+'ต.ค. '!V102+พ.ย.!V102+ธ.ค.!V102</f>
        <v>0</v>
      </c>
    </row>
    <row r="104" spans="1:22" ht="25.5" customHeight="1">
      <c r="A104" s="9"/>
      <c r="B104" s="187" t="s">
        <v>250</v>
      </c>
      <c r="C104" s="279">
        <v>2000</v>
      </c>
      <c r="D104" s="195"/>
      <c r="E104" s="269">
        <f>+'ต.ค. '!E103+พ.ย.!E103+ธ.ค.!E103</f>
        <v>0</v>
      </c>
      <c r="F104" s="269">
        <f>+'ต.ค. '!F103+พ.ย.!F103+ธ.ค.!F103</f>
        <v>0</v>
      </c>
      <c r="G104" s="269">
        <f>+'ต.ค. '!G103+พ.ย.!G103+ธ.ค.!G103</f>
        <v>0</v>
      </c>
      <c r="H104" s="269">
        <f>+'ต.ค. '!H103+พ.ย.!H103+ธ.ค.!H103</f>
        <v>0</v>
      </c>
      <c r="I104" s="269">
        <f>+'ต.ค. '!I103+พ.ย.!I103+ธ.ค.!I103</f>
        <v>0</v>
      </c>
      <c r="J104" s="269">
        <f>+'ต.ค. '!J103+พ.ย.!J103+ธ.ค.!J103</f>
        <v>0</v>
      </c>
      <c r="K104" s="269">
        <f>+'ต.ค. '!K103+พ.ย.!K103+ธ.ค.!K103</f>
        <v>0</v>
      </c>
      <c r="L104" s="269">
        <f>+'ต.ค. '!L103+พ.ย.!L103+ธ.ค.!L103</f>
        <v>0</v>
      </c>
      <c r="M104" s="269">
        <f>+'ต.ค. '!M103+พ.ย.!M103+ธ.ค.!M103</f>
        <v>0</v>
      </c>
      <c r="N104" s="269">
        <f>+'ต.ค. '!N103+พ.ย.!N103+ธ.ค.!N103</f>
        <v>0</v>
      </c>
      <c r="O104" s="269">
        <f>+'ต.ค. '!O103+พ.ย.!O103+ธ.ค.!O103</f>
        <v>0</v>
      </c>
      <c r="P104" s="269">
        <f>+'ต.ค. '!P103+พ.ย.!P103+ธ.ค.!P103</f>
        <v>0</v>
      </c>
      <c r="Q104" s="269">
        <f>+'ต.ค. '!Q103+พ.ย.!Q103+ธ.ค.!Q103</f>
        <v>0</v>
      </c>
      <c r="R104" s="269">
        <f>+'ต.ค. '!R103+พ.ย.!R103+ธ.ค.!R103</f>
        <v>0</v>
      </c>
      <c r="S104" s="269">
        <f>+'ต.ค. '!S103+พ.ย.!S103+ธ.ค.!S103</f>
        <v>0</v>
      </c>
      <c r="T104" s="269"/>
      <c r="U104" s="269">
        <f>+'ต.ค. '!U103+พ.ย.!U103+ธ.ค.!U103</f>
        <v>0</v>
      </c>
      <c r="V104" s="269">
        <f>+'ต.ค. '!V103+พ.ย.!V103+ธ.ค.!V103</f>
        <v>0</v>
      </c>
    </row>
    <row r="105" spans="1:22" ht="25.5" customHeight="1">
      <c r="A105" s="9"/>
      <c r="B105" s="187" t="s">
        <v>251</v>
      </c>
      <c r="C105" s="279">
        <v>2000</v>
      </c>
      <c r="D105" s="195"/>
      <c r="E105" s="269">
        <f>+'ต.ค. '!E104+พ.ย.!E104+ธ.ค.!E104</f>
        <v>0</v>
      </c>
      <c r="F105" s="269">
        <f>+'ต.ค. '!F104+พ.ย.!F104+ธ.ค.!F104</f>
        <v>0</v>
      </c>
      <c r="G105" s="269">
        <f>+'ต.ค. '!G104+พ.ย.!G104+ธ.ค.!G104</f>
        <v>0</v>
      </c>
      <c r="H105" s="269">
        <f>+'ต.ค. '!H104+พ.ย.!H104+ธ.ค.!H104</f>
        <v>0</v>
      </c>
      <c r="I105" s="269">
        <f>+'ต.ค. '!I104+พ.ย.!I104+ธ.ค.!I104</f>
        <v>0</v>
      </c>
      <c r="J105" s="269">
        <f>+'ต.ค. '!J104+พ.ย.!J104+ธ.ค.!J104</f>
        <v>0</v>
      </c>
      <c r="K105" s="269">
        <f>+'ต.ค. '!K104+พ.ย.!K104+ธ.ค.!K104</f>
        <v>0</v>
      </c>
      <c r="L105" s="269">
        <f>+'ต.ค. '!L104+พ.ย.!L104+ธ.ค.!L104</f>
        <v>0</v>
      </c>
      <c r="M105" s="269">
        <f>+'ต.ค. '!M104+พ.ย.!M104+ธ.ค.!M104</f>
        <v>0</v>
      </c>
      <c r="N105" s="269">
        <f>+'ต.ค. '!N104+พ.ย.!N104+ธ.ค.!N104</f>
        <v>0</v>
      </c>
      <c r="O105" s="269">
        <f>+'ต.ค. '!O104+พ.ย.!O104+ธ.ค.!O104</f>
        <v>0</v>
      </c>
      <c r="P105" s="269">
        <f>+'ต.ค. '!P104+พ.ย.!P104+ธ.ค.!P104</f>
        <v>0</v>
      </c>
      <c r="Q105" s="269">
        <f>+'ต.ค. '!Q104+พ.ย.!Q104+ธ.ค.!Q104</f>
        <v>0</v>
      </c>
      <c r="R105" s="269">
        <f>+'ต.ค. '!R104+พ.ย.!R104+ธ.ค.!R104</f>
        <v>0</v>
      </c>
      <c r="S105" s="269">
        <f>+'ต.ค. '!S104+พ.ย.!S104+ธ.ค.!S104</f>
        <v>0</v>
      </c>
      <c r="T105" s="269"/>
      <c r="U105" s="269">
        <f>+'ต.ค. '!U104+พ.ย.!U104+ธ.ค.!U104</f>
        <v>0</v>
      </c>
      <c r="V105" s="269">
        <f>+'ต.ค. '!V104+พ.ย.!V104+ธ.ค.!V104</f>
        <v>0</v>
      </c>
    </row>
    <row r="106" spans="1:22" ht="25.5" customHeight="1">
      <c r="A106" s="9"/>
      <c r="B106" s="187" t="s">
        <v>252</v>
      </c>
      <c r="C106" s="279">
        <v>2000</v>
      </c>
      <c r="D106" s="195"/>
      <c r="E106" s="269">
        <f>+'ต.ค. '!E105+พ.ย.!E105+ธ.ค.!E105</f>
        <v>0</v>
      </c>
      <c r="F106" s="269">
        <f>+'ต.ค. '!F105+พ.ย.!F105+ธ.ค.!F105</f>
        <v>0</v>
      </c>
      <c r="G106" s="269">
        <f>+'ต.ค. '!G105+พ.ย.!G105+ธ.ค.!G105</f>
        <v>0</v>
      </c>
      <c r="H106" s="269">
        <f>+'ต.ค. '!H105+พ.ย.!H105+ธ.ค.!H105</f>
        <v>0</v>
      </c>
      <c r="I106" s="269">
        <f>+'ต.ค. '!I105+พ.ย.!I105+ธ.ค.!I105</f>
        <v>0</v>
      </c>
      <c r="J106" s="269">
        <f>+'ต.ค. '!J105+พ.ย.!J105+ธ.ค.!J105</f>
        <v>0</v>
      </c>
      <c r="K106" s="269">
        <f>+'ต.ค. '!K105+พ.ย.!K105+ธ.ค.!K105</f>
        <v>0</v>
      </c>
      <c r="L106" s="269">
        <f>+'ต.ค. '!L105+พ.ย.!L105+ธ.ค.!L105</f>
        <v>0</v>
      </c>
      <c r="M106" s="269">
        <f>+'ต.ค. '!M105+พ.ย.!M105+ธ.ค.!M105</f>
        <v>0</v>
      </c>
      <c r="N106" s="269">
        <f>+'ต.ค. '!N105+พ.ย.!N105+ธ.ค.!N105</f>
        <v>0</v>
      </c>
      <c r="O106" s="269">
        <f>+'ต.ค. '!O105+พ.ย.!O105+ธ.ค.!O105</f>
        <v>0</v>
      </c>
      <c r="P106" s="269">
        <f>+'ต.ค. '!P105+พ.ย.!P105+ธ.ค.!P105</f>
        <v>0</v>
      </c>
      <c r="Q106" s="269">
        <f>+'ต.ค. '!Q105+พ.ย.!Q105+ธ.ค.!Q105</f>
        <v>0</v>
      </c>
      <c r="R106" s="269">
        <f>+'ต.ค. '!R105+พ.ย.!R105+ธ.ค.!R105</f>
        <v>0</v>
      </c>
      <c r="S106" s="269">
        <f>+'ต.ค. '!S105+พ.ย.!S105+ธ.ค.!S105</f>
        <v>0</v>
      </c>
      <c r="T106" s="269"/>
      <c r="U106" s="269">
        <f>+'ต.ค. '!U105+พ.ย.!U105+ธ.ค.!U105</f>
        <v>0</v>
      </c>
      <c r="V106" s="269">
        <f>+'ต.ค. '!V105+พ.ย.!V105+ธ.ค.!V105</f>
        <v>0</v>
      </c>
    </row>
    <row r="107" spans="1:22" ht="25.5" customHeight="1">
      <c r="A107" s="9"/>
      <c r="B107" s="187" t="s">
        <v>253</v>
      </c>
      <c r="C107" s="279">
        <v>2000</v>
      </c>
      <c r="D107" s="195"/>
      <c r="E107" s="269">
        <f>+'ต.ค. '!E106+พ.ย.!E106+ธ.ค.!E106</f>
        <v>0</v>
      </c>
      <c r="F107" s="269">
        <f>+'ต.ค. '!F106+พ.ย.!F106+ธ.ค.!F106</f>
        <v>0</v>
      </c>
      <c r="G107" s="269">
        <f>+'ต.ค. '!G106+พ.ย.!G106+ธ.ค.!G106</f>
        <v>0</v>
      </c>
      <c r="H107" s="269">
        <f>+'ต.ค. '!H106+พ.ย.!H106+ธ.ค.!H106</f>
        <v>0</v>
      </c>
      <c r="I107" s="269">
        <f>+'ต.ค. '!I106+พ.ย.!I106+ธ.ค.!I106</f>
        <v>0</v>
      </c>
      <c r="J107" s="269">
        <f>+'ต.ค. '!J106+พ.ย.!J106+ธ.ค.!J106</f>
        <v>0</v>
      </c>
      <c r="K107" s="269">
        <f>+'ต.ค. '!K106+พ.ย.!K106+ธ.ค.!K106</f>
        <v>0</v>
      </c>
      <c r="L107" s="269">
        <f>+'ต.ค. '!L106+พ.ย.!L106+ธ.ค.!L106</f>
        <v>0</v>
      </c>
      <c r="M107" s="269">
        <f>+'ต.ค. '!M106+พ.ย.!M106+ธ.ค.!M106</f>
        <v>0</v>
      </c>
      <c r="N107" s="269">
        <f>+'ต.ค. '!N106+พ.ย.!N106+ธ.ค.!N106</f>
        <v>0</v>
      </c>
      <c r="O107" s="269">
        <f>+'ต.ค. '!O106+พ.ย.!O106+ธ.ค.!O106</f>
        <v>0</v>
      </c>
      <c r="P107" s="269">
        <f>+'ต.ค. '!P106+พ.ย.!P106+ธ.ค.!P106</f>
        <v>0</v>
      </c>
      <c r="Q107" s="269">
        <f>+'ต.ค. '!Q106+พ.ย.!Q106+ธ.ค.!Q106</f>
        <v>0</v>
      </c>
      <c r="R107" s="269">
        <f>+'ต.ค. '!R106+พ.ย.!R106+ธ.ค.!R106</f>
        <v>0</v>
      </c>
      <c r="S107" s="269">
        <f>+'ต.ค. '!S106+พ.ย.!S106+ธ.ค.!S106</f>
        <v>0</v>
      </c>
      <c r="T107" s="269"/>
      <c r="U107" s="269">
        <f>+'ต.ค. '!U106+พ.ย.!U106+ธ.ค.!U106</f>
        <v>0</v>
      </c>
      <c r="V107" s="269">
        <f>+'ต.ค. '!V106+พ.ย.!V106+ธ.ค.!V106</f>
        <v>0</v>
      </c>
    </row>
    <row r="108" spans="1:22" ht="25.5" customHeight="1">
      <c r="A108" s="9"/>
      <c r="B108" s="187" t="s">
        <v>254</v>
      </c>
      <c r="C108" s="279">
        <v>2000</v>
      </c>
      <c r="D108" s="195"/>
      <c r="E108" s="269">
        <f>+'ต.ค. '!E107+พ.ย.!E107+ธ.ค.!E107</f>
        <v>0</v>
      </c>
      <c r="F108" s="269">
        <f>+'ต.ค. '!F107+พ.ย.!F107+ธ.ค.!F107</f>
        <v>0</v>
      </c>
      <c r="G108" s="269">
        <f>+'ต.ค. '!G107+พ.ย.!G107+ธ.ค.!G107</f>
        <v>0</v>
      </c>
      <c r="H108" s="269">
        <f>+'ต.ค. '!H107+พ.ย.!H107+ธ.ค.!H107</f>
        <v>0</v>
      </c>
      <c r="I108" s="269">
        <f>+'ต.ค. '!I107+พ.ย.!I107+ธ.ค.!I107</f>
        <v>0</v>
      </c>
      <c r="J108" s="269">
        <f>+'ต.ค. '!J107+พ.ย.!J107+ธ.ค.!J107</f>
        <v>0</v>
      </c>
      <c r="K108" s="269">
        <f>+'ต.ค. '!K107+พ.ย.!K107+ธ.ค.!K107</f>
        <v>0</v>
      </c>
      <c r="L108" s="269">
        <f>+'ต.ค. '!L107+พ.ย.!L107+ธ.ค.!L107</f>
        <v>0</v>
      </c>
      <c r="M108" s="269">
        <f>+'ต.ค. '!M107+พ.ย.!M107+ธ.ค.!M107</f>
        <v>0</v>
      </c>
      <c r="N108" s="269">
        <f>+'ต.ค. '!N107+พ.ย.!N107+ธ.ค.!N107</f>
        <v>0</v>
      </c>
      <c r="O108" s="269">
        <f>+'ต.ค. '!O107+พ.ย.!O107+ธ.ค.!O107</f>
        <v>0</v>
      </c>
      <c r="P108" s="269">
        <f>+'ต.ค. '!P107+พ.ย.!P107+ธ.ค.!P107</f>
        <v>0</v>
      </c>
      <c r="Q108" s="269">
        <f>+'ต.ค. '!Q107+พ.ย.!Q107+ธ.ค.!Q107</f>
        <v>0</v>
      </c>
      <c r="R108" s="269">
        <f>+'ต.ค. '!R107+พ.ย.!R107+ธ.ค.!R107</f>
        <v>0</v>
      </c>
      <c r="S108" s="269">
        <f>+'ต.ค. '!S107+พ.ย.!S107+ธ.ค.!S107</f>
        <v>0</v>
      </c>
      <c r="T108" s="269"/>
      <c r="U108" s="269">
        <f>+'ต.ค. '!U107+พ.ย.!U107+ธ.ค.!U107</f>
        <v>0</v>
      </c>
      <c r="V108" s="269">
        <f>+'ต.ค. '!V107+พ.ย.!V107+ธ.ค.!V107</f>
        <v>0</v>
      </c>
    </row>
    <row r="109" spans="1:22" ht="25.5" customHeight="1">
      <c r="A109" s="9"/>
      <c r="B109" s="187" t="s">
        <v>312</v>
      </c>
      <c r="C109" s="279">
        <v>2500</v>
      </c>
      <c r="D109" s="195"/>
      <c r="E109" s="269">
        <f>+'ต.ค. '!E108+พ.ย.!E108+ธ.ค.!E108</f>
        <v>0</v>
      </c>
      <c r="F109" s="269">
        <f>+'ต.ค. '!F108+พ.ย.!F108+ธ.ค.!F108</f>
        <v>0</v>
      </c>
      <c r="G109" s="269">
        <f>+'ต.ค. '!G108+พ.ย.!G108+ธ.ค.!G108</f>
        <v>0</v>
      </c>
      <c r="H109" s="269">
        <f>+'ต.ค. '!H108+พ.ย.!H108+ธ.ค.!H108</f>
        <v>0</v>
      </c>
      <c r="I109" s="269">
        <f>+'ต.ค. '!I108+พ.ย.!I108+ธ.ค.!I108</f>
        <v>0</v>
      </c>
      <c r="J109" s="269">
        <f>+'ต.ค. '!J108+พ.ย.!J108+ธ.ค.!J108</f>
        <v>0</v>
      </c>
      <c r="K109" s="269">
        <f>+'ต.ค. '!K108+พ.ย.!K108+ธ.ค.!K108</f>
        <v>0</v>
      </c>
      <c r="L109" s="269">
        <f>+'ต.ค. '!L108+พ.ย.!L108+ธ.ค.!L108</f>
        <v>0</v>
      </c>
      <c r="M109" s="269">
        <f>+'ต.ค. '!M108+พ.ย.!M108+ธ.ค.!M108</f>
        <v>0</v>
      </c>
      <c r="N109" s="269">
        <f>+'ต.ค. '!N108+พ.ย.!N108+ธ.ค.!N108</f>
        <v>0</v>
      </c>
      <c r="O109" s="269">
        <f>+'ต.ค. '!O108+พ.ย.!O108+ธ.ค.!O108</f>
        <v>0</v>
      </c>
      <c r="P109" s="269">
        <f>+'ต.ค. '!P108+พ.ย.!P108+ธ.ค.!P108</f>
        <v>0</v>
      </c>
      <c r="Q109" s="269">
        <f>+'ต.ค. '!Q108+พ.ย.!Q108+ธ.ค.!Q108</f>
        <v>0</v>
      </c>
      <c r="R109" s="269">
        <f>+'ต.ค. '!R108+พ.ย.!R108+ธ.ค.!R108</f>
        <v>0</v>
      </c>
      <c r="S109" s="269">
        <f>+'ต.ค. '!S108+พ.ย.!S108+ธ.ค.!S108</f>
        <v>0</v>
      </c>
      <c r="T109" s="269"/>
      <c r="U109" s="269">
        <f>+'ต.ค. '!U108+พ.ย.!U108+ธ.ค.!U108</f>
        <v>0</v>
      </c>
      <c r="V109" s="269">
        <f>+'ต.ค. '!V108+พ.ย.!V108+ธ.ค.!V108</f>
        <v>0</v>
      </c>
    </row>
    <row r="110" spans="1:22" ht="25.5" customHeight="1">
      <c r="A110" s="9"/>
      <c r="B110" s="187" t="s">
        <v>313</v>
      </c>
      <c r="C110" s="279">
        <v>2500</v>
      </c>
      <c r="D110" s="131"/>
      <c r="E110" s="269">
        <f>+'ต.ค. '!E109+พ.ย.!E109+ธ.ค.!E109</f>
        <v>0</v>
      </c>
      <c r="F110" s="269">
        <f>+'ต.ค. '!F109+พ.ย.!F109+ธ.ค.!F109</f>
        <v>0</v>
      </c>
      <c r="G110" s="269">
        <f>+'ต.ค. '!G109+พ.ย.!G109+ธ.ค.!G109</f>
        <v>0</v>
      </c>
      <c r="H110" s="269">
        <f>+'ต.ค. '!H109+พ.ย.!H109+ธ.ค.!H109</f>
        <v>0</v>
      </c>
      <c r="I110" s="269">
        <f>+'ต.ค. '!I109+พ.ย.!I109+ธ.ค.!I109</f>
        <v>0</v>
      </c>
      <c r="J110" s="269">
        <f>+'ต.ค. '!J109+พ.ย.!J109+ธ.ค.!J109</f>
        <v>0</v>
      </c>
      <c r="K110" s="269">
        <f>+'ต.ค. '!K109+พ.ย.!K109+ธ.ค.!K109</f>
        <v>0</v>
      </c>
      <c r="L110" s="269">
        <f>+'ต.ค. '!L109+พ.ย.!L109+ธ.ค.!L109</f>
        <v>0</v>
      </c>
      <c r="M110" s="269">
        <f>+'ต.ค. '!M109+พ.ย.!M109+ธ.ค.!M109</f>
        <v>0</v>
      </c>
      <c r="N110" s="269">
        <f>+'ต.ค. '!N109+พ.ย.!N109+ธ.ค.!N109</f>
        <v>0</v>
      </c>
      <c r="O110" s="269">
        <f>+'ต.ค. '!O109+พ.ย.!O109+ธ.ค.!O109</f>
        <v>0</v>
      </c>
      <c r="P110" s="269">
        <f>+'ต.ค. '!P109+พ.ย.!P109+ธ.ค.!P109</f>
        <v>0</v>
      </c>
      <c r="Q110" s="269">
        <f>+'ต.ค. '!Q109+พ.ย.!Q109+ธ.ค.!Q109</f>
        <v>0</v>
      </c>
      <c r="R110" s="269">
        <f>+'ต.ค. '!R109+พ.ย.!R109+ธ.ค.!R109</f>
        <v>0</v>
      </c>
      <c r="S110" s="269">
        <f>+'ต.ค. '!S109+พ.ย.!S109+ธ.ค.!S109</f>
        <v>0</v>
      </c>
      <c r="T110" s="269"/>
      <c r="U110" s="269">
        <f>+'ต.ค. '!U109+พ.ย.!U109+ธ.ค.!U109</f>
        <v>0</v>
      </c>
      <c r="V110" s="269">
        <f>+'ต.ค. '!V109+พ.ย.!V109+ธ.ค.!V109</f>
        <v>0</v>
      </c>
    </row>
    <row r="111" spans="1:22" ht="25.5" customHeight="1">
      <c r="A111" s="9"/>
      <c r="B111" s="187" t="s">
        <v>314</v>
      </c>
      <c r="C111" s="279">
        <v>2500</v>
      </c>
      <c r="D111" s="195"/>
      <c r="E111" s="269">
        <f>+'ต.ค. '!E110+พ.ย.!E110+ธ.ค.!E110</f>
        <v>0</v>
      </c>
      <c r="F111" s="269">
        <f>+'ต.ค. '!F110+พ.ย.!F110+ธ.ค.!F110</f>
        <v>0</v>
      </c>
      <c r="G111" s="269">
        <f>+'ต.ค. '!G110+พ.ย.!G110+ธ.ค.!G110</f>
        <v>0</v>
      </c>
      <c r="H111" s="269">
        <f>+'ต.ค. '!H110+พ.ย.!H110+ธ.ค.!H110</f>
        <v>0</v>
      </c>
      <c r="I111" s="269">
        <f>+'ต.ค. '!I110+พ.ย.!I110+ธ.ค.!I110</f>
        <v>0</v>
      </c>
      <c r="J111" s="269">
        <f>+'ต.ค. '!J110+พ.ย.!J110+ธ.ค.!J110</f>
        <v>0</v>
      </c>
      <c r="K111" s="269">
        <f>+'ต.ค. '!K110+พ.ย.!K110+ธ.ค.!K110</f>
        <v>0</v>
      </c>
      <c r="L111" s="269">
        <f>+'ต.ค. '!L110+พ.ย.!L110+ธ.ค.!L110</f>
        <v>0</v>
      </c>
      <c r="M111" s="269">
        <f>+'ต.ค. '!M110+พ.ย.!M110+ธ.ค.!M110</f>
        <v>0</v>
      </c>
      <c r="N111" s="269">
        <f>+'ต.ค. '!N110+พ.ย.!N110+ธ.ค.!N110</f>
        <v>0</v>
      </c>
      <c r="O111" s="269">
        <f>+'ต.ค. '!O110+พ.ย.!O110+ธ.ค.!O110</f>
        <v>0</v>
      </c>
      <c r="P111" s="269">
        <f>+'ต.ค. '!P110+พ.ย.!P110+ธ.ค.!P110</f>
        <v>0</v>
      </c>
      <c r="Q111" s="269">
        <f>+'ต.ค. '!Q110+พ.ย.!Q110+ธ.ค.!Q110</f>
        <v>0</v>
      </c>
      <c r="R111" s="269">
        <f>+'ต.ค. '!R110+พ.ย.!R110+ธ.ค.!R110</f>
        <v>0</v>
      </c>
      <c r="S111" s="269">
        <f>+'ต.ค. '!S110+พ.ย.!S110+ธ.ค.!S110</f>
        <v>0</v>
      </c>
      <c r="T111" s="269"/>
      <c r="U111" s="269">
        <f>+'ต.ค. '!U110+พ.ย.!U110+ธ.ค.!U110</f>
        <v>0</v>
      </c>
      <c r="V111" s="269">
        <f>+'ต.ค. '!V110+พ.ย.!V110+ธ.ค.!V110</f>
        <v>0</v>
      </c>
    </row>
    <row r="112" spans="1:22" ht="25.5" customHeight="1">
      <c r="A112" s="9"/>
      <c r="B112" s="187" t="s">
        <v>255</v>
      </c>
      <c r="C112" s="279">
        <v>4000</v>
      </c>
      <c r="D112" s="195"/>
      <c r="E112" s="269">
        <f>+'ต.ค. '!E111+พ.ย.!E111+ธ.ค.!E111</f>
        <v>0</v>
      </c>
      <c r="F112" s="269">
        <f>+'ต.ค. '!F111+พ.ย.!F111+ธ.ค.!F111</f>
        <v>0</v>
      </c>
      <c r="G112" s="269">
        <f>+'ต.ค. '!G111+พ.ย.!G111+ธ.ค.!G111</f>
        <v>0</v>
      </c>
      <c r="H112" s="269">
        <f>+'ต.ค. '!H111+พ.ย.!H111+ธ.ค.!H111</f>
        <v>0</v>
      </c>
      <c r="I112" s="269">
        <f>+'ต.ค. '!I111+พ.ย.!I111+ธ.ค.!I111</f>
        <v>0</v>
      </c>
      <c r="J112" s="269">
        <f>+'ต.ค. '!J111+พ.ย.!J111+ธ.ค.!J111</f>
        <v>0</v>
      </c>
      <c r="K112" s="269">
        <f>+'ต.ค. '!K111+พ.ย.!K111+ธ.ค.!K111</f>
        <v>0</v>
      </c>
      <c r="L112" s="269">
        <f>+'ต.ค. '!L111+พ.ย.!L111+ธ.ค.!L111</f>
        <v>0</v>
      </c>
      <c r="M112" s="269">
        <f>+'ต.ค. '!M111+พ.ย.!M111+ธ.ค.!M111</f>
        <v>0</v>
      </c>
      <c r="N112" s="269">
        <f>+'ต.ค. '!N111+พ.ย.!N111+ธ.ค.!N111</f>
        <v>0</v>
      </c>
      <c r="O112" s="269">
        <f>+'ต.ค. '!O111+พ.ย.!O111+ธ.ค.!O111</f>
        <v>0</v>
      </c>
      <c r="P112" s="269">
        <f>+'ต.ค. '!P111+พ.ย.!P111+ธ.ค.!P111</f>
        <v>0</v>
      </c>
      <c r="Q112" s="269">
        <f>+'ต.ค. '!Q111+พ.ย.!Q111+ธ.ค.!Q111</f>
        <v>0</v>
      </c>
      <c r="R112" s="269">
        <f>+'ต.ค. '!R111+พ.ย.!R111+ธ.ค.!R111</f>
        <v>0</v>
      </c>
      <c r="S112" s="269">
        <f>+'ต.ค. '!S111+พ.ย.!S111+ธ.ค.!S111</f>
        <v>0</v>
      </c>
      <c r="T112" s="269"/>
      <c r="U112" s="269">
        <f>+'ต.ค. '!U111+พ.ย.!U111+ธ.ค.!U111</f>
        <v>0</v>
      </c>
      <c r="V112" s="269">
        <f>+'ต.ค. '!V111+พ.ย.!V111+ธ.ค.!V111</f>
        <v>0</v>
      </c>
    </row>
    <row r="113" spans="1:22" ht="25.5" customHeight="1">
      <c r="A113" s="9"/>
      <c r="B113" s="187" t="s">
        <v>256</v>
      </c>
      <c r="C113" s="279">
        <v>2500</v>
      </c>
      <c r="D113" s="195"/>
      <c r="E113" s="269">
        <f>+'ต.ค. '!E112+พ.ย.!E112+ธ.ค.!E112</f>
        <v>0</v>
      </c>
      <c r="F113" s="269">
        <f>+'ต.ค. '!F112+พ.ย.!F112+ธ.ค.!F112</f>
        <v>0</v>
      </c>
      <c r="G113" s="269">
        <f>+'ต.ค. '!G112+พ.ย.!G112+ธ.ค.!G112</f>
        <v>0</v>
      </c>
      <c r="H113" s="269">
        <f>+'ต.ค. '!H112+พ.ย.!H112+ธ.ค.!H112</f>
        <v>0</v>
      </c>
      <c r="I113" s="269">
        <f>+'ต.ค. '!I112+พ.ย.!I112+ธ.ค.!I112</f>
        <v>0</v>
      </c>
      <c r="J113" s="269">
        <f>+'ต.ค. '!J112+พ.ย.!J112+ธ.ค.!J112</f>
        <v>0</v>
      </c>
      <c r="K113" s="269">
        <f>+'ต.ค. '!K112+พ.ย.!K112+ธ.ค.!K112</f>
        <v>0</v>
      </c>
      <c r="L113" s="269">
        <f>+'ต.ค. '!L112+พ.ย.!L112+ธ.ค.!L112</f>
        <v>0</v>
      </c>
      <c r="M113" s="269">
        <f>+'ต.ค. '!M112+พ.ย.!M112+ธ.ค.!M112</f>
        <v>0</v>
      </c>
      <c r="N113" s="269">
        <f>+'ต.ค. '!N112+พ.ย.!N112+ธ.ค.!N112</f>
        <v>0</v>
      </c>
      <c r="O113" s="269">
        <f>+'ต.ค. '!O112+พ.ย.!O112+ธ.ค.!O112</f>
        <v>0</v>
      </c>
      <c r="P113" s="269">
        <f>+'ต.ค. '!P112+พ.ย.!P112+ธ.ค.!P112</f>
        <v>0</v>
      </c>
      <c r="Q113" s="269">
        <f>+'ต.ค. '!Q112+พ.ย.!Q112+ธ.ค.!Q112</f>
        <v>0</v>
      </c>
      <c r="R113" s="269">
        <f>+'ต.ค. '!R112+พ.ย.!R112+ธ.ค.!R112</f>
        <v>0</v>
      </c>
      <c r="S113" s="269">
        <f>+'ต.ค. '!S112+พ.ย.!S112+ธ.ค.!S112</f>
        <v>0</v>
      </c>
      <c r="T113" s="269"/>
      <c r="U113" s="269">
        <f>+'ต.ค. '!U112+พ.ย.!U112+ธ.ค.!U112</f>
        <v>0</v>
      </c>
      <c r="V113" s="269">
        <f>+'ต.ค. '!V112+พ.ย.!V112+ธ.ค.!V112</f>
        <v>0</v>
      </c>
    </row>
    <row r="114" spans="1:22" ht="25.5" customHeight="1">
      <c r="A114" s="9"/>
      <c r="B114" s="187" t="s">
        <v>257</v>
      </c>
      <c r="C114" s="279">
        <v>2500</v>
      </c>
      <c r="D114" s="195"/>
      <c r="E114" s="269">
        <f>+'ต.ค. '!E113+พ.ย.!E113+ธ.ค.!E113</f>
        <v>0</v>
      </c>
      <c r="F114" s="269">
        <f>+'ต.ค. '!F113+พ.ย.!F113+ธ.ค.!F113</f>
        <v>0</v>
      </c>
      <c r="G114" s="269">
        <f>+'ต.ค. '!G113+พ.ย.!G113+ธ.ค.!G113</f>
        <v>0</v>
      </c>
      <c r="H114" s="269">
        <f>+'ต.ค. '!H113+พ.ย.!H113+ธ.ค.!H113</f>
        <v>0</v>
      </c>
      <c r="I114" s="269">
        <f>+'ต.ค. '!I113+พ.ย.!I113+ธ.ค.!I113</f>
        <v>0</v>
      </c>
      <c r="J114" s="269">
        <f>+'ต.ค. '!J113+พ.ย.!J113+ธ.ค.!J113</f>
        <v>0</v>
      </c>
      <c r="K114" s="269">
        <f>+'ต.ค. '!K113+พ.ย.!K113+ธ.ค.!K113</f>
        <v>0</v>
      </c>
      <c r="L114" s="269">
        <f>+'ต.ค. '!L113+พ.ย.!L113+ธ.ค.!L113</f>
        <v>0</v>
      </c>
      <c r="M114" s="269">
        <f>+'ต.ค. '!M113+พ.ย.!M113+ธ.ค.!M113</f>
        <v>0</v>
      </c>
      <c r="N114" s="269">
        <f>+'ต.ค. '!N113+พ.ย.!N113+ธ.ค.!N113</f>
        <v>0</v>
      </c>
      <c r="O114" s="269">
        <f>+'ต.ค. '!O113+พ.ย.!O113+ธ.ค.!O113</f>
        <v>0</v>
      </c>
      <c r="P114" s="269">
        <f>+'ต.ค. '!P113+พ.ย.!P113+ธ.ค.!P113</f>
        <v>0</v>
      </c>
      <c r="Q114" s="269">
        <f>+'ต.ค. '!Q113+พ.ย.!Q113+ธ.ค.!Q113</f>
        <v>0</v>
      </c>
      <c r="R114" s="269">
        <f>+'ต.ค. '!R113+พ.ย.!R113+ธ.ค.!R113</f>
        <v>0</v>
      </c>
      <c r="S114" s="269">
        <f>+'ต.ค. '!S113+พ.ย.!S113+ธ.ค.!S113</f>
        <v>0</v>
      </c>
      <c r="T114" s="269"/>
      <c r="U114" s="269">
        <f>+'ต.ค. '!U113+พ.ย.!U113+ธ.ค.!U113</f>
        <v>0</v>
      </c>
      <c r="V114" s="269">
        <f>+'ต.ค. '!V113+พ.ย.!V113+ธ.ค.!V113</f>
        <v>0</v>
      </c>
    </row>
    <row r="115" spans="1:22" ht="25.5" customHeight="1">
      <c r="A115" s="9"/>
      <c r="B115" s="187" t="s">
        <v>258</v>
      </c>
      <c r="C115" s="279">
        <v>2500</v>
      </c>
      <c r="D115" s="195"/>
      <c r="E115" s="269">
        <f>+'ต.ค. '!E114+พ.ย.!E114+ธ.ค.!E114</f>
        <v>0</v>
      </c>
      <c r="F115" s="269">
        <f>+'ต.ค. '!F114+พ.ย.!F114+ธ.ค.!F114</f>
        <v>0</v>
      </c>
      <c r="G115" s="269">
        <f>+'ต.ค. '!G114+พ.ย.!G114+ธ.ค.!G114</f>
        <v>0</v>
      </c>
      <c r="H115" s="269">
        <f>+'ต.ค. '!H114+พ.ย.!H114+ธ.ค.!H114</f>
        <v>0</v>
      </c>
      <c r="I115" s="269">
        <f>+'ต.ค. '!I114+พ.ย.!I114+ธ.ค.!I114</f>
        <v>0</v>
      </c>
      <c r="J115" s="269">
        <f>+'ต.ค. '!J114+พ.ย.!J114+ธ.ค.!J114</f>
        <v>0</v>
      </c>
      <c r="K115" s="269">
        <f>+'ต.ค. '!K114+พ.ย.!K114+ธ.ค.!K114</f>
        <v>0</v>
      </c>
      <c r="L115" s="269">
        <f>+'ต.ค. '!L114+พ.ย.!L114+ธ.ค.!L114</f>
        <v>0</v>
      </c>
      <c r="M115" s="269">
        <f>+'ต.ค. '!M114+พ.ย.!M114+ธ.ค.!M114</f>
        <v>0</v>
      </c>
      <c r="N115" s="269">
        <f>+'ต.ค. '!N114+พ.ย.!N114+ธ.ค.!N114</f>
        <v>0</v>
      </c>
      <c r="O115" s="269">
        <f>+'ต.ค. '!O114+พ.ย.!O114+ธ.ค.!O114</f>
        <v>0</v>
      </c>
      <c r="P115" s="269">
        <f>+'ต.ค. '!P114+พ.ย.!P114+ธ.ค.!P114</f>
        <v>0</v>
      </c>
      <c r="Q115" s="269">
        <f>+'ต.ค. '!Q114+พ.ย.!Q114+ธ.ค.!Q114</f>
        <v>0</v>
      </c>
      <c r="R115" s="269">
        <f>+'ต.ค. '!R114+พ.ย.!R114+ธ.ค.!R114</f>
        <v>0</v>
      </c>
      <c r="S115" s="269">
        <f>+'ต.ค. '!S114+พ.ย.!S114+ธ.ค.!S114</f>
        <v>0</v>
      </c>
      <c r="T115" s="269"/>
      <c r="U115" s="269">
        <f>+'ต.ค. '!U114+พ.ย.!U114+ธ.ค.!U114</f>
        <v>0</v>
      </c>
      <c r="V115" s="269">
        <f>+'ต.ค. '!V114+พ.ย.!V114+ธ.ค.!V114</f>
        <v>0</v>
      </c>
    </row>
    <row r="116" spans="1:22" ht="25.5" customHeight="1">
      <c r="A116" s="9"/>
      <c r="B116" s="187" t="s">
        <v>259</v>
      </c>
      <c r="C116" s="279">
        <v>1000</v>
      </c>
      <c r="D116" s="195"/>
      <c r="E116" s="269">
        <f>+'ต.ค. '!E115+พ.ย.!E115+ธ.ค.!E115</f>
        <v>0</v>
      </c>
      <c r="F116" s="269">
        <f>+'ต.ค. '!F115+พ.ย.!F115+ธ.ค.!F115</f>
        <v>0</v>
      </c>
      <c r="G116" s="269">
        <f>+'ต.ค. '!G115+พ.ย.!G115+ธ.ค.!G115</f>
        <v>0</v>
      </c>
      <c r="H116" s="269">
        <f>+'ต.ค. '!H115+พ.ย.!H115+ธ.ค.!H115</f>
        <v>0</v>
      </c>
      <c r="I116" s="269">
        <f>+'ต.ค. '!I115+พ.ย.!I115+ธ.ค.!I115</f>
        <v>0</v>
      </c>
      <c r="J116" s="269">
        <f>+'ต.ค. '!J115+พ.ย.!J115+ธ.ค.!J115</f>
        <v>0</v>
      </c>
      <c r="K116" s="269">
        <f>+'ต.ค. '!K115+พ.ย.!K115+ธ.ค.!K115</f>
        <v>0</v>
      </c>
      <c r="L116" s="269">
        <f>+'ต.ค. '!L115+พ.ย.!L115+ธ.ค.!L115</f>
        <v>0</v>
      </c>
      <c r="M116" s="269">
        <f>+'ต.ค. '!M115+พ.ย.!M115+ธ.ค.!M115</f>
        <v>0</v>
      </c>
      <c r="N116" s="269">
        <f>+'ต.ค. '!N115+พ.ย.!N115+ธ.ค.!N115</f>
        <v>0</v>
      </c>
      <c r="O116" s="269">
        <f>+'ต.ค. '!O115+พ.ย.!O115+ธ.ค.!O115</f>
        <v>0</v>
      </c>
      <c r="P116" s="269">
        <f>+'ต.ค. '!P115+พ.ย.!P115+ธ.ค.!P115</f>
        <v>0</v>
      </c>
      <c r="Q116" s="269">
        <f>+'ต.ค. '!Q115+พ.ย.!Q115+ธ.ค.!Q115</f>
        <v>0</v>
      </c>
      <c r="R116" s="269">
        <f>+'ต.ค. '!R115+พ.ย.!R115+ธ.ค.!R115</f>
        <v>0</v>
      </c>
      <c r="S116" s="269">
        <f>+'ต.ค. '!S115+พ.ย.!S115+ธ.ค.!S115</f>
        <v>0</v>
      </c>
      <c r="T116" s="269"/>
      <c r="U116" s="269">
        <f>+'ต.ค. '!U115+พ.ย.!U115+ธ.ค.!U115</f>
        <v>0</v>
      </c>
      <c r="V116" s="269">
        <f>+'ต.ค. '!V115+พ.ย.!V115+ธ.ค.!V115</f>
        <v>0</v>
      </c>
    </row>
    <row r="117" spans="1:22" ht="25.5" customHeight="1">
      <c r="A117" s="9"/>
      <c r="B117" s="187" t="s">
        <v>260</v>
      </c>
      <c r="C117" s="279">
        <v>1000</v>
      </c>
      <c r="D117" s="195"/>
      <c r="E117" s="269">
        <f>+'ต.ค. '!E116+พ.ย.!E116+ธ.ค.!E116</f>
        <v>0</v>
      </c>
      <c r="F117" s="269">
        <f>+'ต.ค. '!F116+พ.ย.!F116+ธ.ค.!F116</f>
        <v>0</v>
      </c>
      <c r="G117" s="269">
        <f>+'ต.ค. '!G116+พ.ย.!G116+ธ.ค.!G116</f>
        <v>0</v>
      </c>
      <c r="H117" s="269">
        <f>+'ต.ค. '!H116+พ.ย.!H116+ธ.ค.!H116</f>
        <v>0</v>
      </c>
      <c r="I117" s="269">
        <f>+'ต.ค. '!I116+พ.ย.!I116+ธ.ค.!I116</f>
        <v>0</v>
      </c>
      <c r="J117" s="269">
        <f>+'ต.ค. '!J116+พ.ย.!J116+ธ.ค.!J116</f>
        <v>0</v>
      </c>
      <c r="K117" s="269">
        <f>+'ต.ค. '!K116+พ.ย.!K116+ธ.ค.!K116</f>
        <v>0</v>
      </c>
      <c r="L117" s="269">
        <f>+'ต.ค. '!L116+พ.ย.!L116+ธ.ค.!L116</f>
        <v>0</v>
      </c>
      <c r="M117" s="269">
        <f>+'ต.ค. '!M116+พ.ย.!M116+ธ.ค.!M116</f>
        <v>0</v>
      </c>
      <c r="N117" s="269">
        <f>+'ต.ค. '!N116+พ.ย.!N116+ธ.ค.!N116</f>
        <v>0</v>
      </c>
      <c r="O117" s="269">
        <f>+'ต.ค. '!O116+พ.ย.!O116+ธ.ค.!O116</f>
        <v>0</v>
      </c>
      <c r="P117" s="269">
        <f>+'ต.ค. '!P116+พ.ย.!P116+ธ.ค.!P116</f>
        <v>0</v>
      </c>
      <c r="Q117" s="269">
        <f>+'ต.ค. '!Q116+พ.ย.!Q116+ธ.ค.!Q116</f>
        <v>0</v>
      </c>
      <c r="R117" s="269">
        <f>+'ต.ค. '!R116+พ.ย.!R116+ธ.ค.!R116</f>
        <v>0</v>
      </c>
      <c r="S117" s="269">
        <f>+'ต.ค. '!S116+พ.ย.!S116+ธ.ค.!S116</f>
        <v>0</v>
      </c>
      <c r="T117" s="269"/>
      <c r="U117" s="269">
        <f>+'ต.ค. '!U116+พ.ย.!U116+ธ.ค.!U116</f>
        <v>0</v>
      </c>
      <c r="V117" s="269">
        <f>+'ต.ค. '!V116+พ.ย.!V116+ธ.ค.!V116</f>
        <v>0</v>
      </c>
    </row>
    <row r="118" spans="1:22" ht="25.5" customHeight="1">
      <c r="A118" s="9"/>
      <c r="B118" s="187" t="s">
        <v>261</v>
      </c>
      <c r="C118" s="279">
        <v>1000</v>
      </c>
      <c r="D118" s="195"/>
      <c r="E118" s="269">
        <f>+'ต.ค. '!E117+พ.ย.!E117+ธ.ค.!E117</f>
        <v>0</v>
      </c>
      <c r="F118" s="269">
        <f>+'ต.ค. '!F117+พ.ย.!F117+ธ.ค.!F117</f>
        <v>0</v>
      </c>
      <c r="G118" s="269">
        <f>+'ต.ค. '!G117+พ.ย.!G117+ธ.ค.!G117</f>
        <v>0</v>
      </c>
      <c r="H118" s="269">
        <f>+'ต.ค. '!H117+พ.ย.!H117+ธ.ค.!H117</f>
        <v>0</v>
      </c>
      <c r="I118" s="269">
        <f>+'ต.ค. '!I117+พ.ย.!I117+ธ.ค.!I117</f>
        <v>0</v>
      </c>
      <c r="J118" s="269">
        <f>+'ต.ค. '!J117+พ.ย.!J117+ธ.ค.!J117</f>
        <v>0</v>
      </c>
      <c r="K118" s="269">
        <f>+'ต.ค. '!K117+พ.ย.!K117+ธ.ค.!K117</f>
        <v>0</v>
      </c>
      <c r="L118" s="269">
        <f>+'ต.ค. '!L117+พ.ย.!L117+ธ.ค.!L117</f>
        <v>0</v>
      </c>
      <c r="M118" s="269">
        <f>+'ต.ค. '!M117+พ.ย.!M117+ธ.ค.!M117</f>
        <v>0</v>
      </c>
      <c r="N118" s="269">
        <f>+'ต.ค. '!N117+พ.ย.!N117+ธ.ค.!N117</f>
        <v>0</v>
      </c>
      <c r="O118" s="269">
        <f>+'ต.ค. '!O117+พ.ย.!O117+ธ.ค.!O117</f>
        <v>0</v>
      </c>
      <c r="P118" s="269">
        <f>+'ต.ค. '!P117+พ.ย.!P117+ธ.ค.!P117</f>
        <v>0</v>
      </c>
      <c r="Q118" s="269">
        <f>+'ต.ค. '!Q117+พ.ย.!Q117+ธ.ค.!Q117</f>
        <v>0</v>
      </c>
      <c r="R118" s="269">
        <f>+'ต.ค. '!R117+พ.ย.!R117+ธ.ค.!R117</f>
        <v>0</v>
      </c>
      <c r="S118" s="269">
        <f>+'ต.ค. '!S117+พ.ย.!S117+ธ.ค.!S117</f>
        <v>0</v>
      </c>
      <c r="T118" s="269"/>
      <c r="U118" s="269">
        <f>+'ต.ค. '!U117+พ.ย.!U117+ธ.ค.!U117</f>
        <v>0</v>
      </c>
      <c r="V118" s="269">
        <f>+'ต.ค. '!V117+พ.ย.!V117+ธ.ค.!V117</f>
        <v>0</v>
      </c>
    </row>
    <row r="119" spans="1:22" ht="25.5" customHeight="1">
      <c r="A119" s="9"/>
      <c r="B119" s="187" t="s">
        <v>262</v>
      </c>
      <c r="C119" s="279">
        <v>1000</v>
      </c>
      <c r="D119" s="195"/>
      <c r="E119" s="269">
        <f>+'ต.ค. '!E118+พ.ย.!E118+ธ.ค.!E118</f>
        <v>0</v>
      </c>
      <c r="F119" s="269">
        <f>+'ต.ค. '!F118+พ.ย.!F118+ธ.ค.!F118</f>
        <v>0</v>
      </c>
      <c r="G119" s="269">
        <f>+'ต.ค. '!G118+พ.ย.!G118+ธ.ค.!G118</f>
        <v>0</v>
      </c>
      <c r="H119" s="269">
        <f>+'ต.ค. '!H118+พ.ย.!H118+ธ.ค.!H118</f>
        <v>0</v>
      </c>
      <c r="I119" s="269">
        <f>+'ต.ค. '!I118+พ.ย.!I118+ธ.ค.!I118</f>
        <v>0</v>
      </c>
      <c r="J119" s="269">
        <f>+'ต.ค. '!J118+พ.ย.!J118+ธ.ค.!J118</f>
        <v>0</v>
      </c>
      <c r="K119" s="269">
        <f>+'ต.ค. '!K118+พ.ย.!K118+ธ.ค.!K118</f>
        <v>0</v>
      </c>
      <c r="L119" s="269">
        <f>+'ต.ค. '!L118+พ.ย.!L118+ธ.ค.!L118</f>
        <v>0</v>
      </c>
      <c r="M119" s="269">
        <f>+'ต.ค. '!M118+พ.ย.!M118+ธ.ค.!M118</f>
        <v>0</v>
      </c>
      <c r="N119" s="269">
        <f>+'ต.ค. '!N118+พ.ย.!N118+ธ.ค.!N118</f>
        <v>0</v>
      </c>
      <c r="O119" s="269">
        <f>+'ต.ค. '!O118+พ.ย.!O118+ธ.ค.!O118</f>
        <v>0</v>
      </c>
      <c r="P119" s="269">
        <f>+'ต.ค. '!P118+พ.ย.!P118+ธ.ค.!P118</f>
        <v>0</v>
      </c>
      <c r="Q119" s="269">
        <f>+'ต.ค. '!Q118+พ.ย.!Q118+ธ.ค.!Q118</f>
        <v>0</v>
      </c>
      <c r="R119" s="269">
        <f>+'ต.ค. '!R118+พ.ย.!R118+ธ.ค.!R118</f>
        <v>0</v>
      </c>
      <c r="S119" s="269">
        <f>+'ต.ค. '!S118+พ.ย.!S118+ธ.ค.!S118</f>
        <v>0</v>
      </c>
      <c r="T119" s="269"/>
      <c r="U119" s="269">
        <f>+'ต.ค. '!U118+พ.ย.!U118+ธ.ค.!U118</f>
        <v>0</v>
      </c>
      <c r="V119" s="269">
        <f>+'ต.ค. '!V118+พ.ย.!V118+ธ.ค.!V118</f>
        <v>0</v>
      </c>
    </row>
    <row r="120" spans="1:22" ht="25.5" customHeight="1">
      <c r="A120" s="9"/>
      <c r="B120" s="187" t="s">
        <v>211</v>
      </c>
      <c r="C120" s="279">
        <v>392000</v>
      </c>
      <c r="D120" s="195"/>
      <c r="E120" s="269">
        <f>+'ต.ค. '!E119+พ.ย.!E119+ธ.ค.!E119</f>
        <v>0</v>
      </c>
      <c r="F120" s="269">
        <f>+'ต.ค. '!F119+พ.ย.!F119+ธ.ค.!F119</f>
        <v>0</v>
      </c>
      <c r="G120" s="269">
        <f>+'ต.ค. '!G119+พ.ย.!G119+ธ.ค.!G119</f>
        <v>0</v>
      </c>
      <c r="H120" s="269">
        <f>+'ต.ค. '!H119+พ.ย.!H119+ธ.ค.!H119</f>
        <v>0</v>
      </c>
      <c r="I120" s="269">
        <f>+'ต.ค. '!I119+พ.ย.!I119+ธ.ค.!I119</f>
        <v>104000</v>
      </c>
      <c r="J120" s="269">
        <f>+'ต.ค. '!J119+พ.ย.!J119+ธ.ค.!J119</f>
        <v>0</v>
      </c>
      <c r="K120" s="269">
        <f>+'ต.ค. '!K119+พ.ย.!K119+ธ.ค.!K119</f>
        <v>0</v>
      </c>
      <c r="L120" s="269">
        <f>+'ต.ค. '!L119+พ.ย.!L119+ธ.ค.!L119</f>
        <v>0</v>
      </c>
      <c r="M120" s="269">
        <f>+'ต.ค. '!M119+พ.ย.!M119+ธ.ค.!M119</f>
        <v>0</v>
      </c>
      <c r="N120" s="269">
        <f>+'ต.ค. '!N119+พ.ย.!N119+ธ.ค.!N119</f>
        <v>0</v>
      </c>
      <c r="O120" s="269">
        <f>+'ต.ค. '!O119+พ.ย.!O119+ธ.ค.!O119</f>
        <v>0</v>
      </c>
      <c r="P120" s="269">
        <f>+'ต.ค. '!P119+พ.ย.!P119+ธ.ค.!P119</f>
        <v>0</v>
      </c>
      <c r="Q120" s="269">
        <f>+'ต.ค. '!Q119+พ.ย.!Q119+ธ.ค.!Q119</f>
        <v>0</v>
      </c>
      <c r="R120" s="269">
        <f>+'ต.ค. '!R119+พ.ย.!R119+ธ.ค.!R119</f>
        <v>0</v>
      </c>
      <c r="S120" s="269">
        <f>+'ต.ค. '!S119+พ.ย.!S119+ธ.ค.!S119</f>
        <v>0</v>
      </c>
      <c r="T120" s="269"/>
      <c r="U120" s="269">
        <f>+'ต.ค. '!U119+พ.ย.!U119+ธ.ค.!U119</f>
        <v>0</v>
      </c>
      <c r="V120" s="269">
        <f>+'ต.ค. '!V119+พ.ย.!V119+ธ.ค.!V119</f>
        <v>0</v>
      </c>
    </row>
    <row r="121" spans="1:22" ht="25.5" customHeight="1">
      <c r="A121" s="9"/>
      <c r="B121" s="187" t="s">
        <v>263</v>
      </c>
      <c r="C121" s="279">
        <v>200900</v>
      </c>
      <c r="D121" s="195"/>
      <c r="E121" s="269">
        <f>+'ต.ค. '!E120+พ.ย.!E120+ธ.ค.!E120</f>
        <v>0</v>
      </c>
      <c r="F121" s="269">
        <f>+'ต.ค. '!F120+พ.ย.!F120+ธ.ค.!F120</f>
        <v>0</v>
      </c>
      <c r="G121" s="269">
        <f>+'ต.ค. '!G120+พ.ย.!G120+ธ.ค.!G120</f>
        <v>0</v>
      </c>
      <c r="H121" s="269">
        <f>+'ต.ค. '!H120+พ.ย.!H120+ธ.ค.!H120</f>
        <v>0</v>
      </c>
      <c r="I121" s="269">
        <f>+'ต.ค. '!I120+พ.ย.!I120+ธ.ค.!I120</f>
        <v>54600</v>
      </c>
      <c r="J121" s="269">
        <f>+'ต.ค. '!J120+พ.ย.!J120+ธ.ค.!J120</f>
        <v>0</v>
      </c>
      <c r="K121" s="269">
        <f>+'ต.ค. '!K120+พ.ย.!K120+ธ.ค.!K120</f>
        <v>0</v>
      </c>
      <c r="L121" s="269">
        <f>+'ต.ค. '!L120+พ.ย.!L120+ธ.ค.!L120</f>
        <v>0</v>
      </c>
      <c r="M121" s="269">
        <f>+'ต.ค. '!M120+พ.ย.!M120+ธ.ค.!M120</f>
        <v>0</v>
      </c>
      <c r="N121" s="269">
        <f>+'ต.ค. '!N120+พ.ย.!N120+ธ.ค.!N120</f>
        <v>0</v>
      </c>
      <c r="O121" s="269">
        <f>+'ต.ค. '!O120+พ.ย.!O120+ธ.ค.!O120</f>
        <v>0</v>
      </c>
      <c r="P121" s="269">
        <f>+'ต.ค. '!P120+พ.ย.!P120+ธ.ค.!P120</f>
        <v>0</v>
      </c>
      <c r="Q121" s="269">
        <f>+'ต.ค. '!Q120+พ.ย.!Q120+ธ.ค.!Q120</f>
        <v>0</v>
      </c>
      <c r="R121" s="269">
        <f>+'ต.ค. '!R120+พ.ย.!R120+ธ.ค.!R120</f>
        <v>0</v>
      </c>
      <c r="S121" s="269">
        <f>+'ต.ค. '!S120+พ.ย.!S120+ธ.ค.!S120</f>
        <v>0</v>
      </c>
      <c r="T121" s="269"/>
      <c r="U121" s="269">
        <f>+'ต.ค. '!U120+พ.ย.!U120+ธ.ค.!U120</f>
        <v>0</v>
      </c>
      <c r="V121" s="269">
        <f>+'ต.ค. '!V120+พ.ย.!V120+ธ.ค.!V120</f>
        <v>0</v>
      </c>
    </row>
    <row r="122" spans="1:22" ht="25.5" customHeight="1">
      <c r="A122" s="9"/>
      <c r="B122" s="187" t="s">
        <v>315</v>
      </c>
      <c r="C122" s="279">
        <v>230300</v>
      </c>
      <c r="D122" s="195"/>
      <c r="E122" s="269">
        <f>+'ต.ค. '!E121+พ.ย.!E121+ธ.ค.!E121</f>
        <v>0</v>
      </c>
      <c r="F122" s="269">
        <f>+'ต.ค. '!F121+พ.ย.!F121+ธ.ค.!F121</f>
        <v>0</v>
      </c>
      <c r="G122" s="269">
        <f>+'ต.ค. '!G121+พ.ย.!G121+ธ.ค.!G121</f>
        <v>0</v>
      </c>
      <c r="H122" s="269">
        <f>+'ต.ค. '!H121+พ.ย.!H121+ธ.ค.!H121</f>
        <v>0</v>
      </c>
      <c r="I122" s="269">
        <f>+'ต.ค. '!I121+พ.ย.!I121+ธ.ค.!I121</f>
        <v>59800</v>
      </c>
      <c r="J122" s="269">
        <f>+'ต.ค. '!J121+พ.ย.!J121+ธ.ค.!J121</f>
        <v>0</v>
      </c>
      <c r="K122" s="269">
        <f>+'ต.ค. '!K121+พ.ย.!K121+ธ.ค.!K121</f>
        <v>0</v>
      </c>
      <c r="L122" s="269">
        <f>+'ต.ค. '!L121+พ.ย.!L121+ธ.ค.!L121</f>
        <v>0</v>
      </c>
      <c r="M122" s="269">
        <f>+'ต.ค. '!M121+พ.ย.!M121+ธ.ค.!M121</f>
        <v>0</v>
      </c>
      <c r="N122" s="269">
        <f>+'ต.ค. '!N121+พ.ย.!N121+ธ.ค.!N121</f>
        <v>0</v>
      </c>
      <c r="O122" s="269">
        <f>+'ต.ค. '!O121+พ.ย.!O121+ธ.ค.!O121</f>
        <v>0</v>
      </c>
      <c r="P122" s="269">
        <f>+'ต.ค. '!P121+พ.ย.!P121+ธ.ค.!P121</f>
        <v>0</v>
      </c>
      <c r="Q122" s="269">
        <f>+'ต.ค. '!Q121+พ.ย.!Q121+ธ.ค.!Q121</f>
        <v>0</v>
      </c>
      <c r="R122" s="269">
        <f>+'ต.ค. '!R121+พ.ย.!R121+ธ.ค.!R121</f>
        <v>0</v>
      </c>
      <c r="S122" s="269">
        <f>+'ต.ค. '!S121+พ.ย.!S121+ธ.ค.!S121</f>
        <v>0</v>
      </c>
      <c r="T122" s="269"/>
      <c r="U122" s="269">
        <f>+'ต.ค. '!U121+พ.ย.!U121+ธ.ค.!U121</f>
        <v>0</v>
      </c>
      <c r="V122" s="269">
        <f>+'ต.ค. '!V121+พ.ย.!V121+ธ.ค.!V121</f>
        <v>0</v>
      </c>
    </row>
    <row r="123" spans="1:22" ht="25.5" customHeight="1">
      <c r="A123" s="9"/>
      <c r="B123" s="187" t="s">
        <v>212</v>
      </c>
      <c r="C123" s="279">
        <v>171500</v>
      </c>
      <c r="D123" s="195"/>
      <c r="E123" s="269">
        <f>+'ต.ค. '!E122+พ.ย.!E122+ธ.ค.!E122</f>
        <v>0</v>
      </c>
      <c r="F123" s="269">
        <f>+'ต.ค. '!F122+พ.ย.!F122+ธ.ค.!F122</f>
        <v>0</v>
      </c>
      <c r="G123" s="269">
        <f>+'ต.ค. '!G122+พ.ย.!G122+ธ.ค.!G122</f>
        <v>0</v>
      </c>
      <c r="H123" s="269">
        <f>+'ต.ค. '!H122+พ.ย.!H122+ธ.ค.!H122</f>
        <v>0</v>
      </c>
      <c r="I123" s="269">
        <f>+'ต.ค. '!I122+พ.ย.!I122+ธ.ค.!I122</f>
        <v>45500</v>
      </c>
      <c r="J123" s="269">
        <f>+'ต.ค. '!J122+พ.ย.!J122+ธ.ค.!J122</f>
        <v>0</v>
      </c>
      <c r="K123" s="269">
        <f>+'ต.ค. '!K122+พ.ย.!K122+ธ.ค.!K122</f>
        <v>0</v>
      </c>
      <c r="L123" s="269">
        <f>+'ต.ค. '!L122+พ.ย.!L122+ธ.ค.!L122</f>
        <v>0</v>
      </c>
      <c r="M123" s="269">
        <f>+'ต.ค. '!M122+พ.ย.!M122+ธ.ค.!M122</f>
        <v>0</v>
      </c>
      <c r="N123" s="269">
        <f>+'ต.ค. '!N122+พ.ย.!N122+ธ.ค.!N122</f>
        <v>0</v>
      </c>
      <c r="O123" s="269">
        <f>+'ต.ค. '!O122+พ.ย.!O122+ธ.ค.!O122</f>
        <v>0</v>
      </c>
      <c r="P123" s="269">
        <f>+'ต.ค. '!P122+พ.ย.!P122+ธ.ค.!P122</f>
        <v>0</v>
      </c>
      <c r="Q123" s="269">
        <f>+'ต.ค. '!Q122+พ.ย.!Q122+ธ.ค.!Q122</f>
        <v>0</v>
      </c>
      <c r="R123" s="269">
        <f>+'ต.ค. '!R122+พ.ย.!R122+ธ.ค.!R122</f>
        <v>0</v>
      </c>
      <c r="S123" s="269">
        <f>+'ต.ค. '!S122+พ.ย.!S122+ธ.ค.!S122</f>
        <v>0</v>
      </c>
      <c r="T123" s="269"/>
      <c r="U123" s="269">
        <f>+'ต.ค. '!U122+พ.ย.!U122+ธ.ค.!U122</f>
        <v>0</v>
      </c>
      <c r="V123" s="269">
        <f>+'ต.ค. '!V122+พ.ย.!V122+ธ.ค.!V122</f>
        <v>0</v>
      </c>
    </row>
    <row r="124" spans="1:22" ht="25.5" customHeight="1">
      <c r="A124" s="9"/>
      <c r="B124" s="187" t="s">
        <v>140</v>
      </c>
      <c r="C124" s="279">
        <v>50000</v>
      </c>
      <c r="D124" s="195"/>
      <c r="E124" s="269">
        <f>+'ต.ค. '!E123+พ.ย.!E123+ธ.ค.!E123</f>
        <v>0</v>
      </c>
      <c r="F124" s="269">
        <f>+'ต.ค. '!F123+พ.ย.!F123+ธ.ค.!F123</f>
        <v>0</v>
      </c>
      <c r="G124" s="269">
        <f>+'ต.ค. '!G123+พ.ย.!G123+ธ.ค.!G123</f>
        <v>0</v>
      </c>
      <c r="H124" s="269">
        <f>+'ต.ค. '!H123+พ.ย.!H123+ธ.ค.!H123</f>
        <v>0</v>
      </c>
      <c r="I124" s="269">
        <f>+'ต.ค. '!I123+พ.ย.!I123+ธ.ค.!I123</f>
        <v>0</v>
      </c>
      <c r="J124" s="269">
        <f>+'ต.ค. '!J123+พ.ย.!J123+ธ.ค.!J123</f>
        <v>0</v>
      </c>
      <c r="K124" s="269">
        <f>+'ต.ค. '!K123+พ.ย.!K123+ธ.ค.!K123</f>
        <v>0</v>
      </c>
      <c r="L124" s="269">
        <f>+'ต.ค. '!L123+พ.ย.!L123+ธ.ค.!L123</f>
        <v>0</v>
      </c>
      <c r="M124" s="269">
        <f>+'ต.ค. '!M123+พ.ย.!M123+ธ.ค.!M123</f>
        <v>0</v>
      </c>
      <c r="N124" s="269">
        <f>+'ต.ค. '!N123+พ.ย.!N123+ธ.ค.!N123</f>
        <v>0</v>
      </c>
      <c r="O124" s="269">
        <f>+'ต.ค. '!O123+พ.ย.!O123+ธ.ค.!O123</f>
        <v>0</v>
      </c>
      <c r="P124" s="269">
        <f>+'ต.ค. '!P123+พ.ย.!P123+ธ.ค.!P123</f>
        <v>0</v>
      </c>
      <c r="Q124" s="269">
        <f>+'ต.ค. '!Q123+พ.ย.!Q123+ธ.ค.!Q123</f>
        <v>0</v>
      </c>
      <c r="R124" s="269">
        <f>+'ต.ค. '!R123+พ.ย.!R123+ธ.ค.!R123</f>
        <v>0</v>
      </c>
      <c r="S124" s="269">
        <f>+'ต.ค. '!S123+พ.ย.!S123+ธ.ค.!S123</f>
        <v>0</v>
      </c>
      <c r="T124" s="269"/>
      <c r="U124" s="269">
        <f>+'ต.ค. '!U123+พ.ย.!U123+ธ.ค.!U123</f>
        <v>0</v>
      </c>
      <c r="V124" s="269">
        <f>+'ต.ค. '!V123+พ.ย.!V123+ธ.ค.!V123</f>
        <v>0</v>
      </c>
    </row>
    <row r="125" spans="1:22" ht="25.5" customHeight="1">
      <c r="A125" s="9"/>
      <c r="B125" s="187" t="s">
        <v>206</v>
      </c>
      <c r="C125" s="279">
        <v>20000</v>
      </c>
      <c r="D125" s="195"/>
      <c r="E125" s="269">
        <f>+'ต.ค. '!E124+พ.ย.!E124+ธ.ค.!E124</f>
        <v>0</v>
      </c>
      <c r="F125" s="269">
        <f>+'ต.ค. '!F124+พ.ย.!F124+ธ.ค.!F124</f>
        <v>0</v>
      </c>
      <c r="G125" s="269">
        <f>+'ต.ค. '!G124+พ.ย.!G124+ธ.ค.!G124</f>
        <v>0</v>
      </c>
      <c r="H125" s="269">
        <f>+'ต.ค. '!H124+พ.ย.!H124+ธ.ค.!H124</f>
        <v>0</v>
      </c>
      <c r="I125" s="269">
        <f>+'ต.ค. '!I124+พ.ย.!I124+ธ.ค.!I124</f>
        <v>0</v>
      </c>
      <c r="J125" s="269">
        <f>+'ต.ค. '!J124+พ.ย.!J124+ธ.ค.!J124</f>
        <v>0</v>
      </c>
      <c r="K125" s="269">
        <f>+'ต.ค. '!K124+พ.ย.!K124+ธ.ค.!K124</f>
        <v>0</v>
      </c>
      <c r="L125" s="269">
        <f>+'ต.ค. '!L124+พ.ย.!L124+ธ.ค.!L124</f>
        <v>0</v>
      </c>
      <c r="M125" s="269">
        <f>+'ต.ค. '!M124+พ.ย.!M124+ธ.ค.!M124</f>
        <v>0</v>
      </c>
      <c r="N125" s="269">
        <f>+'ต.ค. '!N124+พ.ย.!N124+ธ.ค.!N124</f>
        <v>0</v>
      </c>
      <c r="O125" s="269">
        <f>+'ต.ค. '!O124+พ.ย.!O124+ธ.ค.!O124</f>
        <v>0</v>
      </c>
      <c r="P125" s="269">
        <f>+'ต.ค. '!P124+พ.ย.!P124+ธ.ค.!P124</f>
        <v>0</v>
      </c>
      <c r="Q125" s="269">
        <f>+'ต.ค. '!Q124+พ.ย.!Q124+ธ.ค.!Q124</f>
        <v>0</v>
      </c>
      <c r="R125" s="269">
        <f>+'ต.ค. '!R124+พ.ย.!R124+ธ.ค.!R124</f>
        <v>0</v>
      </c>
      <c r="S125" s="269">
        <f>+'ต.ค. '!S124+พ.ย.!S124+ธ.ค.!S124</f>
        <v>0</v>
      </c>
      <c r="T125" s="269"/>
      <c r="U125" s="269">
        <f>+'ต.ค. '!U124+พ.ย.!U124+ธ.ค.!U124</f>
        <v>0</v>
      </c>
      <c r="V125" s="269">
        <f>+'ต.ค. '!V124+พ.ย.!V124+ธ.ค.!V124</f>
        <v>0</v>
      </c>
    </row>
    <row r="126" spans="1:22" ht="25.5" customHeight="1">
      <c r="A126" s="9"/>
      <c r="B126" s="187" t="s">
        <v>326</v>
      </c>
      <c r="C126" s="279">
        <v>5000</v>
      </c>
      <c r="D126" s="195"/>
      <c r="E126" s="269">
        <f>+'ต.ค. '!E125+พ.ย.!E125+ธ.ค.!E125</f>
        <v>0</v>
      </c>
      <c r="F126" s="269">
        <f>+'ต.ค. '!F125+พ.ย.!F125+ธ.ค.!F125</f>
        <v>0</v>
      </c>
      <c r="G126" s="269">
        <f>+'ต.ค. '!G125+พ.ย.!G125+ธ.ค.!G125</f>
        <v>0</v>
      </c>
      <c r="H126" s="269">
        <f>+'ต.ค. '!H125+พ.ย.!H125+ธ.ค.!H125</f>
        <v>0</v>
      </c>
      <c r="I126" s="269">
        <f>+'ต.ค. '!I125+พ.ย.!I125+ธ.ค.!I125</f>
        <v>0</v>
      </c>
      <c r="J126" s="269">
        <f>+'ต.ค. '!J125+พ.ย.!J125+ธ.ค.!J125</f>
        <v>0</v>
      </c>
      <c r="K126" s="269">
        <f>+'ต.ค. '!K125+พ.ย.!K125+ธ.ค.!K125</f>
        <v>0</v>
      </c>
      <c r="L126" s="269">
        <f>+'ต.ค. '!L125+พ.ย.!L125+ธ.ค.!L125</f>
        <v>0</v>
      </c>
      <c r="M126" s="269">
        <f>+'ต.ค. '!M125+พ.ย.!M125+ธ.ค.!M125</f>
        <v>0</v>
      </c>
      <c r="N126" s="269">
        <f>+'ต.ค. '!N125+พ.ย.!N125+ธ.ค.!N125</f>
        <v>0</v>
      </c>
      <c r="O126" s="269">
        <f>+'ต.ค. '!O125+พ.ย.!O125+ธ.ค.!O125</f>
        <v>0</v>
      </c>
      <c r="P126" s="269">
        <f>+'ต.ค. '!P125+พ.ย.!P125+ธ.ค.!P125</f>
        <v>0</v>
      </c>
      <c r="Q126" s="269">
        <f>+'ต.ค. '!Q125+พ.ย.!Q125+ธ.ค.!Q125</f>
        <v>0</v>
      </c>
      <c r="R126" s="269">
        <f>+'ต.ค. '!R125+พ.ย.!R125+ธ.ค.!R125</f>
        <v>0</v>
      </c>
      <c r="S126" s="269">
        <f>+'ต.ค. '!S125+พ.ย.!S125+ธ.ค.!S125</f>
        <v>0</v>
      </c>
      <c r="T126" s="269"/>
      <c r="U126" s="269">
        <f>+'ต.ค. '!U125+พ.ย.!U125+ธ.ค.!U125</f>
        <v>0</v>
      </c>
      <c r="V126" s="269">
        <f>+'ต.ค. '!V125+พ.ย.!V125+ธ.ค.!V125</f>
        <v>0</v>
      </c>
    </row>
    <row r="127" spans="1:22" ht="25.5" customHeight="1">
      <c r="A127" s="9"/>
      <c r="B127" s="187" t="s">
        <v>327</v>
      </c>
      <c r="C127" s="279">
        <v>5000</v>
      </c>
      <c r="D127" s="195"/>
      <c r="E127" s="269">
        <f>+'ต.ค. '!E126+พ.ย.!E126+ธ.ค.!E126</f>
        <v>0</v>
      </c>
      <c r="F127" s="269">
        <f>+'ต.ค. '!F126+พ.ย.!F126+ธ.ค.!F126</f>
        <v>0</v>
      </c>
      <c r="G127" s="269">
        <f>+'ต.ค. '!G126+พ.ย.!G126+ธ.ค.!G126</f>
        <v>0</v>
      </c>
      <c r="H127" s="269">
        <f>+'ต.ค. '!H126+พ.ย.!H126+ธ.ค.!H126</f>
        <v>0</v>
      </c>
      <c r="I127" s="269">
        <f>+'ต.ค. '!I126+พ.ย.!I126+ธ.ค.!I126</f>
        <v>0</v>
      </c>
      <c r="J127" s="269">
        <f>+'ต.ค. '!J126+พ.ย.!J126+ธ.ค.!J126</f>
        <v>0</v>
      </c>
      <c r="K127" s="269">
        <f>+'ต.ค. '!K126+พ.ย.!K126+ธ.ค.!K126</f>
        <v>0</v>
      </c>
      <c r="L127" s="269">
        <f>+'ต.ค. '!L126+พ.ย.!L126+ธ.ค.!L126</f>
        <v>0</v>
      </c>
      <c r="M127" s="269">
        <f>+'ต.ค. '!M126+พ.ย.!M126+ธ.ค.!M126</f>
        <v>0</v>
      </c>
      <c r="N127" s="269">
        <f>+'ต.ค. '!N126+พ.ย.!N126+ธ.ค.!N126</f>
        <v>0</v>
      </c>
      <c r="O127" s="269">
        <f>+'ต.ค. '!O126+พ.ย.!O126+ธ.ค.!O126</f>
        <v>0</v>
      </c>
      <c r="P127" s="269">
        <f>+'ต.ค. '!P126+พ.ย.!P126+ธ.ค.!P126</f>
        <v>0</v>
      </c>
      <c r="Q127" s="269">
        <f>+'ต.ค. '!Q126+พ.ย.!Q126+ธ.ค.!Q126</f>
        <v>0</v>
      </c>
      <c r="R127" s="269">
        <f>+'ต.ค. '!R126+พ.ย.!R126+ธ.ค.!R126</f>
        <v>0</v>
      </c>
      <c r="S127" s="269">
        <f>+'ต.ค. '!S126+พ.ย.!S126+ธ.ค.!S126</f>
        <v>0</v>
      </c>
      <c r="T127" s="269"/>
      <c r="U127" s="269">
        <f>+'ต.ค. '!U126+พ.ย.!U126+ธ.ค.!U126</f>
        <v>0</v>
      </c>
      <c r="V127" s="269">
        <f>+'ต.ค. '!V126+พ.ย.!V126+ธ.ค.!V126</f>
        <v>0</v>
      </c>
    </row>
    <row r="128" spans="1:22" ht="25.5" customHeight="1">
      <c r="A128" s="9"/>
      <c r="B128" s="187" t="s">
        <v>142</v>
      </c>
      <c r="C128" s="279">
        <v>20000</v>
      </c>
      <c r="D128" s="195"/>
      <c r="E128" s="269">
        <f>+'ต.ค. '!E127+พ.ย.!E127+ธ.ค.!E127</f>
        <v>0</v>
      </c>
      <c r="F128" s="269">
        <f>+'ต.ค. '!F127+พ.ย.!F127+ธ.ค.!F127</f>
        <v>0</v>
      </c>
      <c r="G128" s="269">
        <f>+'ต.ค. '!G127+พ.ย.!G127+ธ.ค.!G127</f>
        <v>0</v>
      </c>
      <c r="H128" s="269">
        <f>+'ต.ค. '!H127+พ.ย.!H127+ธ.ค.!H127</f>
        <v>0</v>
      </c>
      <c r="I128" s="269">
        <f>+'ต.ค. '!I127+พ.ย.!I127+ธ.ค.!I127</f>
        <v>0</v>
      </c>
      <c r="J128" s="269">
        <f>+'ต.ค. '!J127+พ.ย.!J127+ธ.ค.!J127</f>
        <v>0</v>
      </c>
      <c r="K128" s="269">
        <f>+'ต.ค. '!K127+พ.ย.!K127+ธ.ค.!K127</f>
        <v>0</v>
      </c>
      <c r="L128" s="269">
        <f>+'ต.ค. '!L127+พ.ย.!L127+ธ.ค.!L127</f>
        <v>0</v>
      </c>
      <c r="M128" s="269">
        <f>+'ต.ค. '!M127+พ.ย.!M127+ธ.ค.!M127</f>
        <v>0</v>
      </c>
      <c r="N128" s="269">
        <f>+'ต.ค. '!N127+พ.ย.!N127+ธ.ค.!N127</f>
        <v>0</v>
      </c>
      <c r="O128" s="269">
        <f>+'ต.ค. '!O127+พ.ย.!O127+ธ.ค.!O127</f>
        <v>0</v>
      </c>
      <c r="P128" s="269">
        <f>+'ต.ค. '!P127+พ.ย.!P127+ธ.ค.!P127</f>
        <v>0</v>
      </c>
      <c r="Q128" s="269">
        <f>+'ต.ค. '!Q127+พ.ย.!Q127+ธ.ค.!Q127</f>
        <v>0</v>
      </c>
      <c r="R128" s="269">
        <f>+'ต.ค. '!R127+พ.ย.!R127+ธ.ค.!R127</f>
        <v>0</v>
      </c>
      <c r="S128" s="269">
        <f>+'ต.ค. '!S127+พ.ย.!S127+ธ.ค.!S127</f>
        <v>0</v>
      </c>
      <c r="T128" s="269"/>
      <c r="U128" s="269">
        <f>+'ต.ค. '!U127+พ.ย.!U127+ธ.ค.!U127</f>
        <v>0</v>
      </c>
      <c r="V128" s="269">
        <f>+'ต.ค. '!V127+พ.ย.!V127+ธ.ค.!V127</f>
        <v>0</v>
      </c>
    </row>
    <row r="129" spans="1:22" ht="25.5" customHeight="1">
      <c r="A129" s="9"/>
      <c r="B129" s="226" t="s">
        <v>328</v>
      </c>
      <c r="C129" s="279">
        <v>10000</v>
      </c>
      <c r="D129" s="195"/>
      <c r="E129" s="269">
        <f>+'ต.ค. '!E128+พ.ย.!E128+ธ.ค.!E128</f>
        <v>0</v>
      </c>
      <c r="F129" s="269">
        <f>+'ต.ค. '!F128+พ.ย.!F128+ธ.ค.!F128</f>
        <v>0</v>
      </c>
      <c r="G129" s="269">
        <f>+'ต.ค. '!G128+พ.ย.!G128+ธ.ค.!G128</f>
        <v>0</v>
      </c>
      <c r="H129" s="269">
        <f>+'ต.ค. '!H128+พ.ย.!H128+ธ.ค.!H128</f>
        <v>0</v>
      </c>
      <c r="I129" s="269">
        <f>+'ต.ค. '!I128+พ.ย.!I128+ธ.ค.!I128</f>
        <v>0</v>
      </c>
      <c r="J129" s="269">
        <f>+'ต.ค. '!J128+พ.ย.!J128+ธ.ค.!J128</f>
        <v>0</v>
      </c>
      <c r="K129" s="269">
        <f>+'ต.ค. '!K128+พ.ย.!K128+ธ.ค.!K128</f>
        <v>0</v>
      </c>
      <c r="L129" s="269">
        <f>+'ต.ค. '!L128+พ.ย.!L128+ธ.ค.!L128</f>
        <v>0</v>
      </c>
      <c r="M129" s="269">
        <f>+'ต.ค. '!M128+พ.ย.!M128+ธ.ค.!M128</f>
        <v>0</v>
      </c>
      <c r="N129" s="269">
        <f>+'ต.ค. '!N128+พ.ย.!N128+ธ.ค.!N128</f>
        <v>0</v>
      </c>
      <c r="O129" s="269">
        <f>+'ต.ค. '!O128+พ.ย.!O128+ธ.ค.!O128</f>
        <v>0</v>
      </c>
      <c r="P129" s="269">
        <f>+'ต.ค. '!P128+พ.ย.!P128+ธ.ค.!P128</f>
        <v>0</v>
      </c>
      <c r="Q129" s="269">
        <f>+'ต.ค. '!Q128+พ.ย.!Q128+ธ.ค.!Q128</f>
        <v>0</v>
      </c>
      <c r="R129" s="269">
        <f>+'ต.ค. '!R128+พ.ย.!R128+ธ.ค.!R128</f>
        <v>0</v>
      </c>
      <c r="S129" s="269">
        <f>+'ต.ค. '!S128+พ.ย.!S128+ธ.ค.!S128</f>
        <v>0</v>
      </c>
      <c r="T129" s="269"/>
      <c r="U129" s="269">
        <f>+'ต.ค. '!U128+พ.ย.!U128+ธ.ค.!U128</f>
        <v>0</v>
      </c>
      <c r="V129" s="269">
        <f>+'ต.ค. '!V128+พ.ย.!V128+ธ.ค.!V128</f>
        <v>0</v>
      </c>
    </row>
    <row r="130" spans="1:22" ht="25.5" customHeight="1">
      <c r="A130" s="9"/>
      <c r="B130" s="226" t="s">
        <v>329</v>
      </c>
      <c r="C130" s="279">
        <v>10000</v>
      </c>
      <c r="D130" s="131"/>
      <c r="E130" s="269">
        <f>+'ต.ค. '!E129+พ.ย.!E129+ธ.ค.!E129</f>
        <v>0</v>
      </c>
      <c r="F130" s="269">
        <f>+'ต.ค. '!F129+พ.ย.!F129+ธ.ค.!F129</f>
        <v>0</v>
      </c>
      <c r="G130" s="269">
        <f>+'ต.ค. '!G129+พ.ย.!G129+ธ.ค.!G129</f>
        <v>0</v>
      </c>
      <c r="H130" s="269">
        <f>+'ต.ค. '!H129+พ.ย.!H129+ธ.ค.!H129</f>
        <v>0</v>
      </c>
      <c r="I130" s="269">
        <f>+'ต.ค. '!I129+พ.ย.!I129+ธ.ค.!I129</f>
        <v>0</v>
      </c>
      <c r="J130" s="269">
        <f>+'ต.ค. '!J129+พ.ย.!J129+ธ.ค.!J129</f>
        <v>0</v>
      </c>
      <c r="K130" s="269">
        <f>+'ต.ค. '!K129+พ.ย.!K129+ธ.ค.!K129</f>
        <v>0</v>
      </c>
      <c r="L130" s="269">
        <f>+'ต.ค. '!L129+พ.ย.!L129+ธ.ค.!L129</f>
        <v>0</v>
      </c>
      <c r="M130" s="269">
        <f>+'ต.ค. '!M129+พ.ย.!M129+ธ.ค.!M129</f>
        <v>0</v>
      </c>
      <c r="N130" s="269">
        <f>+'ต.ค. '!N129+พ.ย.!N129+ธ.ค.!N129</f>
        <v>0</v>
      </c>
      <c r="O130" s="269">
        <f>+'ต.ค. '!O129+พ.ย.!O129+ธ.ค.!O129</f>
        <v>0</v>
      </c>
      <c r="P130" s="269">
        <f>+'ต.ค. '!P129+พ.ย.!P129+ธ.ค.!P129</f>
        <v>0</v>
      </c>
      <c r="Q130" s="269">
        <f>+'ต.ค. '!Q129+พ.ย.!Q129+ธ.ค.!Q129</f>
        <v>0</v>
      </c>
      <c r="R130" s="269">
        <f>+'ต.ค. '!R129+พ.ย.!R129+ธ.ค.!R129</f>
        <v>0</v>
      </c>
      <c r="S130" s="269">
        <f>+'ต.ค. '!S129+พ.ย.!S129+ธ.ค.!S129</f>
        <v>0</v>
      </c>
      <c r="T130" s="269"/>
      <c r="U130" s="269">
        <f>+'ต.ค. '!U129+พ.ย.!U129+ธ.ค.!U129</f>
        <v>0</v>
      </c>
      <c r="V130" s="269">
        <f>+'ต.ค. '!V129+พ.ย.!V129+ธ.ค.!V129</f>
        <v>0</v>
      </c>
    </row>
    <row r="131" spans="1:22" ht="25.5" customHeight="1">
      <c r="A131" s="9"/>
      <c r="B131" s="226" t="s">
        <v>330</v>
      </c>
      <c r="C131" s="279">
        <v>10000</v>
      </c>
      <c r="D131" s="195"/>
      <c r="E131" s="269">
        <f>+'ต.ค. '!E130+พ.ย.!E130+ธ.ค.!E130</f>
        <v>0</v>
      </c>
      <c r="F131" s="269">
        <f>+'ต.ค. '!F130+พ.ย.!F130+ธ.ค.!F130</f>
        <v>0</v>
      </c>
      <c r="G131" s="269">
        <f>+'ต.ค. '!G130+พ.ย.!G130+ธ.ค.!G130</f>
        <v>0</v>
      </c>
      <c r="H131" s="269">
        <f>+'ต.ค. '!H130+พ.ย.!H130+ธ.ค.!H130</f>
        <v>0</v>
      </c>
      <c r="I131" s="269">
        <f>+'ต.ค. '!I130+พ.ย.!I130+ธ.ค.!I130</f>
        <v>0</v>
      </c>
      <c r="J131" s="269">
        <f>+'ต.ค. '!J130+พ.ย.!J130+ธ.ค.!J130</f>
        <v>0</v>
      </c>
      <c r="K131" s="269">
        <f>+'ต.ค. '!K130+พ.ย.!K130+ธ.ค.!K130</f>
        <v>0</v>
      </c>
      <c r="L131" s="269">
        <f>+'ต.ค. '!L130+พ.ย.!L130+ธ.ค.!L130</f>
        <v>0</v>
      </c>
      <c r="M131" s="269">
        <f>+'ต.ค. '!M130+พ.ย.!M130+ธ.ค.!M130</f>
        <v>0</v>
      </c>
      <c r="N131" s="269">
        <f>+'ต.ค. '!N130+พ.ย.!N130+ธ.ค.!N130</f>
        <v>0</v>
      </c>
      <c r="O131" s="269">
        <f>+'ต.ค. '!O130+พ.ย.!O130+ธ.ค.!O130</f>
        <v>0</v>
      </c>
      <c r="P131" s="269">
        <f>+'ต.ค. '!P130+พ.ย.!P130+ธ.ค.!P130</f>
        <v>0</v>
      </c>
      <c r="Q131" s="269">
        <f>+'ต.ค. '!Q130+พ.ย.!Q130+ธ.ค.!Q130</f>
        <v>0</v>
      </c>
      <c r="R131" s="269">
        <f>+'ต.ค. '!R130+พ.ย.!R130+ธ.ค.!R130</f>
        <v>0</v>
      </c>
      <c r="S131" s="269">
        <f>+'ต.ค. '!S130+พ.ย.!S130+ธ.ค.!S130</f>
        <v>0</v>
      </c>
      <c r="T131" s="269"/>
      <c r="U131" s="269">
        <f>+'ต.ค. '!U130+พ.ย.!U130+ธ.ค.!U130</f>
        <v>0</v>
      </c>
      <c r="V131" s="269">
        <f>+'ต.ค. '!V130+พ.ย.!V130+ธ.ค.!V130</f>
        <v>0</v>
      </c>
    </row>
    <row r="132" spans="1:22" ht="25.5" customHeight="1">
      <c r="A132" s="9"/>
      <c r="B132" s="226" t="s">
        <v>331</v>
      </c>
      <c r="C132" s="279">
        <v>10000</v>
      </c>
      <c r="D132" s="195"/>
      <c r="E132" s="269">
        <f>+'ต.ค. '!E131+พ.ย.!E131+ธ.ค.!E131</f>
        <v>0</v>
      </c>
      <c r="F132" s="269">
        <f>+'ต.ค. '!F131+พ.ย.!F131+ธ.ค.!F131</f>
        <v>0</v>
      </c>
      <c r="G132" s="269">
        <f>+'ต.ค. '!G131+พ.ย.!G131+ธ.ค.!G131</f>
        <v>0</v>
      </c>
      <c r="H132" s="269">
        <f>+'ต.ค. '!H131+พ.ย.!H131+ธ.ค.!H131</f>
        <v>0</v>
      </c>
      <c r="I132" s="269">
        <f>+'ต.ค. '!I131+พ.ย.!I131+ธ.ค.!I131</f>
        <v>0</v>
      </c>
      <c r="J132" s="269">
        <f>+'ต.ค. '!J131+พ.ย.!J131+ธ.ค.!J131</f>
        <v>0</v>
      </c>
      <c r="K132" s="269">
        <f>+'ต.ค. '!K131+พ.ย.!K131+ธ.ค.!K131</f>
        <v>0</v>
      </c>
      <c r="L132" s="269">
        <f>+'ต.ค. '!L131+พ.ย.!L131+ธ.ค.!L131</f>
        <v>0</v>
      </c>
      <c r="M132" s="269">
        <f>+'ต.ค. '!M131+พ.ย.!M131+ธ.ค.!M131</f>
        <v>0</v>
      </c>
      <c r="N132" s="269">
        <f>+'ต.ค. '!N131+พ.ย.!N131+ธ.ค.!N131</f>
        <v>0</v>
      </c>
      <c r="O132" s="269">
        <f>+'ต.ค. '!O131+พ.ย.!O131+ธ.ค.!O131</f>
        <v>0</v>
      </c>
      <c r="P132" s="269">
        <f>+'ต.ค. '!P131+พ.ย.!P131+ธ.ค.!P131</f>
        <v>0</v>
      </c>
      <c r="Q132" s="269">
        <f>+'ต.ค. '!Q131+พ.ย.!Q131+ธ.ค.!Q131</f>
        <v>0</v>
      </c>
      <c r="R132" s="269">
        <f>+'ต.ค. '!R131+พ.ย.!R131+ธ.ค.!R131</f>
        <v>0</v>
      </c>
      <c r="S132" s="269">
        <f>+'ต.ค. '!S131+พ.ย.!S131+ธ.ค.!S131</f>
        <v>0</v>
      </c>
      <c r="T132" s="269"/>
      <c r="U132" s="269">
        <f>+'ต.ค. '!U131+พ.ย.!U131+ธ.ค.!U131</f>
        <v>0</v>
      </c>
      <c r="V132" s="269">
        <f>+'ต.ค. '!V131+พ.ย.!V131+ธ.ค.!V131</f>
        <v>0</v>
      </c>
    </row>
    <row r="133" spans="1:22" ht="25.5" customHeight="1">
      <c r="A133" s="9"/>
      <c r="B133" s="226" t="s">
        <v>333</v>
      </c>
      <c r="C133" s="279">
        <v>15000</v>
      </c>
      <c r="D133" s="195"/>
      <c r="E133" s="269">
        <f>+'ต.ค. '!E132+พ.ย.!E132+ธ.ค.!E132</f>
        <v>0</v>
      </c>
      <c r="F133" s="269">
        <f>+'ต.ค. '!F132+พ.ย.!F132+ธ.ค.!F132</f>
        <v>0</v>
      </c>
      <c r="G133" s="269">
        <f>+'ต.ค. '!G132+พ.ย.!G132+ธ.ค.!G132</f>
        <v>0</v>
      </c>
      <c r="H133" s="269">
        <f>+'ต.ค. '!H132+พ.ย.!H132+ธ.ค.!H132</f>
        <v>0</v>
      </c>
      <c r="I133" s="269">
        <f>+'ต.ค. '!I132+พ.ย.!I132+ธ.ค.!I132</f>
        <v>0</v>
      </c>
      <c r="J133" s="269">
        <f>+'ต.ค. '!J132+พ.ย.!J132+ธ.ค.!J132</f>
        <v>0</v>
      </c>
      <c r="K133" s="269">
        <f>+'ต.ค. '!K132+พ.ย.!K132+ธ.ค.!K132</f>
        <v>0</v>
      </c>
      <c r="L133" s="269">
        <f>+'ต.ค. '!L132+พ.ย.!L132+ธ.ค.!L132</f>
        <v>0</v>
      </c>
      <c r="M133" s="269">
        <f>+'ต.ค. '!M132+พ.ย.!M132+ธ.ค.!M132</f>
        <v>0</v>
      </c>
      <c r="N133" s="269">
        <f>+'ต.ค. '!N132+พ.ย.!N132+ธ.ค.!N132</f>
        <v>0</v>
      </c>
      <c r="O133" s="269">
        <f>+'ต.ค. '!O132+พ.ย.!O132+ธ.ค.!O132</f>
        <v>0</v>
      </c>
      <c r="P133" s="269">
        <f>+'ต.ค. '!P132+พ.ย.!P132+ธ.ค.!P132</f>
        <v>0</v>
      </c>
      <c r="Q133" s="269">
        <f>+'ต.ค. '!Q132+พ.ย.!Q132+ธ.ค.!Q132</f>
        <v>0</v>
      </c>
      <c r="R133" s="269">
        <f>+'ต.ค. '!R132+พ.ย.!R132+ธ.ค.!R132</f>
        <v>0</v>
      </c>
      <c r="S133" s="269">
        <f>+'ต.ค. '!S132+พ.ย.!S132+ธ.ค.!S132</f>
        <v>0</v>
      </c>
      <c r="T133" s="269"/>
      <c r="U133" s="269">
        <f>+'ต.ค. '!U132+พ.ย.!U132+ธ.ค.!U132</f>
        <v>0</v>
      </c>
      <c r="V133" s="269">
        <f>+'ต.ค. '!V132+พ.ย.!V132+ธ.ค.!V132</f>
        <v>0</v>
      </c>
    </row>
    <row r="134" spans="1:22" ht="25.5" customHeight="1">
      <c r="A134" s="9"/>
      <c r="B134" s="226" t="s">
        <v>157</v>
      </c>
      <c r="C134" s="279">
        <v>10000</v>
      </c>
      <c r="D134" s="195"/>
      <c r="E134" s="269">
        <f>+'ต.ค. '!E133+พ.ย.!E133+ธ.ค.!E133</f>
        <v>0</v>
      </c>
      <c r="F134" s="269">
        <f>+'ต.ค. '!F133+พ.ย.!F133+ธ.ค.!F133</f>
        <v>0</v>
      </c>
      <c r="G134" s="269">
        <f>+'ต.ค. '!G133+พ.ย.!G133+ธ.ค.!G133</f>
        <v>0</v>
      </c>
      <c r="H134" s="269">
        <f>+'ต.ค. '!H133+พ.ย.!H133+ธ.ค.!H133</f>
        <v>0</v>
      </c>
      <c r="I134" s="269">
        <f>+'ต.ค. '!I133+พ.ย.!I133+ธ.ค.!I133</f>
        <v>0</v>
      </c>
      <c r="J134" s="269">
        <f>+'ต.ค. '!J133+พ.ย.!J133+ธ.ค.!J133</f>
        <v>0</v>
      </c>
      <c r="K134" s="269">
        <f>+'ต.ค. '!K133+พ.ย.!K133+ธ.ค.!K133</f>
        <v>0</v>
      </c>
      <c r="L134" s="269">
        <f>+'ต.ค. '!L133+พ.ย.!L133+ธ.ค.!L133</f>
        <v>0</v>
      </c>
      <c r="M134" s="269">
        <f>+'ต.ค. '!M133+พ.ย.!M133+ธ.ค.!M133</f>
        <v>0</v>
      </c>
      <c r="N134" s="269">
        <f>+'ต.ค. '!N133+พ.ย.!N133+ธ.ค.!N133</f>
        <v>0</v>
      </c>
      <c r="O134" s="269">
        <f>+'ต.ค. '!O133+พ.ย.!O133+ธ.ค.!O133</f>
        <v>0</v>
      </c>
      <c r="P134" s="269">
        <f>+'ต.ค. '!P133+พ.ย.!P133+ธ.ค.!P133</f>
        <v>0</v>
      </c>
      <c r="Q134" s="269">
        <f>+'ต.ค. '!Q133+พ.ย.!Q133+ธ.ค.!Q133</f>
        <v>0</v>
      </c>
      <c r="R134" s="269">
        <f>+'ต.ค. '!R133+พ.ย.!R133+ธ.ค.!R133</f>
        <v>0</v>
      </c>
      <c r="S134" s="269">
        <f>+'ต.ค. '!S133+พ.ย.!S133+ธ.ค.!S133</f>
        <v>0</v>
      </c>
      <c r="T134" s="269"/>
      <c r="U134" s="269">
        <f>+'ต.ค. '!U133+พ.ย.!U133+ธ.ค.!U133</f>
        <v>0</v>
      </c>
      <c r="V134" s="269">
        <f>+'ต.ค. '!V133+พ.ย.!V133+ธ.ค.!V133</f>
        <v>0</v>
      </c>
    </row>
    <row r="135" spans="1:22" ht="25.5" customHeight="1">
      <c r="A135" s="9"/>
      <c r="B135" s="226" t="s">
        <v>158</v>
      </c>
      <c r="C135" s="279">
        <v>10000</v>
      </c>
      <c r="D135" s="195"/>
      <c r="E135" s="269">
        <f>+'ต.ค. '!E134+พ.ย.!E134+ธ.ค.!E134</f>
        <v>0</v>
      </c>
      <c r="F135" s="269">
        <f>+'ต.ค. '!F134+พ.ย.!F134+ธ.ค.!F134</f>
        <v>0</v>
      </c>
      <c r="G135" s="269">
        <f>+'ต.ค. '!G134+พ.ย.!G134+ธ.ค.!G134</f>
        <v>0</v>
      </c>
      <c r="H135" s="269">
        <f>+'ต.ค. '!H134+พ.ย.!H134+ธ.ค.!H134</f>
        <v>0</v>
      </c>
      <c r="I135" s="269">
        <f>+'ต.ค. '!I134+พ.ย.!I134+ธ.ค.!I134</f>
        <v>0</v>
      </c>
      <c r="J135" s="269">
        <f>+'ต.ค. '!J134+พ.ย.!J134+ธ.ค.!J134</f>
        <v>0</v>
      </c>
      <c r="K135" s="269">
        <f>+'ต.ค. '!K134+พ.ย.!K134+ธ.ค.!K134</f>
        <v>0</v>
      </c>
      <c r="L135" s="269">
        <f>+'ต.ค. '!L134+พ.ย.!L134+ธ.ค.!L134</f>
        <v>0</v>
      </c>
      <c r="M135" s="269">
        <f>+'ต.ค. '!M134+พ.ย.!M134+ธ.ค.!M134</f>
        <v>0</v>
      </c>
      <c r="N135" s="269">
        <f>+'ต.ค. '!N134+พ.ย.!N134+ธ.ค.!N134</f>
        <v>0</v>
      </c>
      <c r="O135" s="269">
        <f>+'ต.ค. '!O134+พ.ย.!O134+ธ.ค.!O134</f>
        <v>0</v>
      </c>
      <c r="P135" s="269">
        <f>+'ต.ค. '!P134+พ.ย.!P134+ธ.ค.!P134</f>
        <v>0</v>
      </c>
      <c r="Q135" s="269">
        <f>+'ต.ค. '!Q134+พ.ย.!Q134+ธ.ค.!Q134</f>
        <v>0</v>
      </c>
      <c r="R135" s="269">
        <f>+'ต.ค. '!R134+พ.ย.!R134+ธ.ค.!R134</f>
        <v>0</v>
      </c>
      <c r="S135" s="269">
        <f>+'ต.ค. '!S134+พ.ย.!S134+ธ.ค.!S134</f>
        <v>0</v>
      </c>
      <c r="T135" s="269"/>
      <c r="U135" s="269">
        <f>+'ต.ค. '!U134+พ.ย.!U134+ธ.ค.!U134</f>
        <v>0</v>
      </c>
      <c r="V135" s="269">
        <f>+'ต.ค. '!V134+พ.ย.!V134+ธ.ค.!V134</f>
        <v>0</v>
      </c>
    </row>
    <row r="136" spans="1:22" ht="25.5" customHeight="1">
      <c r="A136" s="9"/>
      <c r="B136" s="226" t="s">
        <v>352</v>
      </c>
      <c r="C136" s="279">
        <v>10000</v>
      </c>
      <c r="D136" s="195"/>
      <c r="E136" s="269">
        <f>+'ต.ค. '!E135+พ.ย.!E135+ธ.ค.!E135</f>
        <v>0</v>
      </c>
      <c r="F136" s="269">
        <f>+'ต.ค. '!F135+พ.ย.!F135+ธ.ค.!F135</f>
        <v>0</v>
      </c>
      <c r="G136" s="269">
        <f>+'ต.ค. '!G135+พ.ย.!G135+ธ.ค.!G135</f>
        <v>0</v>
      </c>
      <c r="H136" s="269">
        <f>+'ต.ค. '!H135+พ.ย.!H135+ธ.ค.!H135</f>
        <v>0</v>
      </c>
      <c r="I136" s="269">
        <f>+'ต.ค. '!I135+พ.ย.!I135+ธ.ค.!I135</f>
        <v>0</v>
      </c>
      <c r="J136" s="269">
        <f>+'ต.ค. '!J135+พ.ย.!J135+ธ.ค.!J135</f>
        <v>0</v>
      </c>
      <c r="K136" s="269">
        <f>+'ต.ค. '!K135+พ.ย.!K135+ธ.ค.!K135</f>
        <v>0</v>
      </c>
      <c r="L136" s="269">
        <f>+'ต.ค. '!L135+พ.ย.!L135+ธ.ค.!L135</f>
        <v>0</v>
      </c>
      <c r="M136" s="269">
        <f>+'ต.ค. '!M135+พ.ย.!M135+ธ.ค.!M135</f>
        <v>0</v>
      </c>
      <c r="N136" s="269">
        <f>+'ต.ค. '!N135+พ.ย.!N135+ธ.ค.!N135</f>
        <v>0</v>
      </c>
      <c r="O136" s="269">
        <f>+'ต.ค. '!O135+พ.ย.!O135+ธ.ค.!O135</f>
        <v>0</v>
      </c>
      <c r="P136" s="269">
        <f>+'ต.ค. '!P135+พ.ย.!P135+ธ.ค.!P135</f>
        <v>0</v>
      </c>
      <c r="Q136" s="269">
        <f>+'ต.ค. '!Q135+พ.ย.!Q135+ธ.ค.!Q135</f>
        <v>0</v>
      </c>
      <c r="R136" s="269">
        <f>+'ต.ค. '!R135+พ.ย.!R135+ธ.ค.!R135</f>
        <v>0</v>
      </c>
      <c r="S136" s="269">
        <f>+'ต.ค. '!S135+พ.ย.!S135+ธ.ค.!S135</f>
        <v>0</v>
      </c>
      <c r="T136" s="269"/>
      <c r="U136" s="269">
        <f>+'ต.ค. '!U135+พ.ย.!U135+ธ.ค.!U135</f>
        <v>0</v>
      </c>
      <c r="V136" s="269">
        <f>+'ต.ค. '!V135+พ.ย.!V135+ธ.ค.!V135</f>
        <v>0</v>
      </c>
    </row>
    <row r="137" spans="1:22" ht="25.5" customHeight="1">
      <c r="A137" s="9"/>
      <c r="B137" s="226" t="s">
        <v>213</v>
      </c>
      <c r="C137" s="279">
        <v>15000</v>
      </c>
      <c r="D137" s="195"/>
      <c r="E137" s="269">
        <f>+'ต.ค. '!E136+พ.ย.!E136+ธ.ค.!E136</f>
        <v>0</v>
      </c>
      <c r="F137" s="269">
        <f>+'ต.ค. '!F136+พ.ย.!F136+ธ.ค.!F136</f>
        <v>0</v>
      </c>
      <c r="G137" s="269">
        <f>+'ต.ค. '!G136+พ.ย.!G136+ธ.ค.!G136</f>
        <v>0</v>
      </c>
      <c r="H137" s="269">
        <f>+'ต.ค. '!H136+พ.ย.!H136+ธ.ค.!H136</f>
        <v>0</v>
      </c>
      <c r="I137" s="269">
        <f>+'ต.ค. '!I136+พ.ย.!I136+ธ.ค.!I136</f>
        <v>0</v>
      </c>
      <c r="J137" s="269">
        <f>+'ต.ค. '!J136+พ.ย.!J136+ธ.ค.!J136</f>
        <v>0</v>
      </c>
      <c r="K137" s="269">
        <f>+'ต.ค. '!K136+พ.ย.!K136+ธ.ค.!K136</f>
        <v>0</v>
      </c>
      <c r="L137" s="269">
        <f>+'ต.ค. '!L136+พ.ย.!L136+ธ.ค.!L136</f>
        <v>0</v>
      </c>
      <c r="M137" s="269">
        <f>+'ต.ค. '!M136+พ.ย.!M136+ธ.ค.!M136</f>
        <v>0</v>
      </c>
      <c r="N137" s="269">
        <f>+'ต.ค. '!N136+พ.ย.!N136+ธ.ค.!N136</f>
        <v>0</v>
      </c>
      <c r="O137" s="269">
        <f>+'ต.ค. '!O136+พ.ย.!O136+ธ.ค.!O136</f>
        <v>0</v>
      </c>
      <c r="P137" s="269">
        <f>+'ต.ค. '!P136+พ.ย.!P136+ธ.ค.!P136</f>
        <v>0</v>
      </c>
      <c r="Q137" s="269">
        <f>+'ต.ค. '!Q136+พ.ย.!Q136+ธ.ค.!Q136</f>
        <v>0</v>
      </c>
      <c r="R137" s="269">
        <f>+'ต.ค. '!R136+พ.ย.!R136+ธ.ค.!R136</f>
        <v>0</v>
      </c>
      <c r="S137" s="269">
        <f>+'ต.ค. '!S136+พ.ย.!S136+ธ.ค.!S136</f>
        <v>0</v>
      </c>
      <c r="T137" s="269"/>
      <c r="U137" s="269">
        <f>+'ต.ค. '!U136+พ.ย.!U136+ธ.ค.!U136</f>
        <v>0</v>
      </c>
      <c r="V137" s="269">
        <f>+'ต.ค. '!V136+พ.ย.!V136+ธ.ค.!V136</f>
        <v>0</v>
      </c>
    </row>
    <row r="138" spans="1:22" ht="25.5" customHeight="1">
      <c r="A138" s="9"/>
      <c r="B138" s="226" t="s">
        <v>265</v>
      </c>
      <c r="C138" s="279">
        <v>20000</v>
      </c>
      <c r="D138" s="195"/>
      <c r="E138" s="269">
        <f>+'ต.ค. '!E137+พ.ย.!E137+ธ.ค.!E137</f>
        <v>0</v>
      </c>
      <c r="F138" s="269">
        <f>+'ต.ค. '!F137+พ.ย.!F137+ธ.ค.!F137</f>
        <v>0</v>
      </c>
      <c r="G138" s="269">
        <f>+'ต.ค. '!G137+พ.ย.!G137+ธ.ค.!G137</f>
        <v>0</v>
      </c>
      <c r="H138" s="269">
        <f>+'ต.ค. '!H137+พ.ย.!H137+ธ.ค.!H137</f>
        <v>0</v>
      </c>
      <c r="I138" s="269">
        <f>+'ต.ค. '!I137+พ.ย.!I137+ธ.ค.!I137</f>
        <v>0</v>
      </c>
      <c r="J138" s="269">
        <f>+'ต.ค. '!J137+พ.ย.!J137+ธ.ค.!J137</f>
        <v>0</v>
      </c>
      <c r="K138" s="269">
        <f>+'ต.ค. '!K137+พ.ย.!K137+ธ.ค.!K137</f>
        <v>0</v>
      </c>
      <c r="L138" s="269">
        <f>+'ต.ค. '!L137+พ.ย.!L137+ธ.ค.!L137</f>
        <v>0</v>
      </c>
      <c r="M138" s="269">
        <f>+'ต.ค. '!M137+พ.ย.!M137+ธ.ค.!M137</f>
        <v>0</v>
      </c>
      <c r="N138" s="269">
        <f>+'ต.ค. '!N137+พ.ย.!N137+ธ.ค.!N137</f>
        <v>0</v>
      </c>
      <c r="O138" s="269">
        <f>+'ต.ค. '!O137+พ.ย.!O137+ธ.ค.!O137</f>
        <v>0</v>
      </c>
      <c r="P138" s="269">
        <f>+'ต.ค. '!P137+พ.ย.!P137+ธ.ค.!P137</f>
        <v>0</v>
      </c>
      <c r="Q138" s="269">
        <f>+'ต.ค. '!Q137+พ.ย.!Q137+ธ.ค.!Q137</f>
        <v>0</v>
      </c>
      <c r="R138" s="269">
        <f>+'ต.ค. '!R137+พ.ย.!R137+ธ.ค.!R137</f>
        <v>0</v>
      </c>
      <c r="S138" s="269">
        <f>+'ต.ค. '!S137+พ.ย.!S137+ธ.ค.!S137</f>
        <v>0</v>
      </c>
      <c r="T138" s="269"/>
      <c r="U138" s="269">
        <f>+'ต.ค. '!U137+พ.ย.!U137+ธ.ค.!U137</f>
        <v>0</v>
      </c>
      <c r="V138" s="269">
        <f>+'ต.ค. '!V137+พ.ย.!V137+ธ.ค.!V137</f>
        <v>0</v>
      </c>
    </row>
    <row r="139" spans="1:22" ht="25.5" customHeight="1">
      <c r="A139" s="9"/>
      <c r="B139" s="226" t="s">
        <v>353</v>
      </c>
      <c r="C139" s="279">
        <v>5000</v>
      </c>
      <c r="D139" s="195"/>
      <c r="E139" s="269">
        <f>+'ต.ค. '!E138+พ.ย.!E138+ธ.ค.!E138</f>
        <v>0</v>
      </c>
      <c r="F139" s="269">
        <f>+'ต.ค. '!F138+พ.ย.!F138+ธ.ค.!F138</f>
        <v>0</v>
      </c>
      <c r="G139" s="269">
        <f>+'ต.ค. '!G138+พ.ย.!G138+ธ.ค.!G138</f>
        <v>0</v>
      </c>
      <c r="H139" s="269">
        <f>+'ต.ค. '!H138+พ.ย.!H138+ธ.ค.!H138</f>
        <v>0</v>
      </c>
      <c r="I139" s="269">
        <f>+'ต.ค. '!I138+พ.ย.!I138+ธ.ค.!I138</f>
        <v>0</v>
      </c>
      <c r="J139" s="269">
        <f>+'ต.ค. '!J138+พ.ย.!J138+ธ.ค.!J138</f>
        <v>0</v>
      </c>
      <c r="K139" s="269">
        <f>+'ต.ค. '!K138+พ.ย.!K138+ธ.ค.!K138</f>
        <v>0</v>
      </c>
      <c r="L139" s="269">
        <f>+'ต.ค. '!L138+พ.ย.!L138+ธ.ค.!L138</f>
        <v>0</v>
      </c>
      <c r="M139" s="269">
        <f>+'ต.ค. '!M138+พ.ย.!M138+ธ.ค.!M138</f>
        <v>0</v>
      </c>
      <c r="N139" s="269">
        <f>+'ต.ค. '!N138+พ.ย.!N138+ธ.ค.!N138</f>
        <v>0</v>
      </c>
      <c r="O139" s="269">
        <f>+'ต.ค. '!O138+พ.ย.!O138+ธ.ค.!O138</f>
        <v>0</v>
      </c>
      <c r="P139" s="269">
        <f>+'ต.ค. '!P138+พ.ย.!P138+ธ.ค.!P138</f>
        <v>0</v>
      </c>
      <c r="Q139" s="269">
        <f>+'ต.ค. '!Q138+พ.ย.!Q138+ธ.ค.!Q138</f>
        <v>4880</v>
      </c>
      <c r="R139" s="269">
        <f>+'ต.ค. '!R138+พ.ย.!R138+ธ.ค.!R138</f>
        <v>0</v>
      </c>
      <c r="S139" s="269">
        <f>+'ต.ค. '!S138+พ.ย.!S138+ธ.ค.!S138</f>
        <v>0</v>
      </c>
      <c r="T139" s="269"/>
      <c r="U139" s="269">
        <f>+'ต.ค. '!U138+พ.ย.!U138+ธ.ค.!U138</f>
        <v>0</v>
      </c>
      <c r="V139" s="269">
        <f>+'ต.ค. '!V138+พ.ย.!V138+ธ.ค.!V138</f>
        <v>0</v>
      </c>
    </row>
    <row r="140" spans="1:22" ht="25.5" customHeight="1">
      <c r="A140" s="9"/>
      <c r="B140" s="226" t="s">
        <v>354</v>
      </c>
      <c r="C140" s="279">
        <v>10000</v>
      </c>
      <c r="D140" s="195"/>
      <c r="E140" s="269">
        <f>+'ต.ค. '!E139+พ.ย.!E139+ธ.ค.!E139</f>
        <v>0</v>
      </c>
      <c r="F140" s="269">
        <f>+'ต.ค. '!F139+พ.ย.!F139+ธ.ค.!F139</f>
        <v>0</v>
      </c>
      <c r="G140" s="269">
        <f>+'ต.ค. '!G139+พ.ย.!G139+ธ.ค.!G139</f>
        <v>0</v>
      </c>
      <c r="H140" s="269">
        <f>+'ต.ค. '!H139+พ.ย.!H139+ธ.ค.!H139</f>
        <v>0</v>
      </c>
      <c r="I140" s="269">
        <f>+'ต.ค. '!I139+พ.ย.!I139+ธ.ค.!I139</f>
        <v>0</v>
      </c>
      <c r="J140" s="269">
        <f>+'ต.ค. '!J139+พ.ย.!J139+ธ.ค.!J139</f>
        <v>0</v>
      </c>
      <c r="K140" s="269">
        <f>+'ต.ค. '!K139+พ.ย.!K139+ธ.ค.!K139</f>
        <v>0</v>
      </c>
      <c r="L140" s="269">
        <f>+'ต.ค. '!L139+พ.ย.!L139+ธ.ค.!L139</f>
        <v>0</v>
      </c>
      <c r="M140" s="269">
        <f>+'ต.ค. '!M139+พ.ย.!M139+ธ.ค.!M139</f>
        <v>0</v>
      </c>
      <c r="N140" s="269">
        <f>+'ต.ค. '!N139+พ.ย.!N139+ธ.ค.!N139</f>
        <v>0</v>
      </c>
      <c r="O140" s="269">
        <f>+'ต.ค. '!O139+พ.ย.!O139+ธ.ค.!O139</f>
        <v>0</v>
      </c>
      <c r="P140" s="269">
        <f>+'ต.ค. '!P139+พ.ย.!P139+ธ.ค.!P139</f>
        <v>0</v>
      </c>
      <c r="Q140" s="269">
        <f>+'ต.ค. '!Q139+พ.ย.!Q139+ธ.ค.!Q139</f>
        <v>0</v>
      </c>
      <c r="R140" s="269">
        <f>+'ต.ค. '!R139+พ.ย.!R139+ธ.ค.!R139</f>
        <v>0</v>
      </c>
      <c r="S140" s="269">
        <f>+'ต.ค. '!S139+พ.ย.!S139+ธ.ค.!S139</f>
        <v>0</v>
      </c>
      <c r="T140" s="269"/>
      <c r="U140" s="269">
        <f>+'ต.ค. '!U139+พ.ย.!U139+ธ.ค.!U139</f>
        <v>0</v>
      </c>
      <c r="V140" s="269">
        <f>+'ต.ค. '!V139+พ.ย.!V139+ธ.ค.!V139</f>
        <v>0</v>
      </c>
    </row>
    <row r="141" spans="1:22" ht="25.5" customHeight="1">
      <c r="A141" s="9"/>
      <c r="B141" s="187" t="s">
        <v>355</v>
      </c>
      <c r="C141" s="279">
        <v>20000</v>
      </c>
      <c r="D141" s="195"/>
      <c r="E141" s="269">
        <f>+'ต.ค. '!E140+พ.ย.!E140+ธ.ค.!E140</f>
        <v>0</v>
      </c>
      <c r="F141" s="269">
        <f>+'ต.ค. '!F140+พ.ย.!F140+ธ.ค.!F140</f>
        <v>0</v>
      </c>
      <c r="G141" s="269">
        <f>+'ต.ค. '!G140+พ.ย.!G140+ธ.ค.!G140</f>
        <v>0</v>
      </c>
      <c r="H141" s="269">
        <f>+'ต.ค. '!H140+พ.ย.!H140+ธ.ค.!H140</f>
        <v>0</v>
      </c>
      <c r="I141" s="269">
        <f>+'ต.ค. '!I140+พ.ย.!I140+ธ.ค.!I140</f>
        <v>0</v>
      </c>
      <c r="J141" s="269">
        <f>+'ต.ค. '!J140+พ.ย.!J140+ธ.ค.!J140</f>
        <v>0</v>
      </c>
      <c r="K141" s="269">
        <f>+'ต.ค. '!K140+พ.ย.!K140+ธ.ค.!K140</f>
        <v>0</v>
      </c>
      <c r="L141" s="269">
        <f>+'ต.ค. '!L140+พ.ย.!L140+ธ.ค.!L140</f>
        <v>0</v>
      </c>
      <c r="M141" s="269">
        <f>+'ต.ค. '!M140+พ.ย.!M140+ธ.ค.!M140</f>
        <v>0</v>
      </c>
      <c r="N141" s="269">
        <f>+'ต.ค. '!N140+พ.ย.!N140+ธ.ค.!N140</f>
        <v>0</v>
      </c>
      <c r="O141" s="269">
        <f>+'ต.ค. '!O140+พ.ย.!O140+ธ.ค.!O140</f>
        <v>0</v>
      </c>
      <c r="P141" s="269">
        <f>+'ต.ค. '!P140+พ.ย.!P140+ธ.ค.!P140</f>
        <v>0</v>
      </c>
      <c r="Q141" s="269">
        <f>+'ต.ค. '!Q140+พ.ย.!Q140+ธ.ค.!Q140</f>
        <v>0</v>
      </c>
      <c r="R141" s="269">
        <f>+'ต.ค. '!R140+พ.ย.!R140+ธ.ค.!R140</f>
        <v>0</v>
      </c>
      <c r="S141" s="269">
        <f>+'ต.ค. '!S140+พ.ย.!S140+ธ.ค.!S140</f>
        <v>0</v>
      </c>
      <c r="T141" s="269"/>
      <c r="U141" s="269">
        <f>+'ต.ค. '!U140+พ.ย.!U140+ธ.ค.!U140</f>
        <v>0</v>
      </c>
      <c r="V141" s="269">
        <f>+'ต.ค. '!V140+พ.ย.!V140+ธ.ค.!V140</f>
        <v>0</v>
      </c>
    </row>
    <row r="142" spans="1:22" ht="25.5" customHeight="1">
      <c r="A142" s="9"/>
      <c r="B142" s="187" t="s">
        <v>356</v>
      </c>
      <c r="C142" s="279">
        <v>20000</v>
      </c>
      <c r="D142" s="195"/>
      <c r="E142" s="269">
        <f>+'ต.ค. '!E141+พ.ย.!E141+ธ.ค.!E141</f>
        <v>0</v>
      </c>
      <c r="F142" s="269">
        <f>+'ต.ค. '!F141+พ.ย.!F141+ธ.ค.!F141</f>
        <v>0</v>
      </c>
      <c r="G142" s="269">
        <f>+'ต.ค. '!G141+พ.ย.!G141+ธ.ค.!G141</f>
        <v>0</v>
      </c>
      <c r="H142" s="269">
        <f>+'ต.ค. '!H141+พ.ย.!H141+ธ.ค.!H141</f>
        <v>0</v>
      </c>
      <c r="I142" s="269">
        <f>+'ต.ค. '!I141+พ.ย.!I141+ธ.ค.!I141</f>
        <v>0</v>
      </c>
      <c r="J142" s="269">
        <f>+'ต.ค. '!J141+พ.ย.!J141+ธ.ค.!J141</f>
        <v>0</v>
      </c>
      <c r="K142" s="269">
        <f>+'ต.ค. '!K141+พ.ย.!K141+ธ.ค.!K141</f>
        <v>0</v>
      </c>
      <c r="L142" s="269">
        <f>+'ต.ค. '!L141+พ.ย.!L141+ธ.ค.!L141</f>
        <v>0</v>
      </c>
      <c r="M142" s="269">
        <f>+'ต.ค. '!M141+พ.ย.!M141+ธ.ค.!M141</f>
        <v>0</v>
      </c>
      <c r="N142" s="269">
        <f>+'ต.ค. '!N141+พ.ย.!N141+ธ.ค.!N141</f>
        <v>0</v>
      </c>
      <c r="O142" s="269">
        <f>+'ต.ค. '!O141+พ.ย.!O141+ธ.ค.!O141</f>
        <v>0</v>
      </c>
      <c r="P142" s="269">
        <f>+'ต.ค. '!P141+พ.ย.!P141+ธ.ค.!P141</f>
        <v>0</v>
      </c>
      <c r="Q142" s="269">
        <f>+'ต.ค. '!Q141+พ.ย.!Q141+ธ.ค.!Q141</f>
        <v>0</v>
      </c>
      <c r="R142" s="269">
        <f>+'ต.ค. '!R141+พ.ย.!R141+ธ.ค.!R141</f>
        <v>0</v>
      </c>
      <c r="S142" s="269">
        <f>+'ต.ค. '!S141+พ.ย.!S141+ธ.ค.!S141</f>
        <v>0</v>
      </c>
      <c r="T142" s="269"/>
      <c r="U142" s="269">
        <f>+'ต.ค. '!U141+พ.ย.!U141+ธ.ค.!U141</f>
        <v>0</v>
      </c>
      <c r="V142" s="269">
        <f>+'ต.ค. '!V141+พ.ย.!V141+ธ.ค.!V141</f>
        <v>0</v>
      </c>
    </row>
    <row r="143" spans="1:22" ht="25.5" customHeight="1">
      <c r="A143" s="9"/>
      <c r="B143" s="187" t="s">
        <v>357</v>
      </c>
      <c r="C143" s="279">
        <v>10000</v>
      </c>
      <c r="D143" s="195"/>
      <c r="E143" s="269">
        <f>+'ต.ค. '!E142+พ.ย.!E142+ธ.ค.!E142</f>
        <v>0</v>
      </c>
      <c r="F143" s="269">
        <f>+'ต.ค. '!F142+พ.ย.!F142+ธ.ค.!F142</f>
        <v>0</v>
      </c>
      <c r="G143" s="269">
        <f>+'ต.ค. '!G142+พ.ย.!G142+ธ.ค.!G142</f>
        <v>0</v>
      </c>
      <c r="H143" s="269">
        <f>+'ต.ค. '!H142+พ.ย.!H142+ธ.ค.!H142</f>
        <v>0</v>
      </c>
      <c r="I143" s="269">
        <f>+'ต.ค. '!I142+พ.ย.!I142+ธ.ค.!I142</f>
        <v>0</v>
      </c>
      <c r="J143" s="269">
        <f>+'ต.ค. '!J142+พ.ย.!J142+ธ.ค.!J142</f>
        <v>0</v>
      </c>
      <c r="K143" s="269">
        <f>+'ต.ค. '!K142+พ.ย.!K142+ธ.ค.!K142</f>
        <v>0</v>
      </c>
      <c r="L143" s="269">
        <f>+'ต.ค. '!L142+พ.ย.!L142+ธ.ค.!L142</f>
        <v>0</v>
      </c>
      <c r="M143" s="269">
        <f>+'ต.ค. '!M142+พ.ย.!M142+ธ.ค.!M142</f>
        <v>0</v>
      </c>
      <c r="N143" s="269">
        <f>+'ต.ค. '!N142+พ.ย.!N142+ธ.ค.!N142</f>
        <v>0</v>
      </c>
      <c r="O143" s="269">
        <f>+'ต.ค. '!O142+พ.ย.!O142+ธ.ค.!O142</f>
        <v>0</v>
      </c>
      <c r="P143" s="269">
        <f>+'ต.ค. '!P142+พ.ย.!P142+ธ.ค.!P142</f>
        <v>0</v>
      </c>
      <c r="Q143" s="269">
        <f>+'ต.ค. '!Q142+พ.ย.!Q142+ธ.ค.!Q142</f>
        <v>0</v>
      </c>
      <c r="R143" s="269">
        <f>+'ต.ค. '!R142+พ.ย.!R142+ธ.ค.!R142</f>
        <v>0</v>
      </c>
      <c r="S143" s="269">
        <f>+'ต.ค. '!S142+พ.ย.!S142+ธ.ค.!S142</f>
        <v>0</v>
      </c>
      <c r="T143" s="269"/>
      <c r="U143" s="269">
        <f>+'ต.ค. '!U142+พ.ย.!U142+ธ.ค.!U142</f>
        <v>0</v>
      </c>
      <c r="V143" s="269">
        <f>+'ต.ค. '!V142+พ.ย.!V142+ธ.ค.!V142</f>
        <v>0</v>
      </c>
    </row>
    <row r="144" spans="1:22" ht="25.5" customHeight="1">
      <c r="A144" s="9"/>
      <c r="B144" s="187" t="s">
        <v>358</v>
      </c>
      <c r="C144" s="279">
        <v>10000</v>
      </c>
      <c r="D144" s="195"/>
      <c r="E144" s="269">
        <f>+'ต.ค. '!E143+พ.ย.!E143+ธ.ค.!E143</f>
        <v>0</v>
      </c>
      <c r="F144" s="269">
        <f>+'ต.ค. '!F143+พ.ย.!F143+ธ.ค.!F143</f>
        <v>0</v>
      </c>
      <c r="G144" s="269">
        <f>+'ต.ค. '!G143+พ.ย.!G143+ธ.ค.!G143</f>
        <v>0</v>
      </c>
      <c r="H144" s="269">
        <f>+'ต.ค. '!H143+พ.ย.!H143+ธ.ค.!H143</f>
        <v>0</v>
      </c>
      <c r="I144" s="269">
        <f>+'ต.ค. '!I143+พ.ย.!I143+ธ.ค.!I143</f>
        <v>0</v>
      </c>
      <c r="J144" s="269">
        <f>+'ต.ค. '!J143+พ.ย.!J143+ธ.ค.!J143</f>
        <v>0</v>
      </c>
      <c r="K144" s="269">
        <f>+'ต.ค. '!K143+พ.ย.!K143+ธ.ค.!K143</f>
        <v>0</v>
      </c>
      <c r="L144" s="269">
        <f>+'ต.ค. '!L143+พ.ย.!L143+ธ.ค.!L143</f>
        <v>0</v>
      </c>
      <c r="M144" s="269">
        <f>+'ต.ค. '!M143+พ.ย.!M143+ธ.ค.!M143</f>
        <v>0</v>
      </c>
      <c r="N144" s="269">
        <f>+'ต.ค. '!N143+พ.ย.!N143+ธ.ค.!N143</f>
        <v>0</v>
      </c>
      <c r="O144" s="269">
        <f>+'ต.ค. '!O143+พ.ย.!O143+ธ.ค.!O143</f>
        <v>0</v>
      </c>
      <c r="P144" s="269">
        <f>+'ต.ค. '!P143+พ.ย.!P143+ธ.ค.!P143</f>
        <v>0</v>
      </c>
      <c r="Q144" s="269">
        <f>+'ต.ค. '!Q143+พ.ย.!Q143+ธ.ค.!Q143</f>
        <v>0</v>
      </c>
      <c r="R144" s="269">
        <f>+'ต.ค. '!R143+พ.ย.!R143+ธ.ค.!R143</f>
        <v>0</v>
      </c>
      <c r="S144" s="269">
        <f>+'ต.ค. '!S143+พ.ย.!S143+ธ.ค.!S143</f>
        <v>0</v>
      </c>
      <c r="T144" s="269"/>
      <c r="U144" s="269">
        <f>+'ต.ค. '!U143+พ.ย.!U143+ธ.ค.!U143</f>
        <v>0</v>
      </c>
      <c r="V144" s="269">
        <f>+'ต.ค. '!V143+พ.ย.!V143+ธ.ค.!V143</f>
        <v>0</v>
      </c>
    </row>
    <row r="145" spans="1:22" ht="25.5" customHeight="1">
      <c r="A145" s="9"/>
      <c r="B145" s="187" t="s">
        <v>359</v>
      </c>
      <c r="C145" s="279">
        <v>5000</v>
      </c>
      <c r="D145" s="195"/>
      <c r="E145" s="269">
        <f>+'ต.ค. '!E144+พ.ย.!E144+ธ.ค.!E144</f>
        <v>0</v>
      </c>
      <c r="F145" s="269">
        <f>+'ต.ค. '!F144+พ.ย.!F144+ธ.ค.!F144</f>
        <v>0</v>
      </c>
      <c r="G145" s="269">
        <f>+'ต.ค. '!G144+พ.ย.!G144+ธ.ค.!G144</f>
        <v>0</v>
      </c>
      <c r="H145" s="269">
        <f>+'ต.ค. '!H144+พ.ย.!H144+ธ.ค.!H144</f>
        <v>0</v>
      </c>
      <c r="I145" s="269">
        <f>+'ต.ค. '!I144+พ.ย.!I144+ธ.ค.!I144</f>
        <v>0</v>
      </c>
      <c r="J145" s="269">
        <f>+'ต.ค. '!J144+พ.ย.!J144+ธ.ค.!J144</f>
        <v>0</v>
      </c>
      <c r="K145" s="269">
        <f>+'ต.ค. '!K144+พ.ย.!K144+ธ.ค.!K144</f>
        <v>0</v>
      </c>
      <c r="L145" s="269">
        <f>+'ต.ค. '!L144+พ.ย.!L144+ธ.ค.!L144</f>
        <v>0</v>
      </c>
      <c r="M145" s="269">
        <f>+'ต.ค. '!M144+พ.ย.!M144+ธ.ค.!M144</f>
        <v>0</v>
      </c>
      <c r="N145" s="269">
        <f>+'ต.ค. '!N144+พ.ย.!N144+ธ.ค.!N144</f>
        <v>0</v>
      </c>
      <c r="O145" s="269">
        <f>+'ต.ค. '!O144+พ.ย.!O144+ธ.ค.!O144</f>
        <v>0</v>
      </c>
      <c r="P145" s="269">
        <f>+'ต.ค. '!P144+พ.ย.!P144+ธ.ค.!P144</f>
        <v>0</v>
      </c>
      <c r="Q145" s="269">
        <f>+'ต.ค. '!Q144+พ.ย.!Q144+ธ.ค.!Q144</f>
        <v>0</v>
      </c>
      <c r="R145" s="269">
        <f>+'ต.ค. '!R144+พ.ย.!R144+ธ.ค.!R144</f>
        <v>0</v>
      </c>
      <c r="S145" s="269">
        <f>+'ต.ค. '!S144+พ.ย.!S144+ธ.ค.!S144</f>
        <v>0</v>
      </c>
      <c r="T145" s="269"/>
      <c r="U145" s="269">
        <f>+'ต.ค. '!U144+พ.ย.!U144+ธ.ค.!U144</f>
        <v>0</v>
      </c>
      <c r="V145" s="269">
        <f>+'ต.ค. '!V144+พ.ย.!V144+ธ.ค.!V144</f>
        <v>0</v>
      </c>
    </row>
    <row r="146" spans="1:22" ht="25.5" customHeight="1">
      <c r="A146" s="9"/>
      <c r="B146" s="187" t="s">
        <v>360</v>
      </c>
      <c r="C146" s="279">
        <v>5000</v>
      </c>
      <c r="D146" s="195"/>
      <c r="E146" s="269">
        <f>+'ต.ค. '!E145+พ.ย.!E145+ธ.ค.!E145</f>
        <v>0</v>
      </c>
      <c r="F146" s="269">
        <f>+'ต.ค. '!F145+พ.ย.!F145+ธ.ค.!F145</f>
        <v>0</v>
      </c>
      <c r="G146" s="269">
        <f>+'ต.ค. '!G145+พ.ย.!G145+ธ.ค.!G145</f>
        <v>0</v>
      </c>
      <c r="H146" s="269">
        <f>+'ต.ค. '!H145+พ.ย.!H145+ธ.ค.!H145</f>
        <v>0</v>
      </c>
      <c r="I146" s="269">
        <f>+'ต.ค. '!I145+พ.ย.!I145+ธ.ค.!I145</f>
        <v>0</v>
      </c>
      <c r="J146" s="269">
        <f>+'ต.ค. '!J145+พ.ย.!J145+ธ.ค.!J145</f>
        <v>0</v>
      </c>
      <c r="K146" s="269">
        <f>+'ต.ค. '!K145+พ.ย.!K145+ธ.ค.!K145</f>
        <v>0</v>
      </c>
      <c r="L146" s="269">
        <f>+'ต.ค. '!L145+พ.ย.!L145+ธ.ค.!L145</f>
        <v>0</v>
      </c>
      <c r="M146" s="269">
        <f>+'ต.ค. '!M145+พ.ย.!M145+ธ.ค.!M145</f>
        <v>0</v>
      </c>
      <c r="N146" s="269">
        <f>+'ต.ค. '!N145+พ.ย.!N145+ธ.ค.!N145</f>
        <v>0</v>
      </c>
      <c r="O146" s="269">
        <f>+'ต.ค. '!O145+พ.ย.!O145+ธ.ค.!O145</f>
        <v>0</v>
      </c>
      <c r="P146" s="269">
        <f>+'ต.ค. '!P145+พ.ย.!P145+ธ.ค.!P145</f>
        <v>0</v>
      </c>
      <c r="Q146" s="269">
        <f>+'ต.ค. '!Q145+พ.ย.!Q145+ธ.ค.!Q145</f>
        <v>0</v>
      </c>
      <c r="R146" s="269">
        <f>+'ต.ค. '!R145+พ.ย.!R145+ธ.ค.!R145</f>
        <v>0</v>
      </c>
      <c r="S146" s="269">
        <f>+'ต.ค. '!S145+พ.ย.!S145+ธ.ค.!S145</f>
        <v>0</v>
      </c>
      <c r="T146" s="269"/>
      <c r="U146" s="269">
        <f>+'ต.ค. '!U145+พ.ย.!U145+ธ.ค.!U145</f>
        <v>0</v>
      </c>
      <c r="V146" s="269">
        <f>+'ต.ค. '!V145+พ.ย.!V145+ธ.ค.!V145</f>
        <v>0</v>
      </c>
    </row>
    <row r="147" spans="1:22" ht="25.5" customHeight="1">
      <c r="A147" s="9"/>
      <c r="B147" s="187" t="s">
        <v>361</v>
      </c>
      <c r="C147" s="279">
        <v>5000</v>
      </c>
      <c r="D147" s="195"/>
      <c r="E147" s="269">
        <f>+'ต.ค. '!E146+พ.ย.!E146+ธ.ค.!E146</f>
        <v>0</v>
      </c>
      <c r="F147" s="269">
        <f>+'ต.ค. '!F146+พ.ย.!F146+ธ.ค.!F146</f>
        <v>0</v>
      </c>
      <c r="G147" s="269">
        <f>+'ต.ค. '!G146+พ.ย.!G146+ธ.ค.!G146</f>
        <v>0</v>
      </c>
      <c r="H147" s="269">
        <f>+'ต.ค. '!H146+พ.ย.!H146+ธ.ค.!H146</f>
        <v>0</v>
      </c>
      <c r="I147" s="269">
        <f>+'ต.ค. '!I146+พ.ย.!I146+ธ.ค.!I146</f>
        <v>0</v>
      </c>
      <c r="J147" s="269">
        <f>+'ต.ค. '!J146+พ.ย.!J146+ธ.ค.!J146</f>
        <v>0</v>
      </c>
      <c r="K147" s="269">
        <f>+'ต.ค. '!K146+พ.ย.!K146+ธ.ค.!K146</f>
        <v>0</v>
      </c>
      <c r="L147" s="269">
        <f>+'ต.ค. '!L146+พ.ย.!L146+ธ.ค.!L146</f>
        <v>0</v>
      </c>
      <c r="M147" s="269">
        <f>+'ต.ค. '!M146+พ.ย.!M146+ธ.ค.!M146</f>
        <v>0</v>
      </c>
      <c r="N147" s="269">
        <f>+'ต.ค. '!N146+พ.ย.!N146+ธ.ค.!N146</f>
        <v>0</v>
      </c>
      <c r="O147" s="269">
        <f>+'ต.ค. '!O146+พ.ย.!O146+ธ.ค.!O146</f>
        <v>0</v>
      </c>
      <c r="P147" s="269">
        <f>+'ต.ค. '!P146+พ.ย.!P146+ธ.ค.!P146</f>
        <v>0</v>
      </c>
      <c r="Q147" s="269">
        <f>+'ต.ค. '!Q146+พ.ย.!Q146+ธ.ค.!Q146</f>
        <v>0</v>
      </c>
      <c r="R147" s="269">
        <f>+'ต.ค. '!R146+พ.ย.!R146+ธ.ค.!R146</f>
        <v>0</v>
      </c>
      <c r="S147" s="269">
        <f>+'ต.ค. '!S146+พ.ย.!S146+ธ.ค.!S146</f>
        <v>0</v>
      </c>
      <c r="T147" s="269"/>
      <c r="U147" s="269">
        <f>+'ต.ค. '!U146+พ.ย.!U146+ธ.ค.!U146</f>
        <v>0</v>
      </c>
      <c r="V147" s="269">
        <f>+'ต.ค. '!V146+พ.ย.!V146+ธ.ค.!V146</f>
        <v>0</v>
      </c>
    </row>
    <row r="148" spans="1:22" ht="25.5" customHeight="1">
      <c r="A148" s="9"/>
      <c r="B148" s="187" t="s">
        <v>362</v>
      </c>
      <c r="C148" s="279">
        <v>5000</v>
      </c>
      <c r="D148" s="195"/>
      <c r="E148" s="269">
        <f>+'ต.ค. '!E147+พ.ย.!E147+ธ.ค.!E147</f>
        <v>0</v>
      </c>
      <c r="F148" s="269">
        <f>+'ต.ค. '!F147+พ.ย.!F147+ธ.ค.!F147</f>
        <v>0</v>
      </c>
      <c r="G148" s="269">
        <f>+'ต.ค. '!G147+พ.ย.!G147+ธ.ค.!G147</f>
        <v>0</v>
      </c>
      <c r="H148" s="269">
        <f>+'ต.ค. '!H147+พ.ย.!H147+ธ.ค.!H147</f>
        <v>0</v>
      </c>
      <c r="I148" s="269">
        <f>+'ต.ค. '!I147+พ.ย.!I147+ธ.ค.!I147</f>
        <v>0</v>
      </c>
      <c r="J148" s="269">
        <f>+'ต.ค. '!J147+พ.ย.!J147+ธ.ค.!J147</f>
        <v>0</v>
      </c>
      <c r="K148" s="269">
        <f>+'ต.ค. '!K147+พ.ย.!K147+ธ.ค.!K147</f>
        <v>0</v>
      </c>
      <c r="L148" s="269">
        <f>+'ต.ค. '!L147+พ.ย.!L147+ธ.ค.!L147</f>
        <v>0</v>
      </c>
      <c r="M148" s="269">
        <f>+'ต.ค. '!M147+พ.ย.!M147+ธ.ค.!M147</f>
        <v>0</v>
      </c>
      <c r="N148" s="269">
        <f>+'ต.ค. '!N147+พ.ย.!N147+ธ.ค.!N147</f>
        <v>0</v>
      </c>
      <c r="O148" s="269">
        <f>+'ต.ค. '!O147+พ.ย.!O147+ธ.ค.!O147</f>
        <v>0</v>
      </c>
      <c r="P148" s="269">
        <f>+'ต.ค. '!P147+พ.ย.!P147+ธ.ค.!P147</f>
        <v>0</v>
      </c>
      <c r="Q148" s="269">
        <f>+'ต.ค. '!Q147+พ.ย.!Q147+ธ.ค.!Q147</f>
        <v>0</v>
      </c>
      <c r="R148" s="269">
        <f>+'ต.ค. '!R147+พ.ย.!R147+ธ.ค.!R147</f>
        <v>0</v>
      </c>
      <c r="S148" s="269">
        <f>+'ต.ค. '!S147+พ.ย.!S147+ธ.ค.!S147</f>
        <v>0</v>
      </c>
      <c r="T148" s="269"/>
      <c r="U148" s="269">
        <f>+'ต.ค. '!U147+พ.ย.!U147+ธ.ค.!U147</f>
        <v>0</v>
      </c>
      <c r="V148" s="269">
        <f>+'ต.ค. '!V147+พ.ย.!V147+ธ.ค.!V147</f>
        <v>0</v>
      </c>
    </row>
    <row r="149" spans="1:22" ht="25.5" customHeight="1">
      <c r="A149" s="9"/>
      <c r="B149" s="187" t="s">
        <v>363</v>
      </c>
      <c r="C149" s="279">
        <v>5000</v>
      </c>
      <c r="D149" s="131"/>
      <c r="E149" s="269">
        <f>+'ต.ค. '!E148+พ.ย.!E148+ธ.ค.!E148</f>
        <v>0</v>
      </c>
      <c r="F149" s="269">
        <f>+'ต.ค. '!F148+พ.ย.!F148+ธ.ค.!F148</f>
        <v>0</v>
      </c>
      <c r="G149" s="269">
        <f>+'ต.ค. '!G148+พ.ย.!G148+ธ.ค.!G148</f>
        <v>0</v>
      </c>
      <c r="H149" s="269">
        <f>+'ต.ค. '!H148+พ.ย.!H148+ธ.ค.!H148</f>
        <v>0</v>
      </c>
      <c r="I149" s="269">
        <f>+'ต.ค. '!I148+พ.ย.!I148+ธ.ค.!I148</f>
        <v>0</v>
      </c>
      <c r="J149" s="269">
        <f>+'ต.ค. '!J148+พ.ย.!J148+ธ.ค.!J148</f>
        <v>0</v>
      </c>
      <c r="K149" s="269">
        <f>+'ต.ค. '!K148+พ.ย.!K148+ธ.ค.!K148</f>
        <v>0</v>
      </c>
      <c r="L149" s="269">
        <f>+'ต.ค. '!L148+พ.ย.!L148+ธ.ค.!L148</f>
        <v>0</v>
      </c>
      <c r="M149" s="269">
        <f>+'ต.ค. '!M148+พ.ย.!M148+ธ.ค.!M148</f>
        <v>0</v>
      </c>
      <c r="N149" s="269">
        <f>+'ต.ค. '!N148+พ.ย.!N148+ธ.ค.!N148</f>
        <v>0</v>
      </c>
      <c r="O149" s="269">
        <f>+'ต.ค. '!O148+พ.ย.!O148+ธ.ค.!O148</f>
        <v>0</v>
      </c>
      <c r="P149" s="269">
        <f>+'ต.ค. '!P148+พ.ย.!P148+ธ.ค.!P148</f>
        <v>0</v>
      </c>
      <c r="Q149" s="269">
        <f>+'ต.ค. '!Q148+พ.ย.!Q148+ธ.ค.!Q148</f>
        <v>0</v>
      </c>
      <c r="R149" s="269">
        <f>+'ต.ค. '!R148+พ.ย.!R148+ธ.ค.!R148</f>
        <v>0</v>
      </c>
      <c r="S149" s="269">
        <f>+'ต.ค. '!S148+พ.ย.!S148+ธ.ค.!S148</f>
        <v>0</v>
      </c>
      <c r="T149" s="269"/>
      <c r="U149" s="269">
        <f>+'ต.ค. '!U148+พ.ย.!U148+ธ.ค.!U148</f>
        <v>0</v>
      </c>
      <c r="V149" s="269">
        <f>+'ต.ค. '!V148+พ.ย.!V148+ธ.ค.!V148</f>
        <v>0</v>
      </c>
    </row>
    <row r="150" spans="1:22" ht="25.5" customHeight="1">
      <c r="A150" s="9"/>
      <c r="B150" s="187" t="s">
        <v>364</v>
      </c>
      <c r="C150" s="279">
        <v>5000</v>
      </c>
      <c r="D150" s="131"/>
      <c r="E150" s="269">
        <f>+'ต.ค. '!E149+พ.ย.!E149+ธ.ค.!E149</f>
        <v>0</v>
      </c>
      <c r="F150" s="269">
        <f>+'ต.ค. '!F149+พ.ย.!F149+ธ.ค.!F149</f>
        <v>0</v>
      </c>
      <c r="G150" s="269">
        <f>+'ต.ค. '!G149+พ.ย.!G149+ธ.ค.!G149</f>
        <v>0</v>
      </c>
      <c r="H150" s="269">
        <f>+'ต.ค. '!H149+พ.ย.!H149+ธ.ค.!H149</f>
        <v>0</v>
      </c>
      <c r="I150" s="269">
        <f>+'ต.ค. '!I149+พ.ย.!I149+ธ.ค.!I149</f>
        <v>0</v>
      </c>
      <c r="J150" s="269">
        <f>+'ต.ค. '!J149+พ.ย.!J149+ธ.ค.!J149</f>
        <v>0</v>
      </c>
      <c r="K150" s="269">
        <f>+'ต.ค. '!K149+พ.ย.!K149+ธ.ค.!K149</f>
        <v>0</v>
      </c>
      <c r="L150" s="269">
        <f>+'ต.ค. '!L149+พ.ย.!L149+ธ.ค.!L149</f>
        <v>0</v>
      </c>
      <c r="M150" s="269">
        <f>+'ต.ค. '!M149+พ.ย.!M149+ธ.ค.!M149</f>
        <v>0</v>
      </c>
      <c r="N150" s="269">
        <f>+'ต.ค. '!N149+พ.ย.!N149+ธ.ค.!N149</f>
        <v>0</v>
      </c>
      <c r="O150" s="269">
        <f>+'ต.ค. '!O149+พ.ย.!O149+ธ.ค.!O149</f>
        <v>0</v>
      </c>
      <c r="P150" s="269">
        <f>+'ต.ค. '!P149+พ.ย.!P149+ธ.ค.!P149</f>
        <v>0</v>
      </c>
      <c r="Q150" s="269">
        <f>+'ต.ค. '!Q149+พ.ย.!Q149+ธ.ค.!Q149</f>
        <v>0</v>
      </c>
      <c r="R150" s="269">
        <f>+'ต.ค. '!R149+พ.ย.!R149+ธ.ค.!R149</f>
        <v>0</v>
      </c>
      <c r="S150" s="269">
        <f>+'ต.ค. '!S149+พ.ย.!S149+ธ.ค.!S149</f>
        <v>0</v>
      </c>
      <c r="T150" s="269"/>
      <c r="U150" s="269">
        <f>+'ต.ค. '!U149+พ.ย.!U149+ธ.ค.!U149</f>
        <v>0</v>
      </c>
      <c r="V150" s="269">
        <f>+'ต.ค. '!V149+พ.ย.!V149+ธ.ค.!V149</f>
        <v>0</v>
      </c>
    </row>
    <row r="151" spans="1:22" ht="25.5" customHeight="1">
      <c r="A151" s="9"/>
      <c r="B151" s="187" t="s">
        <v>365</v>
      </c>
      <c r="C151" s="279">
        <v>5000</v>
      </c>
      <c r="D151" s="131"/>
      <c r="E151" s="269">
        <f>+'ต.ค. '!E150+พ.ย.!E150+ธ.ค.!E150</f>
        <v>0</v>
      </c>
      <c r="F151" s="269">
        <f>+'ต.ค. '!F150+พ.ย.!F150+ธ.ค.!F150</f>
        <v>0</v>
      </c>
      <c r="G151" s="269">
        <f>+'ต.ค. '!G150+พ.ย.!G150+ธ.ค.!G150</f>
        <v>0</v>
      </c>
      <c r="H151" s="269">
        <f>+'ต.ค. '!H150+พ.ย.!H150+ธ.ค.!H150</f>
        <v>0</v>
      </c>
      <c r="I151" s="269">
        <f>+'ต.ค. '!I150+พ.ย.!I150+ธ.ค.!I150</f>
        <v>0</v>
      </c>
      <c r="J151" s="269">
        <f>+'ต.ค. '!J150+พ.ย.!J150+ธ.ค.!J150</f>
        <v>0</v>
      </c>
      <c r="K151" s="269">
        <f>+'ต.ค. '!K150+พ.ย.!K150+ธ.ค.!K150</f>
        <v>0</v>
      </c>
      <c r="L151" s="269">
        <f>+'ต.ค. '!L150+พ.ย.!L150+ธ.ค.!L150</f>
        <v>0</v>
      </c>
      <c r="M151" s="269">
        <f>+'ต.ค. '!M150+พ.ย.!M150+ธ.ค.!M150</f>
        <v>0</v>
      </c>
      <c r="N151" s="269">
        <f>+'ต.ค. '!N150+พ.ย.!N150+ธ.ค.!N150</f>
        <v>0</v>
      </c>
      <c r="O151" s="269">
        <f>+'ต.ค. '!O150+พ.ย.!O150+ธ.ค.!O150</f>
        <v>0</v>
      </c>
      <c r="P151" s="269">
        <f>+'ต.ค. '!P150+พ.ย.!P150+ธ.ค.!P150</f>
        <v>0</v>
      </c>
      <c r="Q151" s="269">
        <f>+'ต.ค. '!Q150+พ.ย.!Q150+ธ.ค.!Q150</f>
        <v>0</v>
      </c>
      <c r="R151" s="269">
        <f>+'ต.ค. '!R150+พ.ย.!R150+ธ.ค.!R150</f>
        <v>0</v>
      </c>
      <c r="S151" s="269">
        <f>+'ต.ค. '!S150+พ.ย.!S150+ธ.ค.!S150</f>
        <v>0</v>
      </c>
      <c r="T151" s="269"/>
      <c r="U151" s="269">
        <f>+'ต.ค. '!U150+พ.ย.!U150+ธ.ค.!U150</f>
        <v>0</v>
      </c>
      <c r="V151" s="269">
        <f>+'ต.ค. '!V150+พ.ย.!V150+ธ.ค.!V150</f>
        <v>0</v>
      </c>
    </row>
    <row r="152" spans="1:22" ht="25.5" customHeight="1">
      <c r="A152" s="9"/>
      <c r="B152" s="187" t="s">
        <v>366</v>
      </c>
      <c r="C152" s="279">
        <v>5000</v>
      </c>
      <c r="D152" s="131"/>
      <c r="E152" s="269">
        <f>+'ต.ค. '!E151+พ.ย.!E151+ธ.ค.!E151</f>
        <v>0</v>
      </c>
      <c r="F152" s="269">
        <f>+'ต.ค. '!F151+พ.ย.!F151+ธ.ค.!F151</f>
        <v>0</v>
      </c>
      <c r="G152" s="269">
        <f>+'ต.ค. '!G151+พ.ย.!G151+ธ.ค.!G151</f>
        <v>0</v>
      </c>
      <c r="H152" s="269">
        <f>+'ต.ค. '!H151+พ.ย.!H151+ธ.ค.!H151</f>
        <v>0</v>
      </c>
      <c r="I152" s="269">
        <f>+'ต.ค. '!I151+พ.ย.!I151+ธ.ค.!I151</f>
        <v>0</v>
      </c>
      <c r="J152" s="269">
        <f>+'ต.ค. '!J151+พ.ย.!J151+ธ.ค.!J151</f>
        <v>0</v>
      </c>
      <c r="K152" s="269">
        <f>+'ต.ค. '!K151+พ.ย.!K151+ธ.ค.!K151</f>
        <v>0</v>
      </c>
      <c r="L152" s="269">
        <f>+'ต.ค. '!L151+พ.ย.!L151+ธ.ค.!L151</f>
        <v>0</v>
      </c>
      <c r="M152" s="269">
        <f>+'ต.ค. '!M151+พ.ย.!M151+ธ.ค.!M151</f>
        <v>0</v>
      </c>
      <c r="N152" s="269">
        <f>+'ต.ค. '!N151+พ.ย.!N151+ธ.ค.!N151</f>
        <v>0</v>
      </c>
      <c r="O152" s="269">
        <f>+'ต.ค. '!O151+พ.ย.!O151+ธ.ค.!O151</f>
        <v>0</v>
      </c>
      <c r="P152" s="269">
        <f>+'ต.ค. '!P151+พ.ย.!P151+ธ.ค.!P151</f>
        <v>0</v>
      </c>
      <c r="Q152" s="269">
        <f>+'ต.ค. '!Q151+พ.ย.!Q151+ธ.ค.!Q151</f>
        <v>0</v>
      </c>
      <c r="R152" s="269">
        <f>+'ต.ค. '!R151+พ.ย.!R151+ธ.ค.!R151</f>
        <v>0</v>
      </c>
      <c r="S152" s="269">
        <f>+'ต.ค. '!S151+พ.ย.!S151+ธ.ค.!S151</f>
        <v>0</v>
      </c>
      <c r="T152" s="269"/>
      <c r="U152" s="269">
        <f>+'ต.ค. '!U151+พ.ย.!U151+ธ.ค.!U151</f>
        <v>0</v>
      </c>
      <c r="V152" s="269">
        <f>+'ต.ค. '!V151+พ.ย.!V151+ธ.ค.!V151</f>
        <v>0</v>
      </c>
    </row>
    <row r="153" spans="1:22" ht="25.5" customHeight="1">
      <c r="A153" s="9"/>
      <c r="B153" s="187" t="s">
        <v>367</v>
      </c>
      <c r="C153" s="279">
        <v>5000</v>
      </c>
      <c r="D153" s="131"/>
      <c r="E153" s="269">
        <f>+'ต.ค. '!E152+พ.ย.!E152+ธ.ค.!E152</f>
        <v>0</v>
      </c>
      <c r="F153" s="269">
        <f>+'ต.ค. '!F152+พ.ย.!F152+ธ.ค.!F152</f>
        <v>0</v>
      </c>
      <c r="G153" s="269">
        <f>+'ต.ค. '!G152+พ.ย.!G152+ธ.ค.!G152</f>
        <v>0</v>
      </c>
      <c r="H153" s="269">
        <f>+'ต.ค. '!H152+พ.ย.!H152+ธ.ค.!H152</f>
        <v>0</v>
      </c>
      <c r="I153" s="269">
        <f>+'ต.ค. '!I152+พ.ย.!I152+ธ.ค.!I152</f>
        <v>0</v>
      </c>
      <c r="J153" s="269">
        <f>+'ต.ค. '!J152+พ.ย.!J152+ธ.ค.!J152</f>
        <v>0</v>
      </c>
      <c r="K153" s="269">
        <f>+'ต.ค. '!K152+พ.ย.!K152+ธ.ค.!K152</f>
        <v>0</v>
      </c>
      <c r="L153" s="269">
        <f>+'ต.ค. '!L152+พ.ย.!L152+ธ.ค.!L152</f>
        <v>0</v>
      </c>
      <c r="M153" s="269">
        <f>+'ต.ค. '!M152+พ.ย.!M152+ธ.ค.!M152</f>
        <v>0</v>
      </c>
      <c r="N153" s="269">
        <f>+'ต.ค. '!N152+พ.ย.!N152+ธ.ค.!N152</f>
        <v>0</v>
      </c>
      <c r="O153" s="269">
        <f>+'ต.ค. '!O152+พ.ย.!O152+ธ.ค.!O152</f>
        <v>0</v>
      </c>
      <c r="P153" s="269">
        <f>+'ต.ค. '!P152+พ.ย.!P152+ธ.ค.!P152</f>
        <v>0</v>
      </c>
      <c r="Q153" s="269">
        <f>+'ต.ค. '!Q152+พ.ย.!Q152+ธ.ค.!Q152</f>
        <v>0</v>
      </c>
      <c r="R153" s="269">
        <f>+'ต.ค. '!R152+พ.ย.!R152+ธ.ค.!R152</f>
        <v>0</v>
      </c>
      <c r="S153" s="269">
        <f>+'ต.ค. '!S152+พ.ย.!S152+ธ.ค.!S152</f>
        <v>0</v>
      </c>
      <c r="T153" s="269"/>
      <c r="U153" s="269">
        <f>+'ต.ค. '!U152+พ.ย.!U152+ธ.ค.!U152</f>
        <v>0</v>
      </c>
      <c r="V153" s="269">
        <f>+'ต.ค. '!V152+พ.ย.!V152+ธ.ค.!V152</f>
        <v>0</v>
      </c>
    </row>
    <row r="154" spans="1:22" ht="25.5" customHeight="1">
      <c r="A154" s="9"/>
      <c r="B154" s="187" t="s">
        <v>368</v>
      </c>
      <c r="C154" s="279">
        <v>5000</v>
      </c>
      <c r="D154" s="131"/>
      <c r="E154" s="269">
        <f>+'ต.ค. '!E153+พ.ย.!E153+ธ.ค.!E153</f>
        <v>0</v>
      </c>
      <c r="F154" s="269">
        <f>+'ต.ค. '!F153+พ.ย.!F153+ธ.ค.!F153</f>
        <v>0</v>
      </c>
      <c r="G154" s="269">
        <f>+'ต.ค. '!G153+พ.ย.!G153+ธ.ค.!G153</f>
        <v>0</v>
      </c>
      <c r="H154" s="269">
        <f>+'ต.ค. '!H153+พ.ย.!H153+ธ.ค.!H153</f>
        <v>0</v>
      </c>
      <c r="I154" s="269">
        <f>+'ต.ค. '!I153+พ.ย.!I153+ธ.ค.!I153</f>
        <v>0</v>
      </c>
      <c r="J154" s="269">
        <f>+'ต.ค. '!J153+พ.ย.!J153+ธ.ค.!J153</f>
        <v>0</v>
      </c>
      <c r="K154" s="269">
        <f>+'ต.ค. '!K153+พ.ย.!K153+ธ.ค.!K153</f>
        <v>0</v>
      </c>
      <c r="L154" s="269">
        <f>+'ต.ค. '!L153+พ.ย.!L153+ธ.ค.!L153</f>
        <v>0</v>
      </c>
      <c r="M154" s="269">
        <f>+'ต.ค. '!M153+พ.ย.!M153+ธ.ค.!M153</f>
        <v>0</v>
      </c>
      <c r="N154" s="269">
        <f>+'ต.ค. '!N153+พ.ย.!N153+ธ.ค.!N153</f>
        <v>0</v>
      </c>
      <c r="O154" s="269">
        <f>+'ต.ค. '!O153+พ.ย.!O153+ธ.ค.!O153</f>
        <v>0</v>
      </c>
      <c r="P154" s="269">
        <f>+'ต.ค. '!P153+พ.ย.!P153+ธ.ค.!P153</f>
        <v>0</v>
      </c>
      <c r="Q154" s="269">
        <f>+'ต.ค. '!Q153+พ.ย.!Q153+ธ.ค.!Q153</f>
        <v>0</v>
      </c>
      <c r="R154" s="269">
        <f>+'ต.ค. '!R153+พ.ย.!R153+ธ.ค.!R153</f>
        <v>0</v>
      </c>
      <c r="S154" s="269">
        <f>+'ต.ค. '!S153+พ.ย.!S153+ธ.ค.!S153</f>
        <v>0</v>
      </c>
      <c r="T154" s="269"/>
      <c r="U154" s="269">
        <f>+'ต.ค. '!U153+พ.ย.!U153+ธ.ค.!U153</f>
        <v>0</v>
      </c>
      <c r="V154" s="269">
        <f>+'ต.ค. '!V153+พ.ย.!V153+ธ.ค.!V153</f>
        <v>0</v>
      </c>
    </row>
    <row r="155" spans="1:22" ht="25.5" customHeight="1">
      <c r="A155" s="9"/>
      <c r="B155" s="187" t="s">
        <v>369</v>
      </c>
      <c r="C155" s="279">
        <v>10000</v>
      </c>
      <c r="D155" s="131"/>
      <c r="E155" s="269">
        <f>+'ต.ค. '!E154+พ.ย.!E154+ธ.ค.!E154</f>
        <v>0</v>
      </c>
      <c r="F155" s="269">
        <f>+'ต.ค. '!F154+พ.ย.!F154+ธ.ค.!F154</f>
        <v>0</v>
      </c>
      <c r="G155" s="269">
        <f>+'ต.ค. '!G154+พ.ย.!G154+ธ.ค.!G154</f>
        <v>0</v>
      </c>
      <c r="H155" s="269">
        <f>+'ต.ค. '!H154+พ.ย.!H154+ธ.ค.!H154</f>
        <v>0</v>
      </c>
      <c r="I155" s="269">
        <f>+'ต.ค. '!I154+พ.ย.!I154+ธ.ค.!I154</f>
        <v>0</v>
      </c>
      <c r="J155" s="269">
        <f>+'ต.ค. '!J154+พ.ย.!J154+ธ.ค.!J154</f>
        <v>0</v>
      </c>
      <c r="K155" s="269">
        <f>+'ต.ค. '!K154+พ.ย.!K154+ธ.ค.!K154</f>
        <v>0</v>
      </c>
      <c r="L155" s="269">
        <f>+'ต.ค. '!L154+พ.ย.!L154+ธ.ค.!L154</f>
        <v>0</v>
      </c>
      <c r="M155" s="269">
        <f>+'ต.ค. '!M154+พ.ย.!M154+ธ.ค.!M154</f>
        <v>0</v>
      </c>
      <c r="N155" s="269">
        <f>+'ต.ค. '!N154+พ.ย.!N154+ธ.ค.!N154</f>
        <v>0</v>
      </c>
      <c r="O155" s="269">
        <f>+'ต.ค. '!O154+พ.ย.!O154+ธ.ค.!O154</f>
        <v>0</v>
      </c>
      <c r="P155" s="269">
        <f>+'ต.ค. '!P154+พ.ย.!P154+ธ.ค.!P154</f>
        <v>0</v>
      </c>
      <c r="Q155" s="269">
        <f>+'ต.ค. '!Q154+พ.ย.!Q154+ธ.ค.!Q154</f>
        <v>0</v>
      </c>
      <c r="R155" s="269">
        <f>+'ต.ค. '!R154+พ.ย.!R154+ธ.ค.!R154</f>
        <v>0</v>
      </c>
      <c r="S155" s="269">
        <f>+'ต.ค. '!S154+พ.ย.!S154+ธ.ค.!S154</f>
        <v>0</v>
      </c>
      <c r="T155" s="269"/>
      <c r="U155" s="269">
        <f>+'ต.ค. '!U154+พ.ย.!U154+ธ.ค.!U154</f>
        <v>0</v>
      </c>
      <c r="V155" s="269">
        <f>+'ต.ค. '!V154+พ.ย.!V154+ธ.ค.!V154</f>
        <v>0</v>
      </c>
    </row>
    <row r="156" spans="1:22" ht="25.5" customHeight="1">
      <c r="A156" s="9"/>
      <c r="B156" s="187" t="s">
        <v>370</v>
      </c>
      <c r="C156" s="279">
        <v>10000</v>
      </c>
      <c r="D156" s="131"/>
      <c r="E156" s="269">
        <f>+'ต.ค. '!E155+พ.ย.!E155+ธ.ค.!E155</f>
        <v>0</v>
      </c>
      <c r="F156" s="269">
        <f>+'ต.ค. '!F155+พ.ย.!F155+ธ.ค.!F155</f>
        <v>0</v>
      </c>
      <c r="G156" s="269">
        <f>+'ต.ค. '!G155+พ.ย.!G155+ธ.ค.!G155</f>
        <v>0</v>
      </c>
      <c r="H156" s="269">
        <f>+'ต.ค. '!H155+พ.ย.!H155+ธ.ค.!H155</f>
        <v>0</v>
      </c>
      <c r="I156" s="269">
        <f>+'ต.ค. '!I155+พ.ย.!I155+ธ.ค.!I155</f>
        <v>0</v>
      </c>
      <c r="J156" s="269">
        <f>+'ต.ค. '!J155+พ.ย.!J155+ธ.ค.!J155</f>
        <v>0</v>
      </c>
      <c r="K156" s="269">
        <f>+'ต.ค. '!K155+พ.ย.!K155+ธ.ค.!K155</f>
        <v>0</v>
      </c>
      <c r="L156" s="269">
        <f>+'ต.ค. '!L155+พ.ย.!L155+ธ.ค.!L155</f>
        <v>0</v>
      </c>
      <c r="M156" s="269">
        <f>+'ต.ค. '!M155+พ.ย.!M155+ธ.ค.!M155</f>
        <v>0</v>
      </c>
      <c r="N156" s="269">
        <f>+'ต.ค. '!N155+พ.ย.!N155+ธ.ค.!N155</f>
        <v>0</v>
      </c>
      <c r="O156" s="269">
        <f>+'ต.ค. '!O155+พ.ย.!O155+ธ.ค.!O155</f>
        <v>0</v>
      </c>
      <c r="P156" s="269">
        <f>+'ต.ค. '!P155+พ.ย.!P155+ธ.ค.!P155</f>
        <v>0</v>
      </c>
      <c r="Q156" s="269">
        <f>+'ต.ค. '!Q155+พ.ย.!Q155+ธ.ค.!Q155</f>
        <v>0</v>
      </c>
      <c r="R156" s="269">
        <f>+'ต.ค. '!R155+พ.ย.!R155+ธ.ค.!R155</f>
        <v>0</v>
      </c>
      <c r="S156" s="269">
        <f>+'ต.ค. '!S155+พ.ย.!S155+ธ.ค.!S155</f>
        <v>0</v>
      </c>
      <c r="T156" s="269"/>
      <c r="U156" s="269">
        <f>+'ต.ค. '!U155+พ.ย.!U155+ธ.ค.!U155</f>
        <v>0</v>
      </c>
      <c r="V156" s="269">
        <f>+'ต.ค. '!V155+พ.ย.!V155+ธ.ค.!V155</f>
        <v>0</v>
      </c>
    </row>
    <row r="157" spans="1:22" ht="25.5" customHeight="1">
      <c r="A157" s="9"/>
      <c r="B157" s="187" t="s">
        <v>163</v>
      </c>
      <c r="C157" s="279">
        <v>350000</v>
      </c>
      <c r="D157" s="131"/>
      <c r="E157" s="269">
        <f>+'ต.ค. '!E156+พ.ย.!E156+ธ.ค.!E156</f>
        <v>0</v>
      </c>
      <c r="F157" s="269">
        <f>+'ต.ค. '!F156+พ.ย.!F156+ธ.ค.!F156</f>
        <v>0</v>
      </c>
      <c r="G157" s="269">
        <f>+'ต.ค. '!G156+พ.ย.!G156+ธ.ค.!G156</f>
        <v>0</v>
      </c>
      <c r="H157" s="269">
        <f>+'ต.ค. '!H156+พ.ย.!H156+ธ.ค.!H156</f>
        <v>0</v>
      </c>
      <c r="I157" s="269">
        <f>+'ต.ค. '!I156+พ.ย.!I156+ธ.ค.!I156</f>
        <v>0</v>
      </c>
      <c r="J157" s="269">
        <f>+'ต.ค. '!J156+พ.ย.!J156+ธ.ค.!J156</f>
        <v>0</v>
      </c>
      <c r="K157" s="269">
        <f>+'ต.ค. '!K156+พ.ย.!K156+ธ.ค.!K156</f>
        <v>0</v>
      </c>
      <c r="L157" s="269">
        <f>+'ต.ค. '!L156+พ.ย.!L156+ธ.ค.!L156</f>
        <v>0</v>
      </c>
      <c r="M157" s="269">
        <f>+'ต.ค. '!M156+พ.ย.!M156+ธ.ค.!M156</f>
        <v>0</v>
      </c>
      <c r="N157" s="269">
        <f>+'ต.ค. '!N156+พ.ย.!N156+ธ.ค.!N156</f>
        <v>0</v>
      </c>
      <c r="O157" s="269">
        <f>+'ต.ค. '!O156+พ.ย.!O156+ธ.ค.!O156</f>
        <v>0</v>
      </c>
      <c r="P157" s="269">
        <f>+'ต.ค. '!P156+พ.ย.!P156+ธ.ค.!P156</f>
        <v>0</v>
      </c>
      <c r="Q157" s="269">
        <f>+'ต.ค. '!Q156+พ.ย.!Q156+ธ.ค.!Q156</f>
        <v>0</v>
      </c>
      <c r="R157" s="269">
        <f>+'ต.ค. '!R156+พ.ย.!R156+ธ.ค.!R156</f>
        <v>0</v>
      </c>
      <c r="S157" s="269">
        <f>+'ต.ค. '!S156+พ.ย.!S156+ธ.ค.!S156</f>
        <v>0</v>
      </c>
      <c r="T157" s="269"/>
      <c r="U157" s="269">
        <f>+'ต.ค. '!U156+พ.ย.!U156+ธ.ค.!U156</f>
        <v>0</v>
      </c>
      <c r="V157" s="269">
        <f>+'ต.ค. '!V156+พ.ย.!V156+ธ.ค.!V156</f>
        <v>0</v>
      </c>
    </row>
    <row r="158" spans="1:22" ht="25.5" customHeight="1">
      <c r="A158" s="9"/>
      <c r="B158" s="187" t="s">
        <v>214</v>
      </c>
      <c r="C158" s="279">
        <v>25000</v>
      </c>
      <c r="D158" s="131"/>
      <c r="E158" s="269">
        <f>+'ต.ค. '!E157+พ.ย.!E157+ธ.ค.!E157</f>
        <v>0</v>
      </c>
      <c r="F158" s="269">
        <f>+'ต.ค. '!F157+พ.ย.!F157+ธ.ค.!F157</f>
        <v>0</v>
      </c>
      <c r="G158" s="269">
        <f>+'ต.ค. '!G157+พ.ย.!G157+ธ.ค.!G157</f>
        <v>0</v>
      </c>
      <c r="H158" s="269">
        <f>+'ต.ค. '!H157+พ.ย.!H157+ธ.ค.!H157</f>
        <v>0</v>
      </c>
      <c r="I158" s="269">
        <f>+'ต.ค. '!I157+พ.ย.!I157+ธ.ค.!I157</f>
        <v>0</v>
      </c>
      <c r="J158" s="269">
        <f>+'ต.ค. '!J157+พ.ย.!J157+ธ.ค.!J157</f>
        <v>0</v>
      </c>
      <c r="K158" s="269">
        <f>+'ต.ค. '!K157+พ.ย.!K157+ธ.ค.!K157</f>
        <v>0</v>
      </c>
      <c r="L158" s="269">
        <f>+'ต.ค. '!L157+พ.ย.!L157+ธ.ค.!L157</f>
        <v>0</v>
      </c>
      <c r="M158" s="269">
        <f>+'ต.ค. '!M157+พ.ย.!M157+ธ.ค.!M157</f>
        <v>0</v>
      </c>
      <c r="N158" s="269">
        <f>+'ต.ค. '!N157+พ.ย.!N157+ธ.ค.!N157</f>
        <v>0</v>
      </c>
      <c r="O158" s="269">
        <f>+'ต.ค. '!O157+พ.ย.!O157+ธ.ค.!O157</f>
        <v>0</v>
      </c>
      <c r="P158" s="269">
        <f>+'ต.ค. '!P157+พ.ย.!P157+ธ.ค.!P157</f>
        <v>0</v>
      </c>
      <c r="Q158" s="269">
        <f>+'ต.ค. '!Q157+พ.ย.!Q157+ธ.ค.!Q157</f>
        <v>0</v>
      </c>
      <c r="R158" s="269">
        <f>+'ต.ค. '!R157+พ.ย.!R157+ธ.ค.!R157</f>
        <v>0</v>
      </c>
      <c r="S158" s="269">
        <f>+'ต.ค. '!S157+พ.ย.!S157+ธ.ค.!S157</f>
        <v>0</v>
      </c>
      <c r="T158" s="269"/>
      <c r="U158" s="269">
        <f>+'ต.ค. '!U157+พ.ย.!U157+ธ.ค.!U157</f>
        <v>0</v>
      </c>
      <c r="V158" s="269">
        <f>+'ต.ค. '!V157+พ.ย.!V157+ธ.ค.!V157</f>
        <v>0</v>
      </c>
    </row>
    <row r="159" spans="1:22" ht="25.5" customHeight="1">
      <c r="A159" s="9"/>
      <c r="B159" s="187" t="s">
        <v>167</v>
      </c>
      <c r="C159" s="279">
        <v>30000</v>
      </c>
      <c r="D159" s="131"/>
      <c r="E159" s="269">
        <f>+'ต.ค. '!E158+พ.ย.!E158+ธ.ค.!E158</f>
        <v>0</v>
      </c>
      <c r="F159" s="269">
        <f>+'ต.ค. '!F158+พ.ย.!F158+ธ.ค.!F158</f>
        <v>0</v>
      </c>
      <c r="G159" s="269">
        <f>+'ต.ค. '!G158+พ.ย.!G158+ธ.ค.!G158</f>
        <v>0</v>
      </c>
      <c r="H159" s="269">
        <f>+'ต.ค. '!H158+พ.ย.!H158+ธ.ค.!H158</f>
        <v>0</v>
      </c>
      <c r="I159" s="269">
        <f>+'ต.ค. '!I158+พ.ย.!I158+ธ.ค.!I158</f>
        <v>0</v>
      </c>
      <c r="J159" s="269">
        <f>+'ต.ค. '!J158+พ.ย.!J158+ธ.ค.!J158</f>
        <v>0</v>
      </c>
      <c r="K159" s="269">
        <f>+'ต.ค. '!K158+พ.ย.!K158+ธ.ค.!K158</f>
        <v>0</v>
      </c>
      <c r="L159" s="269">
        <f>+'ต.ค. '!L158+พ.ย.!L158+ธ.ค.!L158</f>
        <v>0</v>
      </c>
      <c r="M159" s="269">
        <f>+'ต.ค. '!M158+พ.ย.!M158+ธ.ค.!M158</f>
        <v>0</v>
      </c>
      <c r="N159" s="269">
        <f>+'ต.ค. '!N158+พ.ย.!N158+ธ.ค.!N158</f>
        <v>0</v>
      </c>
      <c r="O159" s="269">
        <f>+'ต.ค. '!O158+พ.ย.!O158+ธ.ค.!O158</f>
        <v>0</v>
      </c>
      <c r="P159" s="269">
        <f>+'ต.ค. '!P158+พ.ย.!P158+ธ.ค.!P158</f>
        <v>0</v>
      </c>
      <c r="Q159" s="269">
        <f>+'ต.ค. '!Q158+พ.ย.!Q158+ธ.ค.!Q158</f>
        <v>0</v>
      </c>
      <c r="R159" s="269">
        <f>+'ต.ค. '!R158+พ.ย.!R158+ธ.ค.!R158</f>
        <v>0</v>
      </c>
      <c r="S159" s="269">
        <f>+'ต.ค. '!S158+พ.ย.!S158+ธ.ค.!S158</f>
        <v>0</v>
      </c>
      <c r="T159" s="269"/>
      <c r="U159" s="269">
        <f>+'ต.ค. '!U158+พ.ย.!U158+ธ.ค.!U158</f>
        <v>0</v>
      </c>
      <c r="V159" s="269">
        <f>+'ต.ค. '!V158+พ.ย.!V158+ธ.ค.!V158</f>
        <v>0</v>
      </c>
    </row>
    <row r="160" spans="1:22" ht="25.5" customHeight="1">
      <c r="A160" s="9"/>
      <c r="B160" s="187" t="s">
        <v>371</v>
      </c>
      <c r="C160" s="279">
        <v>30000</v>
      </c>
      <c r="D160" s="131"/>
      <c r="E160" s="269">
        <f>+'ต.ค. '!E159+พ.ย.!E159+ธ.ค.!E159</f>
        <v>0</v>
      </c>
      <c r="F160" s="269">
        <f>+'ต.ค. '!F159+พ.ย.!F159+ธ.ค.!F159</f>
        <v>0</v>
      </c>
      <c r="G160" s="269">
        <f>+'ต.ค. '!G159+พ.ย.!G159+ธ.ค.!G159</f>
        <v>0</v>
      </c>
      <c r="H160" s="269">
        <f>+'ต.ค. '!H159+พ.ย.!H159+ธ.ค.!H159</f>
        <v>0</v>
      </c>
      <c r="I160" s="269">
        <f>+'ต.ค. '!I159+พ.ย.!I159+ธ.ค.!I159</f>
        <v>0</v>
      </c>
      <c r="J160" s="269">
        <f>+'ต.ค. '!J159+พ.ย.!J159+ธ.ค.!J159</f>
        <v>0</v>
      </c>
      <c r="K160" s="269">
        <f>+'ต.ค. '!K159+พ.ย.!K159+ธ.ค.!K159</f>
        <v>0</v>
      </c>
      <c r="L160" s="269">
        <f>+'ต.ค. '!L159+พ.ย.!L159+ธ.ค.!L159</f>
        <v>0</v>
      </c>
      <c r="M160" s="269">
        <f>+'ต.ค. '!M159+พ.ย.!M159+ธ.ค.!M159</f>
        <v>0</v>
      </c>
      <c r="N160" s="269">
        <f>+'ต.ค. '!N159+พ.ย.!N159+ธ.ค.!N159</f>
        <v>0</v>
      </c>
      <c r="O160" s="269">
        <f>+'ต.ค. '!O159+พ.ย.!O159+ธ.ค.!O159</f>
        <v>0</v>
      </c>
      <c r="P160" s="269">
        <f>+'ต.ค. '!P159+พ.ย.!P159+ธ.ค.!P159</f>
        <v>0</v>
      </c>
      <c r="Q160" s="269">
        <f>+'ต.ค. '!Q159+พ.ย.!Q159+ธ.ค.!Q159</f>
        <v>0</v>
      </c>
      <c r="R160" s="269">
        <f>+'ต.ค. '!R159+พ.ย.!R159+ธ.ค.!R159</f>
        <v>0</v>
      </c>
      <c r="S160" s="269">
        <f>+'ต.ค. '!S159+พ.ย.!S159+ธ.ค.!S159</f>
        <v>0</v>
      </c>
      <c r="T160" s="269"/>
      <c r="U160" s="269">
        <f>+'ต.ค. '!U159+พ.ย.!U159+ธ.ค.!U159</f>
        <v>0</v>
      </c>
      <c r="V160" s="269">
        <f>+'ต.ค. '!V159+พ.ย.!V159+ธ.ค.!V159</f>
        <v>0</v>
      </c>
    </row>
    <row r="161" spans="1:22" ht="25.5" customHeight="1">
      <c r="A161" s="9"/>
      <c r="B161" s="187" t="s">
        <v>170</v>
      </c>
      <c r="C161" s="279">
        <v>40000</v>
      </c>
      <c r="D161" s="131"/>
      <c r="E161" s="269">
        <f>+'ต.ค. '!E160+พ.ย.!E160+ธ.ค.!E160</f>
        <v>0</v>
      </c>
      <c r="F161" s="269">
        <f>+'ต.ค. '!F160+พ.ย.!F160+ธ.ค.!F160</f>
        <v>0</v>
      </c>
      <c r="G161" s="269">
        <f>+'ต.ค. '!G160+พ.ย.!G160+ธ.ค.!G160</f>
        <v>0</v>
      </c>
      <c r="H161" s="269">
        <f>+'ต.ค. '!H160+พ.ย.!H160+ธ.ค.!H160</f>
        <v>0</v>
      </c>
      <c r="I161" s="269">
        <f>+'ต.ค. '!I160+พ.ย.!I160+ธ.ค.!I160</f>
        <v>0</v>
      </c>
      <c r="J161" s="269">
        <f>+'ต.ค. '!J160+พ.ย.!J160+ธ.ค.!J160</f>
        <v>0</v>
      </c>
      <c r="K161" s="269">
        <f>+'ต.ค. '!K160+พ.ย.!K160+ธ.ค.!K160</f>
        <v>0</v>
      </c>
      <c r="L161" s="269">
        <f>+'ต.ค. '!L160+พ.ย.!L160+ธ.ค.!L160</f>
        <v>0</v>
      </c>
      <c r="M161" s="269">
        <f>+'ต.ค. '!M160+พ.ย.!M160+ธ.ค.!M160</f>
        <v>0</v>
      </c>
      <c r="N161" s="269">
        <f>+'ต.ค. '!N160+พ.ย.!N160+ธ.ค.!N160</f>
        <v>0</v>
      </c>
      <c r="O161" s="269">
        <f>+'ต.ค. '!O160+พ.ย.!O160+ธ.ค.!O160</f>
        <v>0</v>
      </c>
      <c r="P161" s="269">
        <f>+'ต.ค. '!P160+พ.ย.!P160+ธ.ค.!P160</f>
        <v>0</v>
      </c>
      <c r="Q161" s="269">
        <f>+'ต.ค. '!Q160+พ.ย.!Q160+ธ.ค.!Q160</f>
        <v>0</v>
      </c>
      <c r="R161" s="269">
        <f>+'ต.ค. '!R160+พ.ย.!R160+ธ.ค.!R160</f>
        <v>0</v>
      </c>
      <c r="S161" s="269">
        <f>+'ต.ค. '!S160+พ.ย.!S160+ธ.ค.!S160</f>
        <v>0</v>
      </c>
      <c r="T161" s="269"/>
      <c r="U161" s="269">
        <f>+'ต.ค. '!U160+พ.ย.!U160+ธ.ค.!U160</f>
        <v>0</v>
      </c>
      <c r="V161" s="269">
        <f>+'ต.ค. '!V160+พ.ย.!V160+ธ.ค.!V160</f>
        <v>0</v>
      </c>
    </row>
    <row r="162" spans="1:22" ht="25.5" customHeight="1">
      <c r="A162" s="9"/>
      <c r="B162" s="187" t="s">
        <v>266</v>
      </c>
      <c r="C162" s="279">
        <v>15000</v>
      </c>
      <c r="D162" s="131"/>
      <c r="E162" s="269">
        <f>+'ต.ค. '!E161+พ.ย.!E161+ธ.ค.!E161</f>
        <v>0</v>
      </c>
      <c r="F162" s="269">
        <f>+'ต.ค. '!F161+พ.ย.!F161+ธ.ค.!F161</f>
        <v>0</v>
      </c>
      <c r="G162" s="269">
        <f>+'ต.ค. '!G161+พ.ย.!G161+ธ.ค.!G161</f>
        <v>0</v>
      </c>
      <c r="H162" s="269">
        <f>+'ต.ค. '!H161+พ.ย.!H161+ธ.ค.!H161</f>
        <v>0</v>
      </c>
      <c r="I162" s="269">
        <f>+'ต.ค. '!I161+พ.ย.!I161+ธ.ค.!I161</f>
        <v>0</v>
      </c>
      <c r="J162" s="269">
        <f>+'ต.ค. '!J161+พ.ย.!J161+ธ.ค.!J161</f>
        <v>0</v>
      </c>
      <c r="K162" s="269">
        <f>+'ต.ค. '!K161+พ.ย.!K161+ธ.ค.!K161</f>
        <v>0</v>
      </c>
      <c r="L162" s="269">
        <f>+'ต.ค. '!L161+พ.ย.!L161+ธ.ค.!L161</f>
        <v>0</v>
      </c>
      <c r="M162" s="269">
        <f>+'ต.ค. '!M161+พ.ย.!M161+ธ.ค.!M161</f>
        <v>0</v>
      </c>
      <c r="N162" s="269">
        <f>+'ต.ค. '!N161+พ.ย.!N161+ธ.ค.!N161</f>
        <v>0</v>
      </c>
      <c r="O162" s="269">
        <f>+'ต.ค. '!O161+พ.ย.!O161+ธ.ค.!O161</f>
        <v>0</v>
      </c>
      <c r="P162" s="269">
        <f>+'ต.ค. '!P161+พ.ย.!P161+ธ.ค.!P161</f>
        <v>0</v>
      </c>
      <c r="Q162" s="269">
        <f>+'ต.ค. '!Q161+พ.ย.!Q161+ธ.ค.!Q161</f>
        <v>0</v>
      </c>
      <c r="R162" s="269">
        <f>+'ต.ค. '!R161+พ.ย.!R161+ธ.ค.!R161</f>
        <v>0</v>
      </c>
      <c r="S162" s="269">
        <f>+'ต.ค. '!S161+พ.ย.!S161+ธ.ค.!S161</f>
        <v>0</v>
      </c>
      <c r="T162" s="269"/>
      <c r="U162" s="269">
        <f>+'ต.ค. '!U161+พ.ย.!U161+ธ.ค.!U161</f>
        <v>0</v>
      </c>
      <c r="V162" s="269">
        <f>+'ต.ค. '!V161+พ.ย.!V161+ธ.ค.!V161</f>
        <v>0</v>
      </c>
    </row>
    <row r="163" spans="1:22" ht="25.5" customHeight="1">
      <c r="A163" s="9"/>
      <c r="B163" s="187" t="s">
        <v>372</v>
      </c>
      <c r="C163" s="279">
        <v>65000</v>
      </c>
      <c r="D163" s="131"/>
      <c r="E163" s="269">
        <f>+'ต.ค. '!E162+พ.ย.!E162+ธ.ค.!E162</f>
        <v>0</v>
      </c>
      <c r="F163" s="269">
        <f>+'ต.ค. '!F162+พ.ย.!F162+ธ.ค.!F162</f>
        <v>0</v>
      </c>
      <c r="G163" s="269">
        <f>+'ต.ค. '!G162+พ.ย.!G162+ธ.ค.!G162</f>
        <v>0</v>
      </c>
      <c r="H163" s="269">
        <f>+'ต.ค. '!H162+พ.ย.!H162+ธ.ค.!H162</f>
        <v>0</v>
      </c>
      <c r="I163" s="269">
        <f>+'ต.ค. '!I162+พ.ย.!I162+ธ.ค.!I162</f>
        <v>0</v>
      </c>
      <c r="J163" s="269">
        <f>+'ต.ค. '!J162+พ.ย.!J162+ธ.ค.!J162</f>
        <v>0</v>
      </c>
      <c r="K163" s="269">
        <f>+'ต.ค. '!K162+พ.ย.!K162+ธ.ค.!K162</f>
        <v>0</v>
      </c>
      <c r="L163" s="269">
        <f>+'ต.ค. '!L162+พ.ย.!L162+ธ.ค.!L162</f>
        <v>0</v>
      </c>
      <c r="M163" s="269">
        <f>+'ต.ค. '!M162+พ.ย.!M162+ธ.ค.!M162</f>
        <v>0</v>
      </c>
      <c r="N163" s="269">
        <f>+'ต.ค. '!N162+พ.ย.!N162+ธ.ค.!N162</f>
        <v>0</v>
      </c>
      <c r="O163" s="269">
        <f>+'ต.ค. '!O162+พ.ย.!O162+ธ.ค.!O162</f>
        <v>0</v>
      </c>
      <c r="P163" s="269">
        <f>+'ต.ค. '!P162+พ.ย.!P162+ธ.ค.!P162</f>
        <v>0</v>
      </c>
      <c r="Q163" s="269">
        <f>+'ต.ค. '!Q162+พ.ย.!Q162+ธ.ค.!Q162</f>
        <v>0</v>
      </c>
      <c r="R163" s="269">
        <f>+'ต.ค. '!R162+พ.ย.!R162+ธ.ค.!R162</f>
        <v>0</v>
      </c>
      <c r="S163" s="269">
        <f>+'ต.ค. '!S162+พ.ย.!S162+ธ.ค.!S162</f>
        <v>60000</v>
      </c>
      <c r="T163" s="269"/>
      <c r="U163" s="269">
        <f>+'ต.ค. '!U162+พ.ย.!U162+ธ.ค.!U162</f>
        <v>0</v>
      </c>
      <c r="V163" s="269">
        <f>+'ต.ค. '!V162+พ.ย.!V162+ธ.ค.!V162</f>
        <v>0</v>
      </c>
    </row>
    <row r="164" spans="1:22" ht="25.5" customHeight="1">
      <c r="A164" s="9"/>
      <c r="B164" s="187" t="s">
        <v>373</v>
      </c>
      <c r="C164" s="279">
        <v>65000</v>
      </c>
      <c r="D164" s="131"/>
      <c r="E164" s="269">
        <f>+'ต.ค. '!E163+พ.ย.!E163+ธ.ค.!E163</f>
        <v>0</v>
      </c>
      <c r="F164" s="269">
        <f>+'ต.ค. '!F163+พ.ย.!F163+ธ.ค.!F163</f>
        <v>0</v>
      </c>
      <c r="G164" s="269">
        <f>+'ต.ค. '!G163+พ.ย.!G163+ธ.ค.!G163</f>
        <v>0</v>
      </c>
      <c r="H164" s="269">
        <f>+'ต.ค. '!H163+พ.ย.!H163+ธ.ค.!H163</f>
        <v>0</v>
      </c>
      <c r="I164" s="269">
        <f>+'ต.ค. '!I163+พ.ย.!I163+ธ.ค.!I163</f>
        <v>0</v>
      </c>
      <c r="J164" s="269">
        <f>+'ต.ค. '!J163+พ.ย.!J163+ธ.ค.!J163</f>
        <v>0</v>
      </c>
      <c r="K164" s="269">
        <f>+'ต.ค. '!K163+พ.ย.!K163+ธ.ค.!K163</f>
        <v>0</v>
      </c>
      <c r="L164" s="269">
        <f>+'ต.ค. '!L163+พ.ย.!L163+ธ.ค.!L163</f>
        <v>0</v>
      </c>
      <c r="M164" s="269">
        <f>+'ต.ค. '!M163+พ.ย.!M163+ธ.ค.!M163</f>
        <v>0</v>
      </c>
      <c r="N164" s="269">
        <f>+'ต.ค. '!N163+พ.ย.!N163+ธ.ค.!N163</f>
        <v>0</v>
      </c>
      <c r="O164" s="269">
        <f>+'ต.ค. '!O163+พ.ย.!O163+ธ.ค.!O163</f>
        <v>0</v>
      </c>
      <c r="P164" s="269">
        <f>+'ต.ค. '!P163+พ.ย.!P163+ธ.ค.!P163</f>
        <v>0</v>
      </c>
      <c r="Q164" s="269">
        <f>+'ต.ค. '!Q163+พ.ย.!Q163+ธ.ค.!Q163</f>
        <v>0</v>
      </c>
      <c r="R164" s="269">
        <f>+'ต.ค. '!R163+พ.ย.!R163+ธ.ค.!R163</f>
        <v>0</v>
      </c>
      <c r="S164" s="269">
        <f>+'ต.ค. '!S163+พ.ย.!S163+ธ.ค.!S163</f>
        <v>0</v>
      </c>
      <c r="T164" s="269"/>
      <c r="U164" s="269">
        <f>+'ต.ค. '!U163+พ.ย.!U163+ธ.ค.!U163</f>
        <v>0</v>
      </c>
      <c r="V164" s="269">
        <f>+'ต.ค. '!V163+พ.ย.!V163+ธ.ค.!V163</f>
        <v>0</v>
      </c>
    </row>
    <row r="165" spans="1:22" ht="25.5" customHeight="1">
      <c r="A165" s="9"/>
      <c r="B165" s="187" t="s">
        <v>374</v>
      </c>
      <c r="C165" s="279">
        <v>20000</v>
      </c>
      <c r="D165" s="131"/>
      <c r="E165" s="269">
        <f>+'ต.ค. '!E164+พ.ย.!E164+ธ.ค.!E164</f>
        <v>0</v>
      </c>
      <c r="F165" s="269">
        <f>+'ต.ค. '!F164+พ.ย.!F164+ธ.ค.!F164</f>
        <v>0</v>
      </c>
      <c r="G165" s="269">
        <f>+'ต.ค. '!G164+พ.ย.!G164+ธ.ค.!G164</f>
        <v>0</v>
      </c>
      <c r="H165" s="269">
        <f>+'ต.ค. '!H164+พ.ย.!H164+ธ.ค.!H164</f>
        <v>0</v>
      </c>
      <c r="I165" s="269">
        <f>+'ต.ค. '!I164+พ.ย.!I164+ธ.ค.!I164</f>
        <v>0</v>
      </c>
      <c r="J165" s="269">
        <f>+'ต.ค. '!J164+พ.ย.!J164+ธ.ค.!J164</f>
        <v>0</v>
      </c>
      <c r="K165" s="269">
        <f>+'ต.ค. '!K164+พ.ย.!K164+ธ.ค.!K164</f>
        <v>0</v>
      </c>
      <c r="L165" s="269">
        <f>+'ต.ค. '!L164+พ.ย.!L164+ธ.ค.!L164</f>
        <v>0</v>
      </c>
      <c r="M165" s="269">
        <f>+'ต.ค. '!M164+พ.ย.!M164+ธ.ค.!M164</f>
        <v>0</v>
      </c>
      <c r="N165" s="269">
        <f>+'ต.ค. '!N164+พ.ย.!N164+ธ.ค.!N164</f>
        <v>0</v>
      </c>
      <c r="O165" s="269">
        <f>+'ต.ค. '!O164+พ.ย.!O164+ธ.ค.!O164</f>
        <v>0</v>
      </c>
      <c r="P165" s="269">
        <f>+'ต.ค. '!P164+พ.ย.!P164+ธ.ค.!P164</f>
        <v>0</v>
      </c>
      <c r="Q165" s="269">
        <f>+'ต.ค. '!Q164+พ.ย.!Q164+ธ.ค.!Q164</f>
        <v>0</v>
      </c>
      <c r="R165" s="269">
        <f>+'ต.ค. '!R164+พ.ย.!R164+ธ.ค.!R164</f>
        <v>0</v>
      </c>
      <c r="S165" s="269">
        <f>+'ต.ค. '!S164+พ.ย.!S164+ธ.ค.!S164</f>
        <v>0</v>
      </c>
      <c r="T165" s="269"/>
      <c r="U165" s="269">
        <f>+'ต.ค. '!U164+พ.ย.!U164+ธ.ค.!U164</f>
        <v>0</v>
      </c>
      <c r="V165" s="269">
        <f>+'ต.ค. '!V164+พ.ย.!V164+ธ.ค.!V164</f>
        <v>0</v>
      </c>
    </row>
    <row r="166" spans="1:22" ht="25.5" customHeight="1">
      <c r="A166" s="9"/>
      <c r="B166" s="187" t="s">
        <v>375</v>
      </c>
      <c r="C166" s="279">
        <v>20000</v>
      </c>
      <c r="D166" s="131"/>
      <c r="E166" s="269">
        <f>+'ต.ค. '!E165+พ.ย.!E165+ธ.ค.!E165</f>
        <v>0</v>
      </c>
      <c r="F166" s="269">
        <f>+'ต.ค. '!F165+พ.ย.!F165+ธ.ค.!F165</f>
        <v>0</v>
      </c>
      <c r="G166" s="269">
        <f>+'ต.ค. '!G165+พ.ย.!G165+ธ.ค.!G165</f>
        <v>0</v>
      </c>
      <c r="H166" s="269">
        <f>+'ต.ค. '!H165+พ.ย.!H165+ธ.ค.!H165</f>
        <v>0</v>
      </c>
      <c r="I166" s="269">
        <f>+'ต.ค. '!I165+พ.ย.!I165+ธ.ค.!I165</f>
        <v>0</v>
      </c>
      <c r="J166" s="269">
        <f>+'ต.ค. '!J165+พ.ย.!J165+ธ.ค.!J165</f>
        <v>0</v>
      </c>
      <c r="K166" s="269">
        <f>+'ต.ค. '!K165+พ.ย.!K165+ธ.ค.!K165</f>
        <v>0</v>
      </c>
      <c r="L166" s="269">
        <f>+'ต.ค. '!L165+พ.ย.!L165+ธ.ค.!L165</f>
        <v>0</v>
      </c>
      <c r="M166" s="269">
        <f>+'ต.ค. '!M165+พ.ย.!M165+ธ.ค.!M165</f>
        <v>0</v>
      </c>
      <c r="N166" s="269">
        <f>+'ต.ค. '!N165+พ.ย.!N165+ธ.ค.!N165</f>
        <v>0</v>
      </c>
      <c r="O166" s="269">
        <f>+'ต.ค. '!O165+พ.ย.!O165+ธ.ค.!O165</f>
        <v>0</v>
      </c>
      <c r="P166" s="269">
        <f>+'ต.ค. '!P165+พ.ย.!P165+ธ.ค.!P165</f>
        <v>0</v>
      </c>
      <c r="Q166" s="269">
        <f>+'ต.ค. '!Q165+พ.ย.!Q165+ธ.ค.!Q165</f>
        <v>0</v>
      </c>
      <c r="R166" s="269">
        <f>+'ต.ค. '!R165+พ.ย.!R165+ธ.ค.!R165</f>
        <v>0</v>
      </c>
      <c r="S166" s="269">
        <f>+'ต.ค. '!S165+พ.ย.!S165+ธ.ค.!S165</f>
        <v>0</v>
      </c>
      <c r="T166" s="269"/>
      <c r="U166" s="269">
        <f>+'ต.ค. '!U165+พ.ย.!U165+ธ.ค.!U165</f>
        <v>0</v>
      </c>
      <c r="V166" s="269">
        <f>+'ต.ค. '!V165+พ.ย.!V165+ธ.ค.!V165</f>
        <v>0</v>
      </c>
    </row>
    <row r="167" spans="1:22" ht="25.5" customHeight="1">
      <c r="A167" s="9"/>
      <c r="B167" s="187" t="s">
        <v>376</v>
      </c>
      <c r="C167" s="279">
        <v>25000</v>
      </c>
      <c r="D167" s="131"/>
      <c r="E167" s="269">
        <f>+'ต.ค. '!E166+พ.ย.!E166+ธ.ค.!E166</f>
        <v>0</v>
      </c>
      <c r="F167" s="269">
        <f>+'ต.ค. '!F166+พ.ย.!F166+ธ.ค.!F166</f>
        <v>0</v>
      </c>
      <c r="G167" s="269">
        <f>+'ต.ค. '!G166+พ.ย.!G166+ธ.ค.!G166</f>
        <v>0</v>
      </c>
      <c r="H167" s="269">
        <f>+'ต.ค. '!H166+พ.ย.!H166+ธ.ค.!H166</f>
        <v>0</v>
      </c>
      <c r="I167" s="269">
        <f>+'ต.ค. '!I166+พ.ย.!I166+ธ.ค.!I166</f>
        <v>0</v>
      </c>
      <c r="J167" s="269">
        <f>+'ต.ค. '!J166+พ.ย.!J166+ธ.ค.!J166</f>
        <v>0</v>
      </c>
      <c r="K167" s="269">
        <f>+'ต.ค. '!K166+พ.ย.!K166+ธ.ค.!K166</f>
        <v>0</v>
      </c>
      <c r="L167" s="269">
        <f>+'ต.ค. '!L166+พ.ย.!L166+ธ.ค.!L166</f>
        <v>0</v>
      </c>
      <c r="M167" s="269">
        <f>+'ต.ค. '!M166+พ.ย.!M166+ธ.ค.!M166</f>
        <v>0</v>
      </c>
      <c r="N167" s="269">
        <f>+'ต.ค. '!N166+พ.ย.!N166+ธ.ค.!N166</f>
        <v>0</v>
      </c>
      <c r="O167" s="269">
        <f>+'ต.ค. '!O166+พ.ย.!O166+ธ.ค.!O166</f>
        <v>0</v>
      </c>
      <c r="P167" s="269">
        <f>+'ต.ค. '!P166+พ.ย.!P166+ธ.ค.!P166</f>
        <v>0</v>
      </c>
      <c r="Q167" s="269">
        <f>+'ต.ค. '!Q166+พ.ย.!Q166+ธ.ค.!Q166</f>
        <v>0</v>
      </c>
      <c r="R167" s="269">
        <f>+'ต.ค. '!R166+พ.ย.!R166+ธ.ค.!R166</f>
        <v>0</v>
      </c>
      <c r="S167" s="269">
        <f>+'ต.ค. '!S166+พ.ย.!S166+ธ.ค.!S166</f>
        <v>0</v>
      </c>
      <c r="T167" s="269"/>
      <c r="U167" s="269">
        <f>+'ต.ค. '!U166+พ.ย.!U166+ธ.ค.!U166</f>
        <v>0</v>
      </c>
      <c r="V167" s="269">
        <f>+'ต.ค. '!V166+พ.ย.!V166+ธ.ค.!V166</f>
        <v>0</v>
      </c>
    </row>
    <row r="168" spans="1:22" ht="25.5" customHeight="1">
      <c r="A168" s="9"/>
      <c r="B168" s="187" t="s">
        <v>377</v>
      </c>
      <c r="C168" s="279">
        <v>20000</v>
      </c>
      <c r="D168" s="131"/>
      <c r="E168" s="269">
        <f>+'ต.ค. '!E167+พ.ย.!E167+ธ.ค.!E167</f>
        <v>0</v>
      </c>
      <c r="F168" s="269">
        <f>+'ต.ค. '!F167+พ.ย.!F167+ธ.ค.!F167</f>
        <v>0</v>
      </c>
      <c r="G168" s="269">
        <f>+'ต.ค. '!G167+พ.ย.!G167+ธ.ค.!G167</f>
        <v>0</v>
      </c>
      <c r="H168" s="269">
        <f>+'ต.ค. '!H167+พ.ย.!H167+ธ.ค.!H167</f>
        <v>0</v>
      </c>
      <c r="I168" s="269">
        <f>+'ต.ค. '!I167+พ.ย.!I167+ธ.ค.!I167</f>
        <v>0</v>
      </c>
      <c r="J168" s="269">
        <f>+'ต.ค. '!J167+พ.ย.!J167+ธ.ค.!J167</f>
        <v>0</v>
      </c>
      <c r="K168" s="269">
        <f>+'ต.ค. '!K167+พ.ย.!K167+ธ.ค.!K167</f>
        <v>0</v>
      </c>
      <c r="L168" s="269">
        <f>+'ต.ค. '!L167+พ.ย.!L167+ธ.ค.!L167</f>
        <v>0</v>
      </c>
      <c r="M168" s="269">
        <f>+'ต.ค. '!M167+พ.ย.!M167+ธ.ค.!M167</f>
        <v>0</v>
      </c>
      <c r="N168" s="269">
        <f>+'ต.ค. '!N167+พ.ย.!N167+ธ.ค.!N167</f>
        <v>0</v>
      </c>
      <c r="O168" s="269">
        <f>+'ต.ค. '!O167+พ.ย.!O167+ธ.ค.!O167</f>
        <v>0</v>
      </c>
      <c r="P168" s="269">
        <f>+'ต.ค. '!P167+พ.ย.!P167+ธ.ค.!P167</f>
        <v>0</v>
      </c>
      <c r="Q168" s="269">
        <f>+'ต.ค. '!Q167+พ.ย.!Q167+ธ.ค.!Q167</f>
        <v>0</v>
      </c>
      <c r="R168" s="269">
        <f>+'ต.ค. '!R167+พ.ย.!R167+ธ.ค.!R167</f>
        <v>0</v>
      </c>
      <c r="S168" s="269">
        <f>+'ต.ค. '!S167+พ.ย.!S167+ธ.ค.!S167</f>
        <v>0</v>
      </c>
      <c r="T168" s="269"/>
      <c r="U168" s="269">
        <f>+'ต.ค. '!U167+พ.ย.!U167+ธ.ค.!U167</f>
        <v>0</v>
      </c>
      <c r="V168" s="269">
        <f>+'ต.ค. '!V167+พ.ย.!V167+ธ.ค.!V167</f>
        <v>0</v>
      </c>
    </row>
    <row r="169" spans="1:22" ht="25.5" customHeight="1">
      <c r="A169" s="9"/>
      <c r="B169" s="187" t="s">
        <v>267</v>
      </c>
      <c r="C169" s="279">
        <v>15000</v>
      </c>
      <c r="D169" s="131"/>
      <c r="E169" s="269">
        <f>+'ต.ค. '!E168+พ.ย.!E168+ธ.ค.!E168</f>
        <v>0</v>
      </c>
      <c r="F169" s="269">
        <f>+'ต.ค. '!F168+พ.ย.!F168+ธ.ค.!F168</f>
        <v>0</v>
      </c>
      <c r="G169" s="269">
        <f>+'ต.ค. '!G168+พ.ย.!G168+ธ.ค.!G168</f>
        <v>0</v>
      </c>
      <c r="H169" s="269">
        <f>+'ต.ค. '!H168+พ.ย.!H168+ธ.ค.!H168</f>
        <v>0</v>
      </c>
      <c r="I169" s="269">
        <f>+'ต.ค. '!I168+พ.ย.!I168+ธ.ค.!I168</f>
        <v>0</v>
      </c>
      <c r="J169" s="269">
        <f>+'ต.ค. '!J168+พ.ย.!J168+ธ.ค.!J168</f>
        <v>0</v>
      </c>
      <c r="K169" s="269">
        <f>+'ต.ค. '!K168+พ.ย.!K168+ธ.ค.!K168</f>
        <v>0</v>
      </c>
      <c r="L169" s="269">
        <f>+'ต.ค. '!L168+พ.ย.!L168+ธ.ค.!L168</f>
        <v>0</v>
      </c>
      <c r="M169" s="269">
        <f>+'ต.ค. '!M168+พ.ย.!M168+ธ.ค.!M168</f>
        <v>0</v>
      </c>
      <c r="N169" s="269">
        <f>+'ต.ค. '!N168+พ.ย.!N168+ธ.ค.!N168</f>
        <v>0</v>
      </c>
      <c r="O169" s="269">
        <f>+'ต.ค. '!O168+พ.ย.!O168+ธ.ค.!O168</f>
        <v>0</v>
      </c>
      <c r="P169" s="269">
        <f>+'ต.ค. '!P168+พ.ย.!P168+ธ.ค.!P168</f>
        <v>0</v>
      </c>
      <c r="Q169" s="269">
        <f>+'ต.ค. '!Q168+พ.ย.!Q168+ธ.ค.!Q168</f>
        <v>0</v>
      </c>
      <c r="R169" s="269">
        <f>+'ต.ค. '!R168+พ.ย.!R168+ธ.ค.!R168</f>
        <v>0</v>
      </c>
      <c r="S169" s="269">
        <f>+'ต.ค. '!S168+พ.ย.!S168+ธ.ค.!S168</f>
        <v>0</v>
      </c>
      <c r="T169" s="269"/>
      <c r="U169" s="269">
        <f>+'ต.ค. '!U168+พ.ย.!U168+ธ.ค.!U168</f>
        <v>0</v>
      </c>
      <c r="V169" s="269">
        <f>+'ต.ค. '!V168+พ.ย.!V168+ธ.ค.!V168</f>
        <v>0</v>
      </c>
    </row>
    <row r="170" spans="1:22" ht="25.5" customHeight="1">
      <c r="A170" s="9"/>
      <c r="B170" s="187" t="s">
        <v>215</v>
      </c>
      <c r="C170" s="279">
        <v>10000</v>
      </c>
      <c r="D170" s="131"/>
      <c r="E170" s="269">
        <f>+'ต.ค. '!E169+พ.ย.!E169+ธ.ค.!E169</f>
        <v>0</v>
      </c>
      <c r="F170" s="269">
        <f>+'ต.ค. '!F169+พ.ย.!F169+ธ.ค.!F169</f>
        <v>0</v>
      </c>
      <c r="G170" s="269">
        <f>+'ต.ค. '!G169+พ.ย.!G169+ธ.ค.!G169</f>
        <v>0</v>
      </c>
      <c r="H170" s="269">
        <f>+'ต.ค. '!H169+พ.ย.!H169+ธ.ค.!H169</f>
        <v>0</v>
      </c>
      <c r="I170" s="269">
        <f>+'ต.ค. '!I169+พ.ย.!I169+ธ.ค.!I169</f>
        <v>0</v>
      </c>
      <c r="J170" s="269">
        <f>+'ต.ค. '!J169+พ.ย.!J169+ธ.ค.!J169</f>
        <v>0</v>
      </c>
      <c r="K170" s="269">
        <f>+'ต.ค. '!K169+พ.ย.!K169+ธ.ค.!K169</f>
        <v>0</v>
      </c>
      <c r="L170" s="269">
        <f>+'ต.ค. '!L169+พ.ย.!L169+ธ.ค.!L169</f>
        <v>0</v>
      </c>
      <c r="M170" s="269">
        <f>+'ต.ค. '!M169+พ.ย.!M169+ธ.ค.!M169</f>
        <v>0</v>
      </c>
      <c r="N170" s="269">
        <f>+'ต.ค. '!N169+พ.ย.!N169+ธ.ค.!N169</f>
        <v>0</v>
      </c>
      <c r="O170" s="269">
        <f>+'ต.ค. '!O169+พ.ย.!O169+ธ.ค.!O169</f>
        <v>0</v>
      </c>
      <c r="P170" s="269">
        <f>+'ต.ค. '!P169+พ.ย.!P169+ธ.ค.!P169</f>
        <v>0</v>
      </c>
      <c r="Q170" s="269">
        <f>+'ต.ค. '!Q169+พ.ย.!Q169+ธ.ค.!Q169</f>
        <v>0</v>
      </c>
      <c r="R170" s="269">
        <f>+'ต.ค. '!R169+พ.ย.!R169+ธ.ค.!R169</f>
        <v>0</v>
      </c>
      <c r="S170" s="269">
        <f>+'ต.ค. '!S169+พ.ย.!S169+ธ.ค.!S169</f>
        <v>0</v>
      </c>
      <c r="T170" s="269"/>
      <c r="U170" s="269">
        <f>+'ต.ค. '!U169+พ.ย.!U169+ธ.ค.!U169</f>
        <v>0</v>
      </c>
      <c r="V170" s="269">
        <f>+'ต.ค. '!V169+พ.ย.!V169+ธ.ค.!V169</f>
        <v>0</v>
      </c>
    </row>
    <row r="171" spans="1:22" ht="25.5" customHeight="1">
      <c r="A171" s="9"/>
      <c r="B171" s="187" t="s">
        <v>268</v>
      </c>
      <c r="C171" s="279">
        <v>5000</v>
      </c>
      <c r="D171" s="131"/>
      <c r="E171" s="269">
        <f>+'ต.ค. '!E170+พ.ย.!E170+ธ.ค.!E170</f>
        <v>0</v>
      </c>
      <c r="F171" s="269">
        <f>+'ต.ค. '!F170+พ.ย.!F170+ธ.ค.!F170</f>
        <v>0</v>
      </c>
      <c r="G171" s="269">
        <f>+'ต.ค. '!G170+พ.ย.!G170+ธ.ค.!G170</f>
        <v>0</v>
      </c>
      <c r="H171" s="269">
        <f>+'ต.ค. '!H170+พ.ย.!H170+ธ.ค.!H170</f>
        <v>0</v>
      </c>
      <c r="I171" s="269">
        <f>+'ต.ค. '!I170+พ.ย.!I170+ธ.ค.!I170</f>
        <v>0</v>
      </c>
      <c r="J171" s="269">
        <f>+'ต.ค. '!J170+พ.ย.!J170+ธ.ค.!J170</f>
        <v>0</v>
      </c>
      <c r="K171" s="269">
        <f>+'ต.ค. '!K170+พ.ย.!K170+ธ.ค.!K170</f>
        <v>0</v>
      </c>
      <c r="L171" s="269">
        <f>+'ต.ค. '!L170+พ.ย.!L170+ธ.ค.!L170</f>
        <v>0</v>
      </c>
      <c r="M171" s="269">
        <f>+'ต.ค. '!M170+พ.ย.!M170+ธ.ค.!M170</f>
        <v>0</v>
      </c>
      <c r="N171" s="269">
        <f>+'ต.ค. '!N170+พ.ย.!N170+ธ.ค.!N170</f>
        <v>0</v>
      </c>
      <c r="O171" s="269">
        <f>+'ต.ค. '!O170+พ.ย.!O170+ธ.ค.!O170</f>
        <v>0</v>
      </c>
      <c r="P171" s="269">
        <f>+'ต.ค. '!P170+พ.ย.!P170+ธ.ค.!P170</f>
        <v>0</v>
      </c>
      <c r="Q171" s="269">
        <f>+'ต.ค. '!Q170+พ.ย.!Q170+ธ.ค.!Q170</f>
        <v>0</v>
      </c>
      <c r="R171" s="269">
        <f>+'ต.ค. '!R170+พ.ย.!R170+ธ.ค.!R170</f>
        <v>0</v>
      </c>
      <c r="S171" s="269">
        <f>+'ต.ค. '!S170+พ.ย.!S170+ธ.ค.!S170</f>
        <v>0</v>
      </c>
      <c r="T171" s="269"/>
      <c r="U171" s="269">
        <f>+'ต.ค. '!U170+พ.ย.!U170+ธ.ค.!U170</f>
        <v>0</v>
      </c>
      <c r="V171" s="269">
        <f>+'ต.ค. '!V170+พ.ย.!V170+ธ.ค.!V170</f>
        <v>0</v>
      </c>
    </row>
    <row r="172" spans="1:22" ht="25.5" customHeight="1">
      <c r="A172" s="9"/>
      <c r="B172" s="187"/>
      <c r="C172" s="279"/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</row>
    <row r="173" spans="1:22" ht="25.5" customHeight="1">
      <c r="A173" s="9"/>
      <c r="B173" s="187"/>
      <c r="C173" s="279"/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</row>
    <row r="174" spans="1:22" ht="25.5" customHeight="1">
      <c r="A174" s="9"/>
      <c r="B174" s="187"/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2" ht="25.5" customHeight="1">
      <c r="A175" s="9"/>
      <c r="B175" s="187"/>
      <c r="C175" s="279"/>
      <c r="D175" s="131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</row>
    <row r="176" spans="1:22" ht="25.5" customHeight="1">
      <c r="A176" s="9"/>
      <c r="B176" s="187"/>
      <c r="C176" s="279"/>
      <c r="D176" s="131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</row>
    <row r="177" spans="1:23" ht="25.5" customHeight="1" thickBot="1">
      <c r="A177" s="15"/>
      <c r="B177" s="14" t="s">
        <v>5</v>
      </c>
      <c r="C177" s="170">
        <f>SUM(C52:C176)</f>
        <v>5945800</v>
      </c>
      <c r="D177" s="255">
        <f>SUM(D52:D176)</f>
        <v>0</v>
      </c>
      <c r="E177" s="254">
        <f>SUM(E52:E176)</f>
        <v>380432</v>
      </c>
      <c r="F177" s="254">
        <f>SUM(F52:F176)</f>
        <v>38558</v>
      </c>
      <c r="G177" s="255">
        <f t="shared" ref="G177:V177" si="4">SUM(G52:G176)</f>
        <v>0</v>
      </c>
      <c r="H177" s="254">
        <f>SUM(H52:H176)</f>
        <v>576468</v>
      </c>
      <c r="I177" s="255">
        <f>SUM(I52:I176)</f>
        <v>263900</v>
      </c>
      <c r="J177" s="255">
        <f t="shared" si="4"/>
        <v>0</v>
      </c>
      <c r="K177" s="255">
        <f t="shared" si="4"/>
        <v>0</v>
      </c>
      <c r="L177" s="255">
        <f t="shared" si="4"/>
        <v>0</v>
      </c>
      <c r="M177" s="254">
        <f>SUM(M52:M176)</f>
        <v>68452</v>
      </c>
      <c r="N177" s="255">
        <f t="shared" si="4"/>
        <v>0</v>
      </c>
      <c r="O177" s="255">
        <f t="shared" si="4"/>
        <v>0</v>
      </c>
      <c r="P177" s="255">
        <f t="shared" si="4"/>
        <v>0</v>
      </c>
      <c r="Q177" s="255">
        <f>SUM(Q52:Q176)</f>
        <v>4880</v>
      </c>
      <c r="R177" s="255">
        <f t="shared" si="4"/>
        <v>0</v>
      </c>
      <c r="S177" s="255">
        <f>SUM(S52:S176)</f>
        <v>60000</v>
      </c>
      <c r="T177" s="255"/>
      <c r="U177" s="255">
        <f t="shared" si="4"/>
        <v>0</v>
      </c>
      <c r="V177" s="255">
        <f t="shared" si="4"/>
        <v>0</v>
      </c>
      <c r="W177" s="314">
        <f>SUM(D177:V177)</f>
        <v>1392690</v>
      </c>
    </row>
    <row r="178" spans="1:23" ht="25.5" customHeight="1" thickTop="1">
      <c r="A178" s="3" t="s">
        <v>113</v>
      </c>
      <c r="B178" s="4"/>
      <c r="C178" s="287"/>
      <c r="D178" s="133"/>
      <c r="E178" s="269"/>
      <c r="F178" s="136"/>
      <c r="G178" s="136"/>
      <c r="H178" s="136"/>
      <c r="I178" s="133"/>
      <c r="J178" s="133"/>
      <c r="K178" s="133"/>
      <c r="L178" s="133"/>
      <c r="M178" s="136"/>
      <c r="N178" s="133"/>
      <c r="O178" s="133"/>
      <c r="P178" s="133"/>
      <c r="Q178" s="133"/>
      <c r="R178" s="258"/>
      <c r="S178" s="259"/>
      <c r="T178" s="259"/>
      <c r="U178" s="258"/>
      <c r="V178" s="258"/>
    </row>
    <row r="179" spans="1:23" ht="25.5" customHeight="1">
      <c r="A179" s="9"/>
      <c r="B179" s="130" t="s">
        <v>111</v>
      </c>
      <c r="C179" s="216">
        <f>50000+25000+5000+25000+10000</f>
        <v>115000</v>
      </c>
      <c r="D179" s="131"/>
      <c r="E179" s="267">
        <f>+'ต.ค. '!E178+พ.ย.!E178+ธ.ค.!E178</f>
        <v>0</v>
      </c>
      <c r="F179" s="267">
        <f>+'ต.ค. '!F178+พ.ย.!F178+ธ.ค.!F178</f>
        <v>6920</v>
      </c>
      <c r="G179" s="267">
        <f>+'ต.ค. '!G178+พ.ย.!G178+ธ.ค.!G178</f>
        <v>0</v>
      </c>
      <c r="H179" s="267">
        <f>+'ต.ค. '!H178+พ.ย.!H178+ธ.ค.!H178</f>
        <v>4095</v>
      </c>
      <c r="I179" s="267">
        <f>+'ต.ค. '!I178+พ.ย.!I178+ธ.ค.!I178</f>
        <v>0</v>
      </c>
      <c r="J179" s="267">
        <f>+'ต.ค. '!J178+พ.ย.!J178+ธ.ค.!J178</f>
        <v>0</v>
      </c>
      <c r="K179" s="267">
        <f>+'ต.ค. '!K178+พ.ย.!K178+ธ.ค.!K178</f>
        <v>0</v>
      </c>
      <c r="L179" s="267">
        <f>+'ต.ค. '!L178+พ.ย.!L178+ธ.ค.!L178</f>
        <v>0</v>
      </c>
      <c r="M179" s="267">
        <f>+'ต.ค. '!M178+พ.ย.!M178+ธ.ค.!M178</f>
        <v>4504</v>
      </c>
      <c r="N179" s="267">
        <f>+'ต.ค. '!N178+พ.ย.!N178+ธ.ค.!N178</f>
        <v>0</v>
      </c>
      <c r="O179" s="267">
        <f>+'ต.ค. '!O178+พ.ย.!O178+ธ.ค.!O178</f>
        <v>0</v>
      </c>
      <c r="P179" s="267">
        <f>+'ต.ค. '!P178+พ.ย.!P178+ธ.ค.!P178</f>
        <v>0</v>
      </c>
      <c r="Q179" s="267">
        <f>+'ต.ค. '!Q178+พ.ย.!Q178+ธ.ค.!Q178</f>
        <v>0</v>
      </c>
      <c r="R179" s="267">
        <f>+'ต.ค. '!R178+พ.ย.!R178+ธ.ค.!R178</f>
        <v>0</v>
      </c>
      <c r="S179" s="267">
        <f>+'ต.ค. '!S178+พ.ย.!S178+ธ.ค.!S178</f>
        <v>0</v>
      </c>
      <c r="T179" s="267"/>
      <c r="U179" s="267">
        <f>+'ต.ค. '!U178+พ.ย.!U178+ธ.ค.!U178</f>
        <v>0</v>
      </c>
      <c r="V179" s="267">
        <f>+'ต.ค. '!V178+พ.ย.!V178+ธ.ค.!V178</f>
        <v>0</v>
      </c>
    </row>
    <row r="180" spans="1:23" s="67" customFormat="1" ht="25.5" customHeight="1">
      <c r="A180" s="9"/>
      <c r="B180" s="130" t="s">
        <v>302</v>
      </c>
      <c r="C180" s="216">
        <v>10000</v>
      </c>
      <c r="D180" s="131"/>
      <c r="E180" s="267">
        <f>+'ต.ค. '!E179+พ.ย.!E179+ธ.ค.!E179</f>
        <v>0</v>
      </c>
      <c r="F180" s="267">
        <f>+'ต.ค. '!F179+พ.ย.!F179+ธ.ค.!F179</f>
        <v>0</v>
      </c>
      <c r="G180" s="267">
        <f>+'ต.ค. '!G179+พ.ย.!G179+ธ.ค.!G179</f>
        <v>0</v>
      </c>
      <c r="H180" s="267">
        <f>+'ต.ค. '!H179+พ.ย.!H179+ธ.ค.!H179</f>
        <v>500</v>
      </c>
      <c r="I180" s="267">
        <f>+'ต.ค. '!I179+พ.ย.!I179+ธ.ค.!I179</f>
        <v>0</v>
      </c>
      <c r="J180" s="267">
        <f>+'ต.ค. '!J179+พ.ย.!J179+ธ.ค.!J179</f>
        <v>0</v>
      </c>
      <c r="K180" s="267">
        <f>+'ต.ค. '!K179+พ.ย.!K179+ธ.ค.!K179</f>
        <v>0</v>
      </c>
      <c r="L180" s="267">
        <f>+'ต.ค. '!L179+พ.ย.!L179+ธ.ค.!L179</f>
        <v>0</v>
      </c>
      <c r="M180" s="267">
        <f>+'ต.ค. '!M179+พ.ย.!M179+ธ.ค.!M179</f>
        <v>0</v>
      </c>
      <c r="N180" s="267">
        <f>+'ต.ค. '!N179+พ.ย.!N179+ธ.ค.!N179</f>
        <v>0</v>
      </c>
      <c r="O180" s="267">
        <f>+'ต.ค. '!O179+พ.ย.!O179+ธ.ค.!O179</f>
        <v>0</v>
      </c>
      <c r="P180" s="267">
        <f>+'ต.ค. '!P179+พ.ย.!P179+ธ.ค.!P179</f>
        <v>0</v>
      </c>
      <c r="Q180" s="267">
        <f>+'ต.ค. '!Q179+พ.ย.!Q179+ธ.ค.!Q179</f>
        <v>0</v>
      </c>
      <c r="R180" s="267">
        <f>+'ต.ค. '!R179+พ.ย.!R179+ธ.ค.!R179</f>
        <v>0</v>
      </c>
      <c r="S180" s="267">
        <f>+'ต.ค. '!S179+พ.ย.!S179+ธ.ค.!S179</f>
        <v>0</v>
      </c>
      <c r="T180" s="267"/>
      <c r="U180" s="267">
        <f>+'ต.ค. '!U179+พ.ย.!U179+ธ.ค.!U179</f>
        <v>0</v>
      </c>
      <c r="V180" s="267">
        <f>+'ต.ค. '!V179+พ.ย.!V179+ธ.ค.!V179</f>
        <v>0</v>
      </c>
      <c r="W180" s="312"/>
    </row>
    <row r="181" spans="1:23" s="67" customFormat="1" ht="25.5" customHeight="1">
      <c r="A181" s="9"/>
      <c r="B181" s="130" t="s">
        <v>16</v>
      </c>
      <c r="C181" s="216">
        <f>8000+200000+5000</f>
        <v>213000</v>
      </c>
      <c r="D181" s="131"/>
      <c r="E181" s="267">
        <f>+'ต.ค. '!E180+พ.ย.!E180+ธ.ค.!E180</f>
        <v>1039</v>
      </c>
      <c r="F181" s="267">
        <f>+'ต.ค. '!F180+พ.ย.!F180+ธ.ค.!F180</f>
        <v>0</v>
      </c>
      <c r="G181" s="267">
        <f>+'ต.ค. '!G180+พ.ย.!G180+ธ.ค.!G180</f>
        <v>0</v>
      </c>
      <c r="H181" s="267">
        <f>+'ต.ค. '!H180+พ.ย.!H180+ธ.ค.!H180</f>
        <v>0</v>
      </c>
      <c r="I181" s="267">
        <f>+'ต.ค. '!I180+พ.ย.!I180+ธ.ค.!I180</f>
        <v>0</v>
      </c>
      <c r="J181" s="267">
        <f>+'ต.ค. '!J180+พ.ย.!J180+ธ.ค.!J180</f>
        <v>0</v>
      </c>
      <c r="K181" s="267">
        <f>+'ต.ค. '!K180+พ.ย.!K180+ธ.ค.!K180</f>
        <v>0</v>
      </c>
      <c r="L181" s="267">
        <f>+'ต.ค. '!L180+พ.ย.!L180+ธ.ค.!L180</f>
        <v>0</v>
      </c>
      <c r="M181" s="267">
        <f>+'ต.ค. '!M180+พ.ย.!M180+ธ.ค.!M180</f>
        <v>0</v>
      </c>
      <c r="N181" s="267">
        <f>+'ต.ค. '!N180+พ.ย.!N180+ธ.ค.!N180</f>
        <v>0</v>
      </c>
      <c r="O181" s="267">
        <f>+'ต.ค. '!O180+พ.ย.!O180+ธ.ค.!O180</f>
        <v>0</v>
      </c>
      <c r="P181" s="267">
        <f>+'ต.ค. '!P180+พ.ย.!P180+ธ.ค.!P180</f>
        <v>0</v>
      </c>
      <c r="Q181" s="267">
        <f>+'ต.ค. '!Q180+พ.ย.!Q180+ธ.ค.!Q180</f>
        <v>0</v>
      </c>
      <c r="R181" s="267">
        <f>+'ต.ค. '!R180+พ.ย.!R180+ธ.ค.!R180</f>
        <v>0</v>
      </c>
      <c r="S181" s="267">
        <f>+'ต.ค. '!S180+พ.ย.!S180+ธ.ค.!S180</f>
        <v>0</v>
      </c>
      <c r="T181" s="267"/>
      <c r="U181" s="267">
        <f>+'ต.ค. '!U180+พ.ย.!U180+ธ.ค.!U180</f>
        <v>0</v>
      </c>
      <c r="V181" s="267">
        <f>+'ต.ค. '!V180+พ.ย.!V180+ธ.ค.!V180</f>
        <v>0</v>
      </c>
      <c r="W181" s="312"/>
    </row>
    <row r="182" spans="1:23" s="67" customFormat="1" ht="25.5" customHeight="1">
      <c r="A182" s="9"/>
      <c r="B182" s="130" t="s">
        <v>12</v>
      </c>
      <c r="C182" s="216">
        <f>15000+10000</f>
        <v>25000</v>
      </c>
      <c r="D182" s="131"/>
      <c r="E182" s="267">
        <f>+'ต.ค. '!E181+พ.ย.!E181+ธ.ค.!E181</f>
        <v>5520</v>
      </c>
      <c r="F182" s="267">
        <f>+'ต.ค. '!F181+พ.ย.!F181+ธ.ค.!F181</f>
        <v>0</v>
      </c>
      <c r="G182" s="267">
        <f>+'ต.ค. '!G181+พ.ย.!G181+ธ.ค.!G181</f>
        <v>0</v>
      </c>
      <c r="H182" s="267">
        <f>+'ต.ค. '!H181+พ.ย.!H181+ธ.ค.!H181</f>
        <v>4050</v>
      </c>
      <c r="I182" s="267">
        <f>+'ต.ค. '!I181+พ.ย.!I181+ธ.ค.!I181</f>
        <v>0</v>
      </c>
      <c r="J182" s="267">
        <f>+'ต.ค. '!J181+พ.ย.!J181+ธ.ค.!J181</f>
        <v>0</v>
      </c>
      <c r="K182" s="267">
        <f>+'ต.ค. '!K181+พ.ย.!K181+ธ.ค.!K181</f>
        <v>0</v>
      </c>
      <c r="L182" s="267">
        <f>+'ต.ค. '!L181+พ.ย.!L181+ธ.ค.!L181</f>
        <v>0</v>
      </c>
      <c r="M182" s="267">
        <f>+'ต.ค. '!M181+พ.ย.!M181+ธ.ค.!M181</f>
        <v>0</v>
      </c>
      <c r="N182" s="267">
        <f>+'ต.ค. '!N181+พ.ย.!N181+ธ.ค.!N181</f>
        <v>0</v>
      </c>
      <c r="O182" s="267">
        <f>+'ต.ค. '!O181+พ.ย.!O181+ธ.ค.!O181</f>
        <v>0</v>
      </c>
      <c r="P182" s="267">
        <f>+'ต.ค. '!P181+พ.ย.!P181+ธ.ค.!P181</f>
        <v>0</v>
      </c>
      <c r="Q182" s="267">
        <f>+'ต.ค. '!Q181+พ.ย.!Q181+ธ.ค.!Q181</f>
        <v>0</v>
      </c>
      <c r="R182" s="267">
        <f>+'ต.ค. '!R181+พ.ย.!R181+ธ.ค.!R181</f>
        <v>0</v>
      </c>
      <c r="S182" s="267">
        <f>+'ต.ค. '!S181+พ.ย.!S181+ธ.ค.!S181</f>
        <v>0</v>
      </c>
      <c r="T182" s="267"/>
      <c r="U182" s="267">
        <f>+'ต.ค. '!U181+พ.ย.!U181+ธ.ค.!U181</f>
        <v>0</v>
      </c>
      <c r="V182" s="267">
        <f>+'ต.ค. '!V181+พ.ย.!V181+ธ.ค.!V181</f>
        <v>0</v>
      </c>
      <c r="W182" s="312"/>
    </row>
    <row r="183" spans="1:23" ht="25.5" customHeight="1">
      <c r="A183" s="9"/>
      <c r="B183" s="130" t="s">
        <v>17</v>
      </c>
      <c r="C183" s="216">
        <f>15000+25000+20000</f>
        <v>60000</v>
      </c>
      <c r="D183" s="133"/>
      <c r="E183" s="267">
        <f>+'ต.ค. '!E182+พ.ย.!E182+ธ.ค.!E182</f>
        <v>0</v>
      </c>
      <c r="F183" s="267">
        <f>+'ต.ค. '!F182+พ.ย.!F182+ธ.ค.!F182</f>
        <v>0</v>
      </c>
      <c r="G183" s="267">
        <f>+'ต.ค. '!G182+พ.ย.!G182+ธ.ค.!G182</f>
        <v>0</v>
      </c>
      <c r="H183" s="267">
        <f>+'ต.ค. '!H182+พ.ย.!H182+ธ.ค.!H182</f>
        <v>4320</v>
      </c>
      <c r="I183" s="267">
        <f>+'ต.ค. '!I182+พ.ย.!I182+ธ.ค.!I182</f>
        <v>0</v>
      </c>
      <c r="J183" s="267">
        <f>+'ต.ค. '!J182+พ.ย.!J182+ธ.ค.!J182</f>
        <v>0</v>
      </c>
      <c r="K183" s="267">
        <f>+'ต.ค. '!K182+พ.ย.!K182+ธ.ค.!K182</f>
        <v>0</v>
      </c>
      <c r="L183" s="267">
        <f>+'ต.ค. '!L182+พ.ย.!L182+ธ.ค.!L182</f>
        <v>0</v>
      </c>
      <c r="M183" s="267">
        <f>+'ต.ค. '!M182+พ.ย.!M182+ธ.ค.!M182</f>
        <v>0</v>
      </c>
      <c r="N183" s="267">
        <f>+'ต.ค. '!N182+พ.ย.!N182+ธ.ค.!N182</f>
        <v>0</v>
      </c>
      <c r="O183" s="267">
        <f>+'ต.ค. '!O182+พ.ย.!O182+ธ.ค.!O182</f>
        <v>0</v>
      </c>
      <c r="P183" s="267">
        <f>+'ต.ค. '!P182+พ.ย.!P182+ธ.ค.!P182</f>
        <v>0</v>
      </c>
      <c r="Q183" s="267">
        <f>+'ต.ค. '!Q182+พ.ย.!Q182+ธ.ค.!Q182</f>
        <v>0</v>
      </c>
      <c r="R183" s="267">
        <f>+'ต.ค. '!R182+พ.ย.!R182+ธ.ค.!R182</f>
        <v>0</v>
      </c>
      <c r="S183" s="267">
        <f>+'ต.ค. '!S182+พ.ย.!S182+ธ.ค.!S182</f>
        <v>0</v>
      </c>
      <c r="T183" s="267"/>
      <c r="U183" s="267">
        <f>+'ต.ค. '!U182+พ.ย.!U182+ธ.ค.!U182</f>
        <v>0</v>
      </c>
      <c r="V183" s="267">
        <f>+'ต.ค. '!V182+พ.ย.!V182+ธ.ค.!V182</f>
        <v>0</v>
      </c>
    </row>
    <row r="184" spans="1:23" ht="25.5" customHeight="1">
      <c r="A184" s="9"/>
      <c r="B184" s="130" t="s">
        <v>13</v>
      </c>
      <c r="C184" s="216">
        <v>15000</v>
      </c>
      <c r="D184" s="131"/>
      <c r="E184" s="267">
        <f>+'ต.ค. '!E183+พ.ย.!E183+ธ.ค.!E183</f>
        <v>0</v>
      </c>
      <c r="F184" s="267">
        <f>+'ต.ค. '!F183+พ.ย.!F183+ธ.ค.!F183</f>
        <v>0</v>
      </c>
      <c r="G184" s="267">
        <f>+'ต.ค. '!G183+พ.ย.!G183+ธ.ค.!G183</f>
        <v>0</v>
      </c>
      <c r="H184" s="267">
        <f>+'ต.ค. '!H183+พ.ย.!H183+ธ.ค.!H183</f>
        <v>0</v>
      </c>
      <c r="I184" s="267">
        <f>+'ต.ค. '!I183+พ.ย.!I183+ธ.ค.!I183</f>
        <v>0</v>
      </c>
      <c r="J184" s="267">
        <f>+'ต.ค. '!J183+พ.ย.!J183+ธ.ค.!J183</f>
        <v>0</v>
      </c>
      <c r="K184" s="267">
        <f>+'ต.ค. '!K183+พ.ย.!K183+ธ.ค.!K183</f>
        <v>0</v>
      </c>
      <c r="L184" s="267">
        <f>+'ต.ค. '!L183+พ.ย.!L183+ธ.ค.!L183</f>
        <v>0</v>
      </c>
      <c r="M184" s="267">
        <f>+'ต.ค. '!M183+พ.ย.!M183+ธ.ค.!M183</f>
        <v>0</v>
      </c>
      <c r="N184" s="267">
        <f>+'ต.ค. '!N183+พ.ย.!N183+ธ.ค.!N183</f>
        <v>0</v>
      </c>
      <c r="O184" s="267">
        <f>+'ต.ค. '!O183+พ.ย.!O183+ธ.ค.!O183</f>
        <v>0</v>
      </c>
      <c r="P184" s="267">
        <f>+'ต.ค. '!P183+พ.ย.!P183+ธ.ค.!P183</f>
        <v>0</v>
      </c>
      <c r="Q184" s="267">
        <f>+'ต.ค. '!Q183+พ.ย.!Q183+ธ.ค.!Q183</f>
        <v>0</v>
      </c>
      <c r="R184" s="267">
        <f>+'ต.ค. '!R183+พ.ย.!R183+ธ.ค.!R183</f>
        <v>0</v>
      </c>
      <c r="S184" s="267">
        <f>+'ต.ค. '!S183+พ.ย.!S183+ธ.ค.!S183</f>
        <v>0</v>
      </c>
      <c r="T184" s="267"/>
      <c r="U184" s="267">
        <f>+'ต.ค. '!U183+พ.ย.!U183+ธ.ค.!U183</f>
        <v>0</v>
      </c>
      <c r="V184" s="267">
        <f>+'ต.ค. '!V183+พ.ย.!V183+ธ.ค.!V183</f>
        <v>0</v>
      </c>
    </row>
    <row r="185" spans="1:23" ht="25.5" customHeight="1">
      <c r="A185" s="9"/>
      <c r="B185" s="130" t="s">
        <v>14</v>
      </c>
      <c r="C185" s="216">
        <f>240000+5000+20000</f>
        <v>265000</v>
      </c>
      <c r="D185" s="133"/>
      <c r="E185" s="267">
        <f>+'ต.ค. '!E184+พ.ย.!E184+ธ.ค.!E184</f>
        <v>37725</v>
      </c>
      <c r="F185" s="267">
        <f>+'ต.ค. '!F184+พ.ย.!F184+ธ.ค.!F184</f>
        <v>121</v>
      </c>
      <c r="G185" s="267">
        <f>+'ต.ค. '!G184+พ.ย.!G184+ธ.ค.!G184</f>
        <v>0</v>
      </c>
      <c r="H185" s="267">
        <f>+'ต.ค. '!H184+พ.ย.!H184+ธ.ค.!H184</f>
        <v>0</v>
      </c>
      <c r="I185" s="267">
        <f>+'ต.ค. '!I184+พ.ย.!I184+ธ.ค.!I184</f>
        <v>0</v>
      </c>
      <c r="J185" s="267">
        <f>+'ต.ค. '!J184+พ.ย.!J184+ธ.ค.!J184</f>
        <v>0</v>
      </c>
      <c r="K185" s="267">
        <f>+'ต.ค. '!K184+พ.ย.!K184+ธ.ค.!K184</f>
        <v>0</v>
      </c>
      <c r="L185" s="267">
        <f>+'ต.ค. '!L184+พ.ย.!L184+ธ.ค.!L184</f>
        <v>0</v>
      </c>
      <c r="M185" s="267">
        <f>+'ต.ค. '!M184+พ.ย.!M184+ธ.ค.!M184</f>
        <v>2742.5</v>
      </c>
      <c r="N185" s="267">
        <f>+'ต.ค. '!N184+พ.ย.!N184+ธ.ค.!N184</f>
        <v>0</v>
      </c>
      <c r="O185" s="267">
        <f>+'ต.ค. '!O184+พ.ย.!O184+ธ.ค.!O184</f>
        <v>0</v>
      </c>
      <c r="P185" s="267">
        <f>+'ต.ค. '!P184+พ.ย.!P184+ธ.ค.!P184</f>
        <v>0</v>
      </c>
      <c r="Q185" s="267">
        <f>+'ต.ค. '!Q184+พ.ย.!Q184+ธ.ค.!Q184</f>
        <v>0</v>
      </c>
      <c r="R185" s="267">
        <f>+'ต.ค. '!R184+พ.ย.!R184+ธ.ค.!R184</f>
        <v>0</v>
      </c>
      <c r="S185" s="267">
        <f>+'ต.ค. '!S184+พ.ย.!S184+ธ.ค.!S184</f>
        <v>0</v>
      </c>
      <c r="T185" s="267"/>
      <c r="U185" s="267">
        <f>+'ต.ค. '!U184+พ.ย.!U184+ธ.ค.!U184</f>
        <v>0</v>
      </c>
      <c r="V185" s="267">
        <f>+'ต.ค. '!V184+พ.ย.!V184+ธ.ค.!V184</f>
        <v>0</v>
      </c>
    </row>
    <row r="186" spans="1:23" ht="25.5" customHeight="1">
      <c r="A186" s="9"/>
      <c r="B186" s="130" t="s">
        <v>112</v>
      </c>
      <c r="C186" s="216">
        <f>5000+5000+5000</f>
        <v>15000</v>
      </c>
      <c r="D186" s="133"/>
      <c r="E186" s="267">
        <f>+'ต.ค. '!E185+พ.ย.!E185+ธ.ค.!E185</f>
        <v>0</v>
      </c>
      <c r="F186" s="267">
        <f>+'ต.ค. '!F185+พ.ย.!F185+ธ.ค.!F185</f>
        <v>0</v>
      </c>
      <c r="G186" s="267">
        <f>+'ต.ค. '!G185+พ.ย.!G185+ธ.ค.!G185</f>
        <v>0</v>
      </c>
      <c r="H186" s="267">
        <f>+'ต.ค. '!H185+พ.ย.!H185+ธ.ค.!H185</f>
        <v>0</v>
      </c>
      <c r="I186" s="267">
        <f>+'ต.ค. '!I185+พ.ย.!I185+ธ.ค.!I185</f>
        <v>0</v>
      </c>
      <c r="J186" s="267">
        <f>+'ต.ค. '!J185+พ.ย.!J185+ธ.ค.!J185</f>
        <v>0</v>
      </c>
      <c r="K186" s="267">
        <f>+'ต.ค. '!K185+พ.ย.!K185+ธ.ค.!K185</f>
        <v>0</v>
      </c>
      <c r="L186" s="267">
        <f>+'ต.ค. '!L185+พ.ย.!L185+ธ.ค.!L185</f>
        <v>0</v>
      </c>
      <c r="M186" s="267">
        <f>+'ต.ค. '!M185+พ.ย.!M185+ธ.ค.!M185</f>
        <v>0</v>
      </c>
      <c r="N186" s="267">
        <f>+'ต.ค. '!N185+พ.ย.!N185+ธ.ค.!N185</f>
        <v>0</v>
      </c>
      <c r="O186" s="267">
        <f>+'ต.ค. '!O185+พ.ย.!O185+ธ.ค.!O185</f>
        <v>0</v>
      </c>
      <c r="P186" s="267">
        <f>+'ต.ค. '!P185+พ.ย.!P185+ธ.ค.!P185</f>
        <v>0</v>
      </c>
      <c r="Q186" s="267">
        <f>+'ต.ค. '!Q185+พ.ย.!Q185+ธ.ค.!Q185</f>
        <v>0</v>
      </c>
      <c r="R186" s="267">
        <f>+'ต.ค. '!R185+พ.ย.!R185+ธ.ค.!R185</f>
        <v>0</v>
      </c>
      <c r="S186" s="267">
        <f>+'ต.ค. '!S185+พ.ย.!S185+ธ.ค.!S185</f>
        <v>0</v>
      </c>
      <c r="T186" s="267"/>
      <c r="U186" s="267">
        <f>+'ต.ค. '!U185+พ.ย.!U185+ธ.ค.!U185</f>
        <v>0</v>
      </c>
      <c r="V186" s="267">
        <f>+'ต.ค. '!V185+พ.ย.!V185+ธ.ค.!V185</f>
        <v>0</v>
      </c>
    </row>
    <row r="187" spans="1:23" ht="25.5" customHeight="1">
      <c r="A187" s="9"/>
      <c r="B187" s="130" t="s">
        <v>208</v>
      </c>
      <c r="C187" s="216">
        <v>5000</v>
      </c>
      <c r="D187" s="133"/>
      <c r="E187" s="267">
        <f>+'ต.ค. '!E186+พ.ย.!E186+ธ.ค.!E186</f>
        <v>0</v>
      </c>
      <c r="F187" s="267">
        <f>+'ต.ค. '!F186+พ.ย.!F186+ธ.ค.!F186</f>
        <v>0</v>
      </c>
      <c r="G187" s="267">
        <f>+'ต.ค. '!G186+พ.ย.!G186+ธ.ค.!G186</f>
        <v>0</v>
      </c>
      <c r="H187" s="267">
        <f>+'ต.ค. '!H186+พ.ย.!H186+ธ.ค.!H186</f>
        <v>0</v>
      </c>
      <c r="I187" s="267">
        <f>+'ต.ค. '!I186+พ.ย.!I186+ธ.ค.!I186</f>
        <v>0</v>
      </c>
      <c r="J187" s="267">
        <f>+'ต.ค. '!J186+พ.ย.!J186+ธ.ค.!J186</f>
        <v>0</v>
      </c>
      <c r="K187" s="267">
        <f>+'ต.ค. '!K186+พ.ย.!K186+ธ.ค.!K186</f>
        <v>0</v>
      </c>
      <c r="L187" s="267">
        <f>+'ต.ค. '!L186+พ.ย.!L186+ธ.ค.!L186</f>
        <v>0</v>
      </c>
      <c r="M187" s="267">
        <f>+'ต.ค. '!M186+พ.ย.!M186+ธ.ค.!M186</f>
        <v>0</v>
      </c>
      <c r="N187" s="267">
        <f>+'ต.ค. '!N186+พ.ย.!N186+ธ.ค.!N186</f>
        <v>0</v>
      </c>
      <c r="O187" s="267">
        <f>+'ต.ค. '!O186+พ.ย.!O186+ธ.ค.!O186</f>
        <v>0</v>
      </c>
      <c r="P187" s="267">
        <f>+'ต.ค. '!P186+พ.ย.!P186+ธ.ค.!P186</f>
        <v>0</v>
      </c>
      <c r="Q187" s="267">
        <f>+'ต.ค. '!Q186+พ.ย.!Q186+ธ.ค.!Q186</f>
        <v>0</v>
      </c>
      <c r="R187" s="267">
        <f>+'ต.ค. '!R186+พ.ย.!R186+ธ.ค.!R186</f>
        <v>0</v>
      </c>
      <c r="S187" s="267">
        <f>+'ต.ค. '!S186+พ.ย.!S186+ธ.ค.!S186</f>
        <v>0</v>
      </c>
      <c r="T187" s="267"/>
      <c r="U187" s="267">
        <f>+'ต.ค. '!U186+พ.ย.!U186+ธ.ค.!U186</f>
        <v>0</v>
      </c>
      <c r="V187" s="267">
        <f>+'ต.ค. '!V186+พ.ย.!V186+ธ.ค.!V186</f>
        <v>0</v>
      </c>
    </row>
    <row r="188" spans="1:23" ht="25.5" customHeight="1">
      <c r="A188" s="9"/>
      <c r="B188" s="130" t="s">
        <v>15</v>
      </c>
      <c r="C188" s="216">
        <f>40000+15000+15000+40000</f>
        <v>110000</v>
      </c>
      <c r="D188" s="195"/>
      <c r="E188" s="267">
        <f>+'ต.ค. '!E187+พ.ย.!E187+ธ.ค.!E187</f>
        <v>3597</v>
      </c>
      <c r="F188" s="267">
        <f>+'ต.ค. '!F187+พ.ย.!F187+ธ.ค.!F187</f>
        <v>4400</v>
      </c>
      <c r="G188" s="267">
        <f>+'ต.ค. '!G187+พ.ย.!G187+ธ.ค.!G187</f>
        <v>0</v>
      </c>
      <c r="H188" s="267">
        <f>+'ต.ค. '!H187+พ.ย.!H187+ธ.ค.!H187</f>
        <v>470</v>
      </c>
      <c r="I188" s="267">
        <f>+'ต.ค. '!I187+พ.ย.!I187+ธ.ค.!I187</f>
        <v>0</v>
      </c>
      <c r="J188" s="267">
        <f>+'ต.ค. '!J187+พ.ย.!J187+ธ.ค.!J187</f>
        <v>0</v>
      </c>
      <c r="K188" s="267">
        <f>+'ต.ค. '!K187+พ.ย.!K187+ธ.ค.!K187</f>
        <v>0</v>
      </c>
      <c r="L188" s="267">
        <f>+'ต.ค. '!L187+พ.ย.!L187+ธ.ค.!L187</f>
        <v>0</v>
      </c>
      <c r="M188" s="267">
        <f>+'ต.ค. '!M187+พ.ย.!M187+ธ.ค.!M187</f>
        <v>24900</v>
      </c>
      <c r="N188" s="267">
        <f>+'ต.ค. '!N187+พ.ย.!N187+ธ.ค.!N187</f>
        <v>0</v>
      </c>
      <c r="O188" s="267">
        <f>+'ต.ค. '!O187+พ.ย.!O187+ธ.ค.!O187</f>
        <v>0</v>
      </c>
      <c r="P188" s="267">
        <f>+'ต.ค. '!P187+พ.ย.!P187+ธ.ค.!P187</f>
        <v>0</v>
      </c>
      <c r="Q188" s="267">
        <f>+'ต.ค. '!Q187+พ.ย.!Q187+ธ.ค.!Q187</f>
        <v>0</v>
      </c>
      <c r="R188" s="267">
        <f>+'ต.ค. '!R187+พ.ย.!R187+ธ.ค.!R187</f>
        <v>0</v>
      </c>
      <c r="S188" s="267">
        <f>+'ต.ค. '!S187+พ.ย.!S187+ธ.ค.!S187</f>
        <v>0</v>
      </c>
      <c r="T188" s="267"/>
      <c r="U188" s="267">
        <f>+'ต.ค. '!U187+พ.ย.!U187+ธ.ค.!U187</f>
        <v>0</v>
      </c>
      <c r="V188" s="267">
        <f>+'ต.ค. '!V187+พ.ย.!V187+ธ.ค.!V187</f>
        <v>0</v>
      </c>
    </row>
    <row r="189" spans="1:23" ht="25.5" customHeight="1">
      <c r="A189" s="9"/>
      <c r="B189" s="130" t="s">
        <v>303</v>
      </c>
      <c r="C189" s="216">
        <v>10000</v>
      </c>
      <c r="D189" s="195"/>
      <c r="E189" s="267">
        <f>+'ต.ค. '!E188+พ.ย.!E188+ธ.ค.!E188</f>
        <v>0</v>
      </c>
      <c r="F189" s="267">
        <f>+'ต.ค. '!F188+พ.ย.!F188+ธ.ค.!F188</f>
        <v>0</v>
      </c>
      <c r="G189" s="267">
        <f>+'ต.ค. '!G188+พ.ย.!G188+ธ.ค.!G188</f>
        <v>0</v>
      </c>
      <c r="H189" s="267">
        <f>+'ต.ค. '!H188+พ.ย.!H188+ธ.ค.!H188</f>
        <v>0</v>
      </c>
      <c r="I189" s="267">
        <f>+'ต.ค. '!I188+พ.ย.!I188+ธ.ค.!I188</f>
        <v>0</v>
      </c>
      <c r="J189" s="267">
        <f>+'ต.ค. '!J188+พ.ย.!J188+ธ.ค.!J188</f>
        <v>0</v>
      </c>
      <c r="K189" s="267">
        <f>+'ต.ค. '!K188+พ.ย.!K188+ธ.ค.!K188</f>
        <v>0</v>
      </c>
      <c r="L189" s="267">
        <f>+'ต.ค. '!L188+พ.ย.!L188+ธ.ค.!L188</f>
        <v>0</v>
      </c>
      <c r="M189" s="267">
        <f>+'ต.ค. '!M188+พ.ย.!M188+ธ.ค.!M188</f>
        <v>0</v>
      </c>
      <c r="N189" s="267">
        <f>+'ต.ค. '!N188+พ.ย.!N188+ธ.ค.!N188</f>
        <v>0</v>
      </c>
      <c r="O189" s="267">
        <f>+'ต.ค. '!O188+พ.ย.!O188+ธ.ค.!O188</f>
        <v>0</v>
      </c>
      <c r="P189" s="267">
        <f>+'ต.ค. '!P188+พ.ย.!P188+ธ.ค.!P188</f>
        <v>0</v>
      </c>
      <c r="Q189" s="267">
        <f>+'ต.ค. '!Q188+พ.ย.!Q188+ธ.ค.!Q188</f>
        <v>0</v>
      </c>
      <c r="R189" s="267">
        <f>+'ต.ค. '!R188+พ.ย.!R188+ธ.ค.!R188</f>
        <v>0</v>
      </c>
      <c r="S189" s="267">
        <f>+'ต.ค. '!S188+พ.ย.!S188+ธ.ค.!S188</f>
        <v>0</v>
      </c>
      <c r="T189" s="267"/>
      <c r="U189" s="267">
        <f>+'ต.ค. '!U188+พ.ย.!U188+ธ.ค.!U188</f>
        <v>0</v>
      </c>
      <c r="V189" s="267">
        <f>+'ต.ค. '!V188+พ.ย.!V188+ธ.ค.!V188</f>
        <v>0</v>
      </c>
    </row>
    <row r="190" spans="1:23" ht="25.5" customHeight="1">
      <c r="A190" s="9"/>
      <c r="B190" s="130" t="s">
        <v>304</v>
      </c>
      <c r="C190" s="216">
        <f>5000+20000</f>
        <v>25000</v>
      </c>
      <c r="D190" s="195"/>
      <c r="E190" s="267">
        <f>+'ต.ค. '!E189+พ.ย.!E189+ธ.ค.!E189</f>
        <v>0</v>
      </c>
      <c r="F190" s="267">
        <f>+'ต.ค. '!F189+พ.ย.!F189+ธ.ค.!F189</f>
        <v>0</v>
      </c>
      <c r="G190" s="267">
        <f>+'ต.ค. '!G189+พ.ย.!G189+ธ.ค.!G189</f>
        <v>0</v>
      </c>
      <c r="H190" s="267">
        <f>+'ต.ค. '!H189+พ.ย.!H189+ธ.ค.!H189</f>
        <v>1758</v>
      </c>
      <c r="I190" s="267">
        <f>+'ต.ค. '!I189+พ.ย.!I189+ธ.ค.!I189</f>
        <v>0</v>
      </c>
      <c r="J190" s="267">
        <f>+'ต.ค. '!J189+พ.ย.!J189+ธ.ค.!J189</f>
        <v>0</v>
      </c>
      <c r="K190" s="267">
        <f>+'ต.ค. '!K189+พ.ย.!K189+ธ.ค.!K189</f>
        <v>0</v>
      </c>
      <c r="L190" s="267">
        <f>+'ต.ค. '!L189+พ.ย.!L189+ธ.ค.!L189</f>
        <v>0</v>
      </c>
      <c r="M190" s="267">
        <f>+'ต.ค. '!M189+พ.ย.!M189+ธ.ค.!M189</f>
        <v>0</v>
      </c>
      <c r="N190" s="267">
        <f>+'ต.ค. '!N189+พ.ย.!N189+ธ.ค.!N189</f>
        <v>0</v>
      </c>
      <c r="O190" s="267">
        <f>+'ต.ค. '!O189+พ.ย.!O189+ธ.ค.!O189</f>
        <v>0</v>
      </c>
      <c r="P190" s="267">
        <f>+'ต.ค. '!P189+พ.ย.!P189+ธ.ค.!P189</f>
        <v>0</v>
      </c>
      <c r="Q190" s="267">
        <f>+'ต.ค. '!Q189+พ.ย.!Q189+ธ.ค.!Q189</f>
        <v>0</v>
      </c>
      <c r="R190" s="267">
        <f>+'ต.ค. '!R189+พ.ย.!R189+ธ.ค.!R189</f>
        <v>0</v>
      </c>
      <c r="S190" s="267">
        <f>+'ต.ค. '!S189+พ.ย.!S189+ธ.ค.!S189</f>
        <v>0</v>
      </c>
      <c r="T190" s="267"/>
      <c r="U190" s="267">
        <f>+'ต.ค. '!U189+พ.ย.!U189+ธ.ค.!U189</f>
        <v>0</v>
      </c>
      <c r="V190" s="267">
        <f>+'ต.ค. '!V189+พ.ย.!V189+ธ.ค.!V189</f>
        <v>0</v>
      </c>
    </row>
    <row r="191" spans="1:23" ht="25.5" customHeight="1">
      <c r="A191" s="9"/>
      <c r="B191" s="130" t="s">
        <v>332</v>
      </c>
      <c r="C191" s="216">
        <v>10000</v>
      </c>
      <c r="D191" s="195"/>
      <c r="E191" s="267">
        <f>+'ต.ค. '!E190+พ.ย.!E190+ธ.ค.!E190</f>
        <v>0</v>
      </c>
      <c r="F191" s="267">
        <f>+'ต.ค. '!F190+พ.ย.!F190+ธ.ค.!F190</f>
        <v>0</v>
      </c>
      <c r="G191" s="267">
        <f>+'ต.ค. '!G190+พ.ย.!G190+ธ.ค.!G190</f>
        <v>0</v>
      </c>
      <c r="H191" s="267">
        <f>+'ต.ค. '!H190+พ.ย.!H190+ธ.ค.!H190</f>
        <v>0</v>
      </c>
      <c r="I191" s="267">
        <f>+'ต.ค. '!I190+พ.ย.!I190+ธ.ค.!I190</f>
        <v>0</v>
      </c>
      <c r="J191" s="267">
        <f>+'ต.ค. '!J190+พ.ย.!J190+ธ.ค.!J190</f>
        <v>0</v>
      </c>
      <c r="K191" s="267">
        <f>+'ต.ค. '!K190+พ.ย.!K190+ธ.ค.!K190</f>
        <v>0</v>
      </c>
      <c r="L191" s="267">
        <f>+'ต.ค. '!L190+พ.ย.!L190+ธ.ค.!L190</f>
        <v>0</v>
      </c>
      <c r="M191" s="267">
        <f>+'ต.ค. '!M190+พ.ย.!M190+ธ.ค.!M190</f>
        <v>0</v>
      </c>
      <c r="N191" s="267">
        <f>+'ต.ค. '!N190+พ.ย.!N190+ธ.ค.!N190</f>
        <v>0</v>
      </c>
      <c r="O191" s="267">
        <f>+'ต.ค. '!O190+พ.ย.!O190+ธ.ค.!O190</f>
        <v>0</v>
      </c>
      <c r="P191" s="267">
        <f>+'ต.ค. '!P190+พ.ย.!P190+ธ.ค.!P190</f>
        <v>0</v>
      </c>
      <c r="Q191" s="267">
        <f>+'ต.ค. '!Q190+พ.ย.!Q190+ธ.ค.!Q190</f>
        <v>0</v>
      </c>
      <c r="R191" s="267">
        <f>+'ต.ค. '!R190+พ.ย.!R190+ธ.ค.!R190</f>
        <v>0</v>
      </c>
      <c r="S191" s="267">
        <f>+'ต.ค. '!S190+พ.ย.!S190+ธ.ค.!S190</f>
        <v>0</v>
      </c>
      <c r="T191" s="267"/>
      <c r="U191" s="267">
        <f>+'ต.ค. '!U190+พ.ย.!U190+ธ.ค.!U190</f>
        <v>0</v>
      </c>
      <c r="V191" s="267">
        <f>+'ต.ค. '!V190+พ.ย.!V190+ธ.ค.!V190</f>
        <v>0</v>
      </c>
    </row>
    <row r="192" spans="1:23" ht="25.5" customHeight="1">
      <c r="A192" s="9"/>
      <c r="B192" s="130" t="s">
        <v>46</v>
      </c>
      <c r="C192" s="216">
        <v>80000</v>
      </c>
      <c r="D192" s="195"/>
      <c r="E192" s="267">
        <f>+'ต.ค. '!E191+พ.ย.!E191+ธ.ค.!E191</f>
        <v>0</v>
      </c>
      <c r="F192" s="267">
        <f>+'ต.ค. '!F191+พ.ย.!F191+ธ.ค.!F191</f>
        <v>0</v>
      </c>
      <c r="G192" s="267">
        <f>+'ต.ค. '!G191+พ.ย.!G191+ธ.ค.!G191</f>
        <v>0</v>
      </c>
      <c r="H192" s="267">
        <f>+'ต.ค. '!H191+พ.ย.!H191+ธ.ค.!H191</f>
        <v>0</v>
      </c>
      <c r="I192" s="267">
        <f>+'ต.ค. '!I191+พ.ย.!I191+ธ.ค.!I191</f>
        <v>0</v>
      </c>
      <c r="J192" s="267">
        <f>+'ต.ค. '!J191+พ.ย.!J191+ธ.ค.!J191</f>
        <v>0</v>
      </c>
      <c r="K192" s="267">
        <f>+'ต.ค. '!K191+พ.ย.!K191+ธ.ค.!K191</f>
        <v>0</v>
      </c>
      <c r="L192" s="267">
        <f>+'ต.ค. '!L191+พ.ย.!L191+ธ.ค.!L191</f>
        <v>0</v>
      </c>
      <c r="M192" s="267">
        <f>+'ต.ค. '!M191+พ.ย.!M191+ธ.ค.!M191</f>
        <v>0</v>
      </c>
      <c r="N192" s="267">
        <f>+'ต.ค. '!N191+พ.ย.!N191+ธ.ค.!N191</f>
        <v>0</v>
      </c>
      <c r="O192" s="267">
        <f>+'ต.ค. '!O191+พ.ย.!O191+ธ.ค.!O191</f>
        <v>0</v>
      </c>
      <c r="P192" s="267">
        <f>+'ต.ค. '!P191+พ.ย.!P191+ธ.ค.!P191</f>
        <v>0</v>
      </c>
      <c r="Q192" s="267">
        <f>+'ต.ค. '!Q191+พ.ย.!Q191+ธ.ค.!Q191</f>
        <v>0</v>
      </c>
      <c r="R192" s="267">
        <f>+'ต.ค. '!R191+พ.ย.!R191+ธ.ค.!R191</f>
        <v>0</v>
      </c>
      <c r="S192" s="267">
        <f>+'ต.ค. '!S191+พ.ย.!S191+ธ.ค.!S191</f>
        <v>0</v>
      </c>
      <c r="T192" s="267"/>
      <c r="U192" s="267">
        <f>+'ต.ค. '!U191+พ.ย.!U191+ธ.ค.!U191</f>
        <v>0</v>
      </c>
      <c r="V192" s="267">
        <f>+'ต.ค. '!V191+พ.ย.!V191+ธ.ค.!V191</f>
        <v>0</v>
      </c>
    </row>
    <row r="193" spans="1:23" ht="25.5" customHeight="1">
      <c r="A193" s="9"/>
      <c r="B193" s="130" t="s">
        <v>316</v>
      </c>
      <c r="C193" s="216">
        <f>413900+525039+277849</f>
        <v>1216788</v>
      </c>
      <c r="D193" s="131"/>
      <c r="E193" s="267">
        <f>+'ต.ค. '!E192+พ.ย.!E192+ธ.ค.!E192</f>
        <v>0</v>
      </c>
      <c r="F193" s="267">
        <f>+'ต.ค. '!F192+พ.ย.!F192+ธ.ค.!F192</f>
        <v>0</v>
      </c>
      <c r="G193" s="267">
        <f>+'ต.ค. '!G192+พ.ย.!G192+ธ.ค.!G192</f>
        <v>0</v>
      </c>
      <c r="H193" s="267">
        <f>+'ต.ค. '!H192+พ.ย.!H192+ธ.ค.!H192</f>
        <v>0</v>
      </c>
      <c r="I193" s="267">
        <f>+'ต.ค. '!I192+พ.ย.!I192+ธ.ค.!I192</f>
        <v>0</v>
      </c>
      <c r="J193" s="267">
        <f>+'ต.ค. '!J192+พ.ย.!J192+ธ.ค.!J192</f>
        <v>0</v>
      </c>
      <c r="K193" s="267">
        <f>+'ต.ค. '!K192+พ.ย.!K192+ธ.ค.!K192</f>
        <v>0</v>
      </c>
      <c r="L193" s="267">
        <f>+'ต.ค. '!L192+พ.ย.!L192+ธ.ค.!L192</f>
        <v>0</v>
      </c>
      <c r="M193" s="267">
        <f>+'ต.ค. '!M192+พ.ย.!M192+ธ.ค.!M192</f>
        <v>0</v>
      </c>
      <c r="N193" s="267">
        <f>+'ต.ค. '!N192+พ.ย.!N192+ธ.ค.!N192</f>
        <v>0</v>
      </c>
      <c r="O193" s="267">
        <f>+'ต.ค. '!O192+พ.ย.!O192+ธ.ค.!O192</f>
        <v>0</v>
      </c>
      <c r="P193" s="267">
        <f>+'ต.ค. '!P192+พ.ย.!P192+ธ.ค.!P192</f>
        <v>0</v>
      </c>
      <c r="Q193" s="267">
        <f>+'ต.ค. '!Q192+พ.ย.!Q192+ธ.ค.!Q192</f>
        <v>0</v>
      </c>
      <c r="R193" s="267">
        <f>+'ต.ค. '!R192+พ.ย.!R192+ธ.ค.!R192</f>
        <v>0</v>
      </c>
      <c r="S193" s="267">
        <f>+'ต.ค. '!S192+พ.ย.!S192+ธ.ค.!S192</f>
        <v>0</v>
      </c>
      <c r="T193" s="267"/>
      <c r="U193" s="267">
        <f>+'ต.ค. '!U192+พ.ย.!U192+ธ.ค.!U192</f>
        <v>0</v>
      </c>
      <c r="V193" s="267">
        <f>+'ต.ค. '!V192+พ.ย.!V192+ธ.ค.!V192</f>
        <v>0</v>
      </c>
    </row>
    <row r="194" spans="1:23" ht="25.5" customHeight="1">
      <c r="A194" s="9"/>
      <c r="B194" s="130" t="s">
        <v>317</v>
      </c>
      <c r="C194" s="290"/>
      <c r="D194" s="133"/>
      <c r="E194" s="267">
        <f>+'ต.ค. '!E193+พ.ย.!E193+ธ.ค.!E193</f>
        <v>0</v>
      </c>
      <c r="F194" s="267">
        <f>+'ต.ค. '!F193+พ.ย.!F193+ธ.ค.!F193</f>
        <v>0</v>
      </c>
      <c r="G194" s="267">
        <f>+'ต.ค. '!G193+พ.ย.!G193+ธ.ค.!G193</f>
        <v>0</v>
      </c>
      <c r="H194" s="267">
        <f>+'ต.ค. '!H193+พ.ย.!H193+ธ.ค.!H193</f>
        <v>0</v>
      </c>
      <c r="I194" s="267">
        <f>+'ต.ค. '!I193+พ.ย.!I193+ธ.ค.!I193</f>
        <v>0</v>
      </c>
      <c r="J194" s="267">
        <f>+'ต.ค. '!J193+พ.ย.!J193+ธ.ค.!J193</f>
        <v>0</v>
      </c>
      <c r="K194" s="267">
        <f>+'ต.ค. '!K193+พ.ย.!K193+ธ.ค.!K193</f>
        <v>0</v>
      </c>
      <c r="L194" s="267">
        <f>+'ต.ค. '!L193+พ.ย.!L193+ธ.ค.!L193</f>
        <v>0</v>
      </c>
      <c r="M194" s="267">
        <f>+'ต.ค. '!M193+พ.ย.!M193+ธ.ค.!M193</f>
        <v>0</v>
      </c>
      <c r="N194" s="267">
        <f>+'ต.ค. '!N193+พ.ย.!N193+ธ.ค.!N193</f>
        <v>0</v>
      </c>
      <c r="O194" s="267">
        <f>+'ต.ค. '!O193+พ.ย.!O193+ธ.ค.!O193</f>
        <v>0</v>
      </c>
      <c r="P194" s="267">
        <f>+'ต.ค. '!P193+พ.ย.!P193+ธ.ค.!P193</f>
        <v>0</v>
      </c>
      <c r="Q194" s="267">
        <f>+'ต.ค. '!Q193+พ.ย.!Q193+ธ.ค.!Q193</f>
        <v>0</v>
      </c>
      <c r="R194" s="267">
        <f>+'ต.ค. '!R193+พ.ย.!R193+ธ.ค.!R193</f>
        <v>0</v>
      </c>
      <c r="S194" s="267">
        <f>+'ต.ค. '!S193+พ.ย.!S193+ธ.ค.!S193</f>
        <v>0</v>
      </c>
      <c r="T194" s="267"/>
      <c r="U194" s="267">
        <f>+'ต.ค. '!U193+พ.ย.!U193+ธ.ค.!U193</f>
        <v>0</v>
      </c>
      <c r="V194" s="267">
        <f>+'ต.ค. '!V193+พ.ย.!V193+ธ.ค.!V193</f>
        <v>0</v>
      </c>
    </row>
    <row r="195" spans="1:23" ht="25.5" customHeight="1">
      <c r="A195" s="9"/>
      <c r="B195" s="130" t="s">
        <v>318</v>
      </c>
      <c r="C195" s="216"/>
      <c r="D195" s="133"/>
      <c r="E195" s="267">
        <f>+'ต.ค. '!E194+พ.ย.!E194+ธ.ค.!E194</f>
        <v>0</v>
      </c>
      <c r="F195" s="267">
        <f>+'ต.ค. '!F194+พ.ย.!F194+ธ.ค.!F194</f>
        <v>0</v>
      </c>
      <c r="G195" s="267">
        <f>+'ต.ค. '!G194+พ.ย.!G194+ธ.ค.!G194</f>
        <v>0</v>
      </c>
      <c r="H195" s="267">
        <f>+'ต.ค. '!H194+พ.ย.!H194+ธ.ค.!H194</f>
        <v>0</v>
      </c>
      <c r="I195" s="324">
        <f>+'ต.ค. '!I194+พ.ย.!I194+ธ.ค.!I194</f>
        <v>-8000</v>
      </c>
      <c r="J195" s="267">
        <f>+'ต.ค. '!J194+พ.ย.!J194+ธ.ค.!J194</f>
        <v>0</v>
      </c>
      <c r="K195" s="267">
        <f>+'ต.ค. '!K194+พ.ย.!K194+ธ.ค.!K194</f>
        <v>0</v>
      </c>
      <c r="L195" s="267">
        <f>+'ต.ค. '!L194+พ.ย.!L194+ธ.ค.!L194</f>
        <v>0</v>
      </c>
      <c r="M195" s="267">
        <f>+'ต.ค. '!M194+พ.ย.!M194+ธ.ค.!M194</f>
        <v>0</v>
      </c>
      <c r="N195" s="267">
        <f>+'ต.ค. '!N194+พ.ย.!N194+ธ.ค.!N194</f>
        <v>0</v>
      </c>
      <c r="O195" s="267">
        <f>+'ต.ค. '!O194+พ.ย.!O194+ธ.ค.!O194</f>
        <v>0</v>
      </c>
      <c r="P195" s="267">
        <f>+'ต.ค. '!P194+พ.ย.!P194+ธ.ค.!P194</f>
        <v>0</v>
      </c>
      <c r="Q195" s="267">
        <f>+'ต.ค. '!Q194+พ.ย.!Q194+ธ.ค.!Q194</f>
        <v>0</v>
      </c>
      <c r="R195" s="267">
        <f>+'ต.ค. '!R194+พ.ย.!R194+ธ.ค.!R194</f>
        <v>0</v>
      </c>
      <c r="S195" s="267">
        <f>+'ต.ค. '!S194+พ.ย.!S194+ธ.ค.!S194</f>
        <v>0</v>
      </c>
      <c r="T195" s="267"/>
      <c r="U195" s="267">
        <f>+'ต.ค. '!U194+พ.ย.!U194+ธ.ค.!U194</f>
        <v>0</v>
      </c>
      <c r="V195" s="267">
        <f>+'ต.ค. '!V194+พ.ย.!V194+ธ.ค.!V194</f>
        <v>0</v>
      </c>
    </row>
    <row r="196" spans="1:23" ht="25.5" customHeight="1">
      <c r="A196" s="9"/>
      <c r="B196" s="185" t="s">
        <v>319</v>
      </c>
      <c r="C196" s="216">
        <v>153296</v>
      </c>
      <c r="D196" s="133"/>
      <c r="E196" s="267">
        <f>+'ต.ค. '!E195+พ.ย.!E195+ธ.ค.!E195</f>
        <v>0</v>
      </c>
      <c r="F196" s="267">
        <f>+'ต.ค. '!F195+พ.ย.!F195+ธ.ค.!F195</f>
        <v>0</v>
      </c>
      <c r="G196" s="267">
        <f>+'ต.ค. '!G195+พ.ย.!G195+ธ.ค.!G195</f>
        <v>0</v>
      </c>
      <c r="H196" s="267">
        <f>+'ต.ค. '!H195+พ.ย.!H195+ธ.ค.!H195</f>
        <v>0</v>
      </c>
      <c r="I196" s="267">
        <f>+'ต.ค. '!I195+พ.ย.!I195+ธ.ค.!I195</f>
        <v>0</v>
      </c>
      <c r="J196" s="267">
        <f>+'ต.ค. '!J195+พ.ย.!J195+ธ.ค.!J195</f>
        <v>0</v>
      </c>
      <c r="K196" s="267">
        <f>+'ต.ค. '!K195+พ.ย.!K195+ธ.ค.!K195</f>
        <v>0</v>
      </c>
      <c r="L196" s="267">
        <f>+'ต.ค. '!L195+พ.ย.!L195+ธ.ค.!L195</f>
        <v>0</v>
      </c>
      <c r="M196" s="267">
        <f>+'ต.ค. '!M195+พ.ย.!M195+ธ.ค.!M195</f>
        <v>0</v>
      </c>
      <c r="N196" s="267">
        <f>+'ต.ค. '!N195+พ.ย.!N195+ธ.ค.!N195</f>
        <v>0</v>
      </c>
      <c r="O196" s="267">
        <f>+'ต.ค. '!O195+พ.ย.!O195+ธ.ค.!O195</f>
        <v>0</v>
      </c>
      <c r="P196" s="267">
        <f>+'ต.ค. '!P195+พ.ย.!P195+ธ.ค.!P195</f>
        <v>0</v>
      </c>
      <c r="Q196" s="267">
        <f>+'ต.ค. '!Q195+พ.ย.!Q195+ธ.ค.!Q195</f>
        <v>0</v>
      </c>
      <c r="R196" s="267">
        <f>+'ต.ค. '!R195+พ.ย.!R195+ธ.ค.!R195</f>
        <v>0</v>
      </c>
      <c r="S196" s="267">
        <f>+'ต.ค. '!S195+พ.ย.!S195+ธ.ค.!S195</f>
        <v>0</v>
      </c>
      <c r="T196" s="267"/>
      <c r="U196" s="267">
        <f>+'ต.ค. '!U195+พ.ย.!U195+ธ.ค.!U195</f>
        <v>0</v>
      </c>
      <c r="V196" s="267">
        <f>+'ต.ค. '!V195+พ.ย.!V195+ธ.ค.!V195</f>
        <v>0</v>
      </c>
    </row>
    <row r="197" spans="1:23" ht="25.5" customHeight="1">
      <c r="A197" s="9"/>
      <c r="B197" s="185" t="s">
        <v>320</v>
      </c>
      <c r="C197" s="216">
        <v>78565</v>
      </c>
      <c r="D197" s="133"/>
      <c r="E197" s="267">
        <f>+'ต.ค. '!E196+พ.ย.!E196+ธ.ค.!E196</f>
        <v>0</v>
      </c>
      <c r="F197" s="267">
        <f>+'ต.ค. '!F196+พ.ย.!F196+ธ.ค.!F196</f>
        <v>0</v>
      </c>
      <c r="G197" s="267">
        <f>+'ต.ค. '!G196+พ.ย.!G196+ธ.ค.!G196</f>
        <v>0</v>
      </c>
      <c r="H197" s="267">
        <f>+'ต.ค. '!H196+พ.ย.!H196+ธ.ค.!H196</f>
        <v>0</v>
      </c>
      <c r="I197" s="267">
        <f>+'ต.ค. '!I196+พ.ย.!I196+ธ.ค.!I196</f>
        <v>0</v>
      </c>
      <c r="J197" s="267">
        <f>+'ต.ค. '!J196+พ.ย.!J196+ธ.ค.!J196</f>
        <v>0</v>
      </c>
      <c r="K197" s="267">
        <f>+'ต.ค. '!K196+พ.ย.!K196+ธ.ค.!K196</f>
        <v>0</v>
      </c>
      <c r="L197" s="267">
        <f>+'ต.ค. '!L196+พ.ย.!L196+ธ.ค.!L196</f>
        <v>0</v>
      </c>
      <c r="M197" s="267">
        <f>+'ต.ค. '!M196+พ.ย.!M196+ธ.ค.!M196</f>
        <v>0</v>
      </c>
      <c r="N197" s="267">
        <f>+'ต.ค. '!N196+พ.ย.!N196+ธ.ค.!N196</f>
        <v>0</v>
      </c>
      <c r="O197" s="267">
        <f>+'ต.ค. '!O196+พ.ย.!O196+ธ.ค.!O196</f>
        <v>0</v>
      </c>
      <c r="P197" s="267">
        <f>+'ต.ค. '!P196+พ.ย.!P196+ธ.ค.!P196</f>
        <v>0</v>
      </c>
      <c r="Q197" s="267">
        <f>+'ต.ค. '!Q196+พ.ย.!Q196+ธ.ค.!Q196</f>
        <v>0</v>
      </c>
      <c r="R197" s="267">
        <f>+'ต.ค. '!R196+พ.ย.!R196+ธ.ค.!R196</f>
        <v>0</v>
      </c>
      <c r="S197" s="267">
        <f>+'ต.ค. '!S196+พ.ย.!S196+ธ.ค.!S196</f>
        <v>0</v>
      </c>
      <c r="T197" s="267"/>
      <c r="U197" s="267">
        <f>+'ต.ค. '!U196+พ.ย.!U196+ธ.ค.!U196</f>
        <v>0</v>
      </c>
      <c r="V197" s="267">
        <f>+'ต.ค. '!V196+พ.ย.!V196+ธ.ค.!V196</f>
        <v>0</v>
      </c>
    </row>
    <row r="198" spans="1:23" ht="25.5" customHeight="1">
      <c r="A198" s="9"/>
      <c r="B198" s="185" t="s">
        <v>321</v>
      </c>
      <c r="C198" s="216">
        <v>90062</v>
      </c>
      <c r="D198" s="133"/>
      <c r="E198" s="267">
        <f>+'ต.ค. '!E197+พ.ย.!E197+ธ.ค.!E197</f>
        <v>0</v>
      </c>
      <c r="F198" s="267">
        <f>+'ต.ค. '!F197+พ.ย.!F197+ธ.ค.!F197</f>
        <v>0</v>
      </c>
      <c r="G198" s="267">
        <f>+'ต.ค. '!G197+พ.ย.!G197+ธ.ค.!G197</f>
        <v>0</v>
      </c>
      <c r="H198" s="267">
        <f>+'ต.ค. '!H197+พ.ย.!H197+ธ.ค.!H197</f>
        <v>0</v>
      </c>
      <c r="I198" s="267">
        <f>+'ต.ค. '!I197+พ.ย.!I197+ธ.ค.!I197</f>
        <v>0</v>
      </c>
      <c r="J198" s="267">
        <f>+'ต.ค. '!J197+พ.ย.!J197+ธ.ค.!J197</f>
        <v>0</v>
      </c>
      <c r="K198" s="267">
        <f>+'ต.ค. '!K197+พ.ย.!K197+ธ.ค.!K197</f>
        <v>0</v>
      </c>
      <c r="L198" s="267">
        <f>+'ต.ค. '!L197+พ.ย.!L197+ธ.ค.!L197</f>
        <v>0</v>
      </c>
      <c r="M198" s="267">
        <f>+'ต.ค. '!M197+พ.ย.!M197+ธ.ค.!M197</f>
        <v>0</v>
      </c>
      <c r="N198" s="267">
        <f>+'ต.ค. '!N197+พ.ย.!N197+ธ.ค.!N197</f>
        <v>0</v>
      </c>
      <c r="O198" s="267">
        <f>+'ต.ค. '!O197+พ.ย.!O197+ธ.ค.!O197</f>
        <v>0</v>
      </c>
      <c r="P198" s="267">
        <f>+'ต.ค. '!P197+พ.ย.!P197+ธ.ค.!P197</f>
        <v>0</v>
      </c>
      <c r="Q198" s="267">
        <f>+'ต.ค. '!Q197+พ.ย.!Q197+ธ.ค.!Q197</f>
        <v>0</v>
      </c>
      <c r="R198" s="267">
        <f>+'ต.ค. '!R197+พ.ย.!R197+ธ.ค.!R197</f>
        <v>0</v>
      </c>
      <c r="S198" s="267">
        <f>+'ต.ค. '!S197+พ.ย.!S197+ธ.ค.!S197</f>
        <v>0</v>
      </c>
      <c r="T198" s="267"/>
      <c r="U198" s="267">
        <f>+'ต.ค. '!U197+พ.ย.!U197+ธ.ค.!U197</f>
        <v>0</v>
      </c>
      <c r="V198" s="267">
        <f>+'ต.ค. '!V197+พ.ย.!V197+ธ.ค.!V197</f>
        <v>0</v>
      </c>
    </row>
    <row r="199" spans="1:23" ht="25.5" customHeight="1">
      <c r="A199" s="165"/>
      <c r="B199" s="185" t="s">
        <v>322</v>
      </c>
      <c r="C199" s="216">
        <v>67067</v>
      </c>
      <c r="D199" s="133"/>
      <c r="E199" s="267">
        <f>+'ต.ค. '!E198+พ.ย.!E198+ธ.ค.!E198</f>
        <v>0</v>
      </c>
      <c r="F199" s="267">
        <f>+'ต.ค. '!F198+พ.ย.!F198+ธ.ค.!F198</f>
        <v>0</v>
      </c>
      <c r="G199" s="267">
        <f>+'ต.ค. '!G198+พ.ย.!G198+ธ.ค.!G198</f>
        <v>0</v>
      </c>
      <c r="H199" s="267">
        <f>+'ต.ค. '!H198+พ.ย.!H198+ธ.ค.!H198</f>
        <v>0</v>
      </c>
      <c r="I199" s="267">
        <f>+'ต.ค. '!I198+พ.ย.!I198+ธ.ค.!I198</f>
        <v>0</v>
      </c>
      <c r="J199" s="267">
        <f>+'ต.ค. '!J198+พ.ย.!J198+ธ.ค.!J198</f>
        <v>0</v>
      </c>
      <c r="K199" s="267">
        <f>+'ต.ค. '!K198+พ.ย.!K198+ธ.ค.!K198</f>
        <v>0</v>
      </c>
      <c r="L199" s="267">
        <f>+'ต.ค. '!L198+พ.ย.!L198+ธ.ค.!L198</f>
        <v>0</v>
      </c>
      <c r="M199" s="267">
        <f>+'ต.ค. '!M198+พ.ย.!M198+ธ.ค.!M198</f>
        <v>0</v>
      </c>
      <c r="N199" s="267">
        <f>+'ต.ค. '!N198+พ.ย.!N198+ธ.ค.!N198</f>
        <v>0</v>
      </c>
      <c r="O199" s="267">
        <f>+'ต.ค. '!O198+พ.ย.!O198+ธ.ค.!O198</f>
        <v>0</v>
      </c>
      <c r="P199" s="267">
        <f>+'ต.ค. '!P198+พ.ย.!P198+ธ.ค.!P198</f>
        <v>0</v>
      </c>
      <c r="Q199" s="267">
        <f>+'ต.ค. '!Q198+พ.ย.!Q198+ธ.ค.!Q198</f>
        <v>0</v>
      </c>
      <c r="R199" s="267">
        <f>+'ต.ค. '!R198+พ.ย.!R198+ธ.ค.!R198</f>
        <v>0</v>
      </c>
      <c r="S199" s="267">
        <f>+'ต.ค. '!S198+พ.ย.!S198+ธ.ค.!S198</f>
        <v>0</v>
      </c>
      <c r="T199" s="267"/>
      <c r="U199" s="267">
        <f>+'ต.ค. '!U198+พ.ย.!U198+ธ.ค.!U198</f>
        <v>0</v>
      </c>
      <c r="V199" s="267">
        <f>+'ต.ค. '!V198+พ.ย.!V198+ธ.ค.!V198</f>
        <v>0</v>
      </c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85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9"/>
      <c r="B202" s="185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>
      <c r="A203" s="9"/>
      <c r="B203" s="130"/>
      <c r="C203" s="216"/>
      <c r="D203" s="133"/>
      <c r="E203" s="269"/>
      <c r="F203" s="136"/>
      <c r="G203" s="136"/>
      <c r="H203" s="136"/>
      <c r="I203" s="133"/>
      <c r="J203" s="133"/>
      <c r="K203" s="133"/>
      <c r="L203" s="133"/>
      <c r="M203" s="136"/>
      <c r="N203" s="133"/>
      <c r="O203" s="133"/>
      <c r="P203" s="133"/>
      <c r="Q203" s="133"/>
      <c r="R203" s="217"/>
      <c r="S203" s="219"/>
      <c r="T203" s="219"/>
      <c r="U203" s="217"/>
      <c r="V203" s="217"/>
    </row>
    <row r="204" spans="1:23" ht="25.5" customHeight="1">
      <c r="A204" s="197"/>
      <c r="B204" s="198"/>
      <c r="C204" s="216"/>
      <c r="D204" s="133"/>
      <c r="E204" s="269"/>
      <c r="F204" s="136"/>
      <c r="G204" s="136"/>
      <c r="H204" s="136"/>
      <c r="I204" s="133"/>
      <c r="J204" s="133"/>
      <c r="K204" s="133"/>
      <c r="L204" s="133"/>
      <c r="M204" s="136"/>
      <c r="N204" s="133"/>
      <c r="O204" s="133"/>
      <c r="P204" s="133"/>
      <c r="Q204" s="133"/>
      <c r="R204" s="217"/>
      <c r="S204" s="219"/>
      <c r="T204" s="219"/>
      <c r="U204" s="217"/>
      <c r="V204" s="217"/>
    </row>
    <row r="205" spans="1:23" ht="25.5" customHeight="1" thickBot="1">
      <c r="A205" s="46"/>
      <c r="B205" s="47" t="s">
        <v>5</v>
      </c>
      <c r="C205" s="170">
        <f>SUM(C179:C204)</f>
        <v>2563778</v>
      </c>
      <c r="D205" s="255">
        <f>SUM(D179:D204)</f>
        <v>0</v>
      </c>
      <c r="E205" s="254">
        <f>SUM(E179:E204)</f>
        <v>47881</v>
      </c>
      <c r="F205" s="254">
        <f>SUM(F179:F204)</f>
        <v>11441</v>
      </c>
      <c r="G205" s="255">
        <f t="shared" ref="G205:V205" si="5">SUM(G179:G204)</f>
        <v>0</v>
      </c>
      <c r="H205" s="254">
        <f>SUM(H179:H204)</f>
        <v>15193</v>
      </c>
      <c r="I205" s="325">
        <f t="shared" si="5"/>
        <v>-8000</v>
      </c>
      <c r="J205" s="255">
        <f t="shared" si="5"/>
        <v>0</v>
      </c>
      <c r="K205" s="255">
        <f t="shared" si="5"/>
        <v>0</v>
      </c>
      <c r="L205" s="255">
        <f t="shared" si="5"/>
        <v>0</v>
      </c>
      <c r="M205" s="254">
        <f>SUM(M179:M204)</f>
        <v>32146.5</v>
      </c>
      <c r="N205" s="255">
        <f t="shared" si="5"/>
        <v>0</v>
      </c>
      <c r="O205" s="255">
        <f t="shared" si="5"/>
        <v>0</v>
      </c>
      <c r="P205" s="255">
        <f t="shared" si="5"/>
        <v>0</v>
      </c>
      <c r="Q205" s="255">
        <f t="shared" si="5"/>
        <v>0</v>
      </c>
      <c r="R205" s="255">
        <f t="shared" si="5"/>
        <v>0</v>
      </c>
      <c r="S205" s="255">
        <f t="shared" si="5"/>
        <v>0</v>
      </c>
      <c r="T205" s="255"/>
      <c r="U205" s="255">
        <f t="shared" si="5"/>
        <v>0</v>
      </c>
      <c r="V205" s="255">
        <f t="shared" si="5"/>
        <v>0</v>
      </c>
      <c r="W205" s="314">
        <f>SUM(D205:V205)</f>
        <v>98661.5</v>
      </c>
    </row>
    <row r="206" spans="1:23" ht="25.5" customHeight="1" thickTop="1">
      <c r="A206" s="5" t="s">
        <v>114</v>
      </c>
      <c r="B206" s="6"/>
      <c r="C206" s="190"/>
      <c r="D206" s="133"/>
      <c r="E206" s="269"/>
      <c r="F206" s="136"/>
      <c r="G206" s="136"/>
      <c r="H206" s="136"/>
      <c r="I206" s="133"/>
      <c r="J206" s="133"/>
      <c r="K206" s="133"/>
      <c r="L206" s="133"/>
      <c r="M206" s="136"/>
      <c r="N206" s="133"/>
      <c r="O206" s="133"/>
      <c r="P206" s="133"/>
      <c r="Q206" s="133"/>
      <c r="R206" s="258"/>
      <c r="S206" s="259"/>
      <c r="T206" s="259"/>
      <c r="U206" s="258"/>
      <c r="V206" s="258"/>
    </row>
    <row r="207" spans="1:23" ht="25.5" customHeight="1">
      <c r="A207" s="9"/>
      <c r="B207" s="130" t="s">
        <v>20</v>
      </c>
      <c r="C207" s="216">
        <f>240000+35000</f>
        <v>275000</v>
      </c>
      <c r="D207" s="261"/>
      <c r="E207" s="269">
        <f>+'ต.ค. '!E206+พ.ย.!E206+ธ.ค.!E206</f>
        <v>40182.54</v>
      </c>
      <c r="F207" s="269">
        <f>+'ต.ค. '!F206+พ.ย.!F206+ธ.ค.!F206</f>
        <v>0</v>
      </c>
      <c r="G207" s="269">
        <f>+'ต.ค. '!G206+พ.ย.!G206+ธ.ค.!G206</f>
        <v>0</v>
      </c>
      <c r="H207" s="269">
        <f>+'ต.ค. '!H206+พ.ย.!H206+ธ.ค.!H206</f>
        <v>6604.67</v>
      </c>
      <c r="I207" s="269">
        <f>+'ต.ค. '!I206+พ.ย.!I206+ธ.ค.!I206</f>
        <v>0</v>
      </c>
      <c r="J207" s="269">
        <f>+'ต.ค. '!J206+พ.ย.!J206+ธ.ค.!J206</f>
        <v>0</v>
      </c>
      <c r="K207" s="269">
        <f>+'ต.ค. '!K206+พ.ย.!K206+ธ.ค.!K206</f>
        <v>0</v>
      </c>
      <c r="L207" s="269">
        <f>+'ต.ค. '!L206+พ.ย.!L206+ธ.ค.!L206</f>
        <v>0</v>
      </c>
      <c r="M207" s="269">
        <f>+'ต.ค. '!M206+พ.ย.!M206+ธ.ค.!M206</f>
        <v>0</v>
      </c>
      <c r="N207" s="269">
        <f>+'ต.ค. '!N206+พ.ย.!N206+ธ.ค.!N206</f>
        <v>0</v>
      </c>
      <c r="O207" s="269">
        <f>+'ต.ค. '!O206+พ.ย.!O206+ธ.ค.!O206</f>
        <v>0</v>
      </c>
      <c r="P207" s="269">
        <f>+'ต.ค. '!P206+พ.ย.!P206+ธ.ค.!P206</f>
        <v>0</v>
      </c>
      <c r="Q207" s="269">
        <f>+'ต.ค. '!Q206+พ.ย.!Q206+ธ.ค.!Q206</f>
        <v>0</v>
      </c>
      <c r="R207" s="269">
        <f>+'ต.ค. '!R206+พ.ย.!R206+ธ.ค.!R206</f>
        <v>0</v>
      </c>
      <c r="S207" s="269">
        <f>+'ต.ค. '!S206+พ.ย.!S206+ธ.ค.!S206</f>
        <v>0</v>
      </c>
      <c r="T207" s="269"/>
      <c r="U207" s="269">
        <f>+'ต.ค. '!U206+พ.ย.!U206+ธ.ค.!U206</f>
        <v>0</v>
      </c>
      <c r="V207" s="269">
        <f>+'ต.ค. '!V206+พ.ย.!V206+ธ.ค.!V206</f>
        <v>0</v>
      </c>
    </row>
    <row r="208" spans="1:23" ht="25.5" customHeight="1">
      <c r="A208" s="9"/>
      <c r="B208" s="130" t="s">
        <v>283</v>
      </c>
      <c r="C208" s="216">
        <f>100000+12000</f>
        <v>112000</v>
      </c>
      <c r="D208" s="261"/>
      <c r="E208" s="269">
        <f>+'ต.ค. '!E207+พ.ย.!E207+ธ.ค.!E207</f>
        <v>12013.61</v>
      </c>
      <c r="F208" s="269">
        <f>+'ต.ค. '!F207+พ.ย.!F207+ธ.ค.!F207</f>
        <v>0</v>
      </c>
      <c r="G208" s="269">
        <f>+'ต.ค. '!G207+พ.ย.!G207+ธ.ค.!G207</f>
        <v>0</v>
      </c>
      <c r="H208" s="269">
        <f>+'ต.ค. '!H207+พ.ย.!H207+ธ.ค.!H207</f>
        <v>3000</v>
      </c>
      <c r="I208" s="269">
        <f>+'ต.ค. '!I207+พ.ย.!I207+ธ.ค.!I207</f>
        <v>0</v>
      </c>
      <c r="J208" s="269">
        <f>+'ต.ค. '!J207+พ.ย.!J207+ธ.ค.!J207</f>
        <v>0</v>
      </c>
      <c r="K208" s="269">
        <f>+'ต.ค. '!K207+พ.ย.!K207+ธ.ค.!K207</f>
        <v>0</v>
      </c>
      <c r="L208" s="269">
        <f>+'ต.ค. '!L207+พ.ย.!L207+ธ.ค.!L207</f>
        <v>0</v>
      </c>
      <c r="M208" s="269">
        <f>+'ต.ค. '!M207+พ.ย.!M207+ธ.ค.!M207</f>
        <v>0</v>
      </c>
      <c r="N208" s="269">
        <f>+'ต.ค. '!N207+พ.ย.!N207+ธ.ค.!N207</f>
        <v>0</v>
      </c>
      <c r="O208" s="269">
        <f>+'ต.ค. '!O207+พ.ย.!O207+ธ.ค.!O207</f>
        <v>0</v>
      </c>
      <c r="P208" s="269">
        <f>+'ต.ค. '!P207+พ.ย.!P207+ธ.ค.!P207</f>
        <v>0</v>
      </c>
      <c r="Q208" s="269">
        <f>+'ต.ค. '!Q207+พ.ย.!Q207+ธ.ค.!Q207</f>
        <v>0</v>
      </c>
      <c r="R208" s="269">
        <f>+'ต.ค. '!R207+พ.ย.!R207+ธ.ค.!R207</f>
        <v>0</v>
      </c>
      <c r="S208" s="269">
        <f>+'ต.ค. '!S207+พ.ย.!S207+ธ.ค.!S207</f>
        <v>0</v>
      </c>
      <c r="T208" s="269"/>
      <c r="U208" s="269">
        <f>+'ต.ค. '!U207+พ.ย.!U207+ธ.ค.!U207</f>
        <v>0</v>
      </c>
      <c r="V208" s="269">
        <f>+'ต.ค. '!V207+พ.ย.!V207+ธ.ค.!V207</f>
        <v>0</v>
      </c>
    </row>
    <row r="209" spans="1:23" ht="25.5" customHeight="1">
      <c r="A209" s="9"/>
      <c r="B209" s="130" t="s">
        <v>284</v>
      </c>
      <c r="C209" s="216">
        <v>15000</v>
      </c>
      <c r="D209" s="131"/>
      <c r="E209" s="269">
        <f>+'ต.ค. '!E208+พ.ย.!E208+ธ.ค.!E208</f>
        <v>3685</v>
      </c>
      <c r="F209" s="269">
        <f>+'ต.ค. '!F208+พ.ย.!F208+ธ.ค.!F208</f>
        <v>0</v>
      </c>
      <c r="G209" s="269">
        <f>+'ต.ค. '!G208+พ.ย.!G208+ธ.ค.!G208</f>
        <v>0</v>
      </c>
      <c r="H209" s="269">
        <f>+'ต.ค. '!H208+พ.ย.!H208+ธ.ค.!H208</f>
        <v>0</v>
      </c>
      <c r="I209" s="269">
        <f>+'ต.ค. '!I208+พ.ย.!I208+ธ.ค.!I208</f>
        <v>0</v>
      </c>
      <c r="J209" s="269">
        <f>+'ต.ค. '!J208+พ.ย.!J208+ธ.ค.!J208</f>
        <v>0</v>
      </c>
      <c r="K209" s="269">
        <f>+'ต.ค. '!K208+พ.ย.!K208+ธ.ค.!K208</f>
        <v>0</v>
      </c>
      <c r="L209" s="269">
        <f>+'ต.ค. '!L208+พ.ย.!L208+ธ.ค.!L208</f>
        <v>0</v>
      </c>
      <c r="M209" s="269">
        <f>+'ต.ค. '!M208+พ.ย.!M208+ธ.ค.!M208</f>
        <v>0</v>
      </c>
      <c r="N209" s="269">
        <f>+'ต.ค. '!N208+พ.ย.!N208+ธ.ค.!N208</f>
        <v>0</v>
      </c>
      <c r="O209" s="269">
        <f>+'ต.ค. '!O208+พ.ย.!O208+ธ.ค.!O208</f>
        <v>0</v>
      </c>
      <c r="P209" s="269">
        <f>+'ต.ค. '!P208+พ.ย.!P208+ธ.ค.!P208</f>
        <v>0</v>
      </c>
      <c r="Q209" s="269">
        <f>+'ต.ค. '!Q208+พ.ย.!Q208+ธ.ค.!Q208</f>
        <v>0</v>
      </c>
      <c r="R209" s="269">
        <f>+'ต.ค. '!R208+พ.ย.!R208+ธ.ค.!R208</f>
        <v>0</v>
      </c>
      <c r="S209" s="269">
        <f>+'ต.ค. '!S208+พ.ย.!S208+ธ.ค.!S208</f>
        <v>0</v>
      </c>
      <c r="T209" s="269"/>
      <c r="U209" s="269">
        <f>+'ต.ค. '!U208+พ.ย.!U208+ธ.ค.!U208</f>
        <v>0</v>
      </c>
      <c r="V209" s="269">
        <f>+'ต.ค. '!V208+พ.ย.!V208+ธ.ค.!V208</f>
        <v>0</v>
      </c>
    </row>
    <row r="210" spans="1:23" ht="25.5" customHeight="1">
      <c r="A210" s="9"/>
      <c r="B210" s="130" t="s">
        <v>285</v>
      </c>
      <c r="C210" s="216">
        <f>72000+32000</f>
        <v>104000</v>
      </c>
      <c r="D210" s="131"/>
      <c r="E210" s="269">
        <f>+'ต.ค. '!E209+พ.ย.!E209+ธ.ค.!E209</f>
        <v>33785.25</v>
      </c>
      <c r="F210" s="269">
        <f>+'ต.ค. '!F209+พ.ย.!F209+ธ.ค.!F209</f>
        <v>0</v>
      </c>
      <c r="G210" s="269">
        <f>+'ต.ค. '!G209+พ.ย.!G209+ธ.ค.!G209</f>
        <v>0</v>
      </c>
      <c r="H210" s="269">
        <f>+'ต.ค. '!H209+พ.ย.!H209+ธ.ค.!H209</f>
        <v>7896.5999999999995</v>
      </c>
      <c r="I210" s="269">
        <f>+'ต.ค. '!I209+พ.ย.!I209+ธ.ค.!I209</f>
        <v>0</v>
      </c>
      <c r="J210" s="269">
        <f>+'ต.ค. '!J209+พ.ย.!J209+ธ.ค.!J209</f>
        <v>0</v>
      </c>
      <c r="K210" s="269">
        <f>+'ต.ค. '!K209+พ.ย.!K209+ธ.ค.!K209</f>
        <v>0</v>
      </c>
      <c r="L210" s="269">
        <f>+'ต.ค. '!L209+พ.ย.!L209+ธ.ค.!L209</f>
        <v>0</v>
      </c>
      <c r="M210" s="269">
        <f>+'ต.ค. '!M209+พ.ย.!M209+ธ.ค.!M209</f>
        <v>0</v>
      </c>
      <c r="N210" s="269">
        <f>+'ต.ค. '!N209+พ.ย.!N209+ธ.ค.!N209</f>
        <v>0</v>
      </c>
      <c r="O210" s="269">
        <f>+'ต.ค. '!O209+พ.ย.!O209+ธ.ค.!O209</f>
        <v>0</v>
      </c>
      <c r="P210" s="269">
        <f>+'ต.ค. '!P209+พ.ย.!P209+ธ.ค.!P209</f>
        <v>0</v>
      </c>
      <c r="Q210" s="269">
        <f>+'ต.ค. '!Q209+พ.ย.!Q209+ธ.ค.!Q209</f>
        <v>0</v>
      </c>
      <c r="R210" s="269">
        <f>+'ต.ค. '!R209+พ.ย.!R209+ธ.ค.!R209</f>
        <v>0</v>
      </c>
      <c r="S210" s="269">
        <f>+'ต.ค. '!S209+พ.ย.!S209+ธ.ค.!S209</f>
        <v>0</v>
      </c>
      <c r="T210" s="269"/>
      <c r="U210" s="269">
        <f>+'ต.ค. '!U209+พ.ย.!U209+ธ.ค.!U209</f>
        <v>0</v>
      </c>
      <c r="V210" s="269">
        <f>+'ต.ค. '!V209+พ.ย.!V209+ธ.ค.!V209</f>
        <v>0</v>
      </c>
    </row>
    <row r="211" spans="1:23" ht="25.5" customHeight="1" thickBot="1">
      <c r="A211" s="15"/>
      <c r="B211" s="14" t="s">
        <v>5</v>
      </c>
      <c r="C211" s="170">
        <f>SUM(C207:C210)</f>
        <v>506000</v>
      </c>
      <c r="D211" s="132"/>
      <c r="E211" s="268">
        <f>SUM(E207:E210)</f>
        <v>89666.4</v>
      </c>
      <c r="F211" s="137"/>
      <c r="G211" s="137"/>
      <c r="H211" s="137">
        <f>SUM(H207:H210)</f>
        <v>17501.27</v>
      </c>
      <c r="I211" s="132"/>
      <c r="J211" s="132"/>
      <c r="K211" s="132"/>
      <c r="L211" s="132"/>
      <c r="M211" s="137"/>
      <c r="N211" s="132"/>
      <c r="O211" s="132"/>
      <c r="P211" s="132"/>
      <c r="Q211" s="132"/>
      <c r="R211" s="307"/>
      <c r="S211" s="308"/>
      <c r="T211" s="308"/>
      <c r="U211" s="307"/>
      <c r="V211" s="307"/>
      <c r="W211" s="318">
        <f>SUM(D211:V211)</f>
        <v>107167.67</v>
      </c>
    </row>
    <row r="212" spans="1:23" ht="25.5" customHeight="1" thickTop="1">
      <c r="A212" s="3" t="s">
        <v>122</v>
      </c>
      <c r="B212" s="4"/>
      <c r="C212" s="287"/>
      <c r="D212" s="133"/>
      <c r="E212" s="305"/>
      <c r="F212" s="306"/>
      <c r="G212" s="306"/>
      <c r="H212" s="306"/>
      <c r="I212" s="133"/>
      <c r="J212" s="133"/>
      <c r="K212" s="133"/>
      <c r="L212" s="133"/>
      <c r="M212" s="136"/>
      <c r="N212" s="133"/>
      <c r="O212" s="133"/>
      <c r="P212" s="133"/>
      <c r="Q212" s="133"/>
      <c r="R212" s="258"/>
      <c r="S212" s="259"/>
      <c r="T212" s="259"/>
      <c r="U212" s="258"/>
      <c r="V212" s="258"/>
    </row>
    <row r="213" spans="1:23" ht="25.5" customHeight="1">
      <c r="A213" s="169"/>
      <c r="B213" s="185" t="s">
        <v>323</v>
      </c>
      <c r="C213" s="190">
        <v>864000</v>
      </c>
      <c r="D213" s="131"/>
      <c r="E213" s="267">
        <f>+'ต.ค. '!E212+พ.ย.!E212+ธ.ค.!E212</f>
        <v>0</v>
      </c>
      <c r="F213" s="267">
        <f>+'ต.ค. '!F212+พ.ย.!F212+ธ.ค.!F212</f>
        <v>0</v>
      </c>
      <c r="G213" s="267">
        <f>+'ต.ค. '!G212+พ.ย.!G212+ธ.ค.!G212</f>
        <v>0</v>
      </c>
      <c r="H213" s="267">
        <f>+'ต.ค. '!H212+พ.ย.!H212+ธ.ค.!H212</f>
        <v>0</v>
      </c>
      <c r="I213" s="267">
        <f>+'ต.ค. '!I212+พ.ย.!I212+ธ.ค.!I212</f>
        <v>216000</v>
      </c>
      <c r="J213" s="267">
        <f>+'ต.ค. '!J212+พ.ย.!J212+ธ.ค.!J212</f>
        <v>0</v>
      </c>
      <c r="K213" s="267">
        <f>+'ต.ค. '!K212+พ.ย.!K212+ธ.ค.!K212</f>
        <v>0</v>
      </c>
      <c r="L213" s="267">
        <f>+'ต.ค. '!L212+พ.ย.!L212+ธ.ค.!L212</f>
        <v>0</v>
      </c>
      <c r="M213" s="267">
        <f>+'ต.ค. '!M212+พ.ย.!M212+ธ.ค.!M212</f>
        <v>0</v>
      </c>
      <c r="N213" s="267">
        <f>+'ต.ค. '!N212+พ.ย.!N212+ธ.ค.!N212</f>
        <v>0</v>
      </c>
      <c r="O213" s="267">
        <f>+'ต.ค. '!O212+พ.ย.!O212+ธ.ค.!O212</f>
        <v>0</v>
      </c>
      <c r="P213" s="267">
        <f>+'ต.ค. '!P212+พ.ย.!P212+ธ.ค.!P212</f>
        <v>0</v>
      </c>
      <c r="Q213" s="267">
        <f>+'ต.ค. '!Q212+พ.ย.!Q212+ธ.ค.!Q212</f>
        <v>0</v>
      </c>
      <c r="R213" s="267">
        <f>+'ต.ค. '!R212+พ.ย.!R212+ธ.ค.!R212</f>
        <v>0</v>
      </c>
      <c r="S213" s="267">
        <f>+'ต.ค. '!S212+พ.ย.!S212+ธ.ค.!S212</f>
        <v>0</v>
      </c>
      <c r="T213" s="267"/>
      <c r="U213" s="267">
        <f>+'ต.ค. '!U212+พ.ย.!U212+ธ.ค.!U212</f>
        <v>0</v>
      </c>
      <c r="V213" s="267">
        <f>+'ต.ค. '!V212+พ.ย.!V212+ธ.ค.!V212</f>
        <v>0</v>
      </c>
    </row>
    <row r="214" spans="1:23" ht="25.5" customHeight="1">
      <c r="A214" s="169"/>
      <c r="B214" s="185" t="s">
        <v>324</v>
      </c>
      <c r="C214" s="190">
        <v>1096000</v>
      </c>
      <c r="D214" s="131"/>
      <c r="E214" s="267">
        <f>+'ต.ค. '!E213+พ.ย.!E213+ธ.ค.!E213</f>
        <v>0</v>
      </c>
      <c r="F214" s="267">
        <f>+'ต.ค. '!F213+พ.ย.!F213+ธ.ค.!F213</f>
        <v>0</v>
      </c>
      <c r="G214" s="267">
        <f>+'ต.ค. '!G213+พ.ย.!G213+ธ.ค.!G213</f>
        <v>0</v>
      </c>
      <c r="H214" s="267">
        <f>+'ต.ค. '!H213+พ.ย.!H213+ธ.ค.!H213</f>
        <v>0</v>
      </c>
      <c r="I214" s="267">
        <f>+'ต.ค. '!I213+พ.ย.!I213+ธ.ค.!I213</f>
        <v>274000</v>
      </c>
      <c r="J214" s="267">
        <f>+'ต.ค. '!J213+พ.ย.!J213+ธ.ค.!J213</f>
        <v>0</v>
      </c>
      <c r="K214" s="267">
        <f>+'ต.ค. '!K213+พ.ย.!K213+ธ.ค.!K213</f>
        <v>0</v>
      </c>
      <c r="L214" s="267">
        <f>+'ต.ค. '!L213+พ.ย.!L213+ธ.ค.!L213</f>
        <v>0</v>
      </c>
      <c r="M214" s="267">
        <f>+'ต.ค. '!M213+พ.ย.!M213+ธ.ค.!M213</f>
        <v>0</v>
      </c>
      <c r="N214" s="267">
        <f>+'ต.ค. '!N213+พ.ย.!N213+ธ.ค.!N213</f>
        <v>0</v>
      </c>
      <c r="O214" s="267">
        <f>+'ต.ค. '!O213+พ.ย.!O213+ธ.ค.!O213</f>
        <v>0</v>
      </c>
      <c r="P214" s="267">
        <f>+'ต.ค. '!P213+พ.ย.!P213+ธ.ค.!P213</f>
        <v>0</v>
      </c>
      <c r="Q214" s="267">
        <f>+'ต.ค. '!Q213+พ.ย.!Q213+ธ.ค.!Q213</f>
        <v>0</v>
      </c>
      <c r="R214" s="267">
        <f>+'ต.ค. '!R213+พ.ย.!R213+ธ.ค.!R213</f>
        <v>0</v>
      </c>
      <c r="S214" s="267">
        <f>+'ต.ค. '!S213+พ.ย.!S213+ธ.ค.!S213</f>
        <v>0</v>
      </c>
      <c r="T214" s="267"/>
      <c r="U214" s="267">
        <f>+'ต.ค. '!U213+พ.ย.!U213+ธ.ค.!U213</f>
        <v>0</v>
      </c>
      <c r="V214" s="267">
        <f>+'ต.ค. '!V213+พ.ย.!V213+ธ.ค.!V213</f>
        <v>0</v>
      </c>
    </row>
    <row r="215" spans="1:23" ht="25.5" customHeight="1">
      <c r="A215" s="169"/>
      <c r="B215" s="185" t="s">
        <v>325</v>
      </c>
      <c r="C215" s="190">
        <v>580000</v>
      </c>
      <c r="D215" s="133"/>
      <c r="E215" s="267">
        <f>+'ต.ค. '!E214+พ.ย.!E214+ธ.ค.!E214</f>
        <v>0</v>
      </c>
      <c r="F215" s="267">
        <f>+'ต.ค. '!F214+พ.ย.!F214+ธ.ค.!F214</f>
        <v>0</v>
      </c>
      <c r="G215" s="267">
        <f>+'ต.ค. '!G214+พ.ย.!G214+ธ.ค.!G214</f>
        <v>0</v>
      </c>
      <c r="H215" s="267">
        <f>+'ต.ค. '!H214+พ.ย.!H214+ธ.ค.!H214</f>
        <v>0</v>
      </c>
      <c r="I215" s="267">
        <f>+'ต.ค. '!I214+พ.ย.!I214+ธ.ค.!I214</f>
        <v>145000</v>
      </c>
      <c r="J215" s="267">
        <f>+'ต.ค. '!J214+พ.ย.!J214+ธ.ค.!J214</f>
        <v>0</v>
      </c>
      <c r="K215" s="267">
        <f>+'ต.ค. '!K214+พ.ย.!K214+ธ.ค.!K214</f>
        <v>0</v>
      </c>
      <c r="L215" s="267">
        <f>+'ต.ค. '!L214+พ.ย.!L214+ธ.ค.!L214</f>
        <v>0</v>
      </c>
      <c r="M215" s="267">
        <f>+'ต.ค. '!M214+พ.ย.!M214+ธ.ค.!M214</f>
        <v>0</v>
      </c>
      <c r="N215" s="267">
        <f>+'ต.ค. '!N214+พ.ย.!N214+ธ.ค.!N214</f>
        <v>0</v>
      </c>
      <c r="O215" s="267">
        <f>+'ต.ค. '!O214+พ.ย.!O214+ธ.ค.!O214</f>
        <v>0</v>
      </c>
      <c r="P215" s="267">
        <f>+'ต.ค. '!P214+พ.ย.!P214+ธ.ค.!P214</f>
        <v>0</v>
      </c>
      <c r="Q215" s="267">
        <f>+'ต.ค. '!Q214+พ.ย.!Q214+ธ.ค.!Q214</f>
        <v>0</v>
      </c>
      <c r="R215" s="267">
        <f>+'ต.ค. '!R214+พ.ย.!R214+ธ.ค.!R214</f>
        <v>0</v>
      </c>
      <c r="S215" s="267">
        <f>+'ต.ค. '!S214+พ.ย.!S214+ธ.ค.!S214</f>
        <v>0</v>
      </c>
      <c r="T215" s="267"/>
      <c r="U215" s="267">
        <f>+'ต.ค. '!U214+พ.ย.!U214+ธ.ค.!U214</f>
        <v>0</v>
      </c>
      <c r="V215" s="267">
        <f>+'ต.ค. '!V214+พ.ย.!V214+ธ.ค.!V214</f>
        <v>0</v>
      </c>
    </row>
    <row r="216" spans="1:23" ht="25.5" customHeight="1">
      <c r="A216" s="169"/>
      <c r="B216" s="185" t="s">
        <v>351</v>
      </c>
      <c r="C216" s="190">
        <v>223000</v>
      </c>
      <c r="D216" s="133"/>
      <c r="E216" s="267">
        <f>+'ต.ค. '!E215+พ.ย.!E215+ธ.ค.!E215</f>
        <v>0</v>
      </c>
      <c r="F216" s="267">
        <f>+'ต.ค. '!F215+พ.ย.!F215+ธ.ค.!F215</f>
        <v>0</v>
      </c>
      <c r="G216" s="267">
        <f>+'ต.ค. '!G215+พ.ย.!G215+ธ.ค.!G215</f>
        <v>0</v>
      </c>
      <c r="H216" s="267">
        <f>+'ต.ค. '!H215+พ.ย.!H215+ธ.ค.!H215</f>
        <v>0</v>
      </c>
      <c r="I216" s="267">
        <f>+'ต.ค. '!I215+พ.ย.!I215+ธ.ค.!I215</f>
        <v>0</v>
      </c>
      <c r="J216" s="267">
        <f>+'ต.ค. '!J215+พ.ย.!J215+ธ.ค.!J215</f>
        <v>0</v>
      </c>
      <c r="K216" s="267">
        <f>+'ต.ค. '!K215+พ.ย.!K215+ธ.ค.!K215</f>
        <v>0</v>
      </c>
      <c r="L216" s="267">
        <f>+'ต.ค. '!L215+พ.ย.!L215+ธ.ค.!L215</f>
        <v>0</v>
      </c>
      <c r="M216" s="267">
        <f>+'ต.ค. '!M215+พ.ย.!M215+ธ.ค.!M215</f>
        <v>0</v>
      </c>
      <c r="N216" s="267">
        <f>+'ต.ค. '!N215+พ.ย.!N215+ธ.ค.!N215</f>
        <v>0</v>
      </c>
      <c r="O216" s="267">
        <f>+'ต.ค. '!O215+พ.ย.!O215+ธ.ค.!O215</f>
        <v>0</v>
      </c>
      <c r="P216" s="267">
        <f>+'ต.ค. '!P215+พ.ย.!P215+ธ.ค.!P215</f>
        <v>0</v>
      </c>
      <c r="Q216" s="267">
        <f>+'ต.ค. '!Q215+พ.ย.!Q215+ธ.ค.!Q215</f>
        <v>0</v>
      </c>
      <c r="R216" s="267">
        <f>+'ต.ค. '!R215+พ.ย.!R215+ธ.ค.!R215</f>
        <v>0</v>
      </c>
      <c r="S216" s="267">
        <f>+'ต.ค. '!S215+พ.ย.!S215+ธ.ค.!S215</f>
        <v>0</v>
      </c>
      <c r="T216" s="267"/>
      <c r="U216" s="267">
        <f>+'ต.ค. '!U215+พ.ย.!U215+ธ.ค.!U215</f>
        <v>0</v>
      </c>
      <c r="V216" s="267">
        <f>+'ต.ค. '!V215+พ.ย.!V215+ธ.ค.!V215</f>
        <v>0</v>
      </c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169"/>
      <c r="B219" s="185"/>
      <c r="C219" s="190"/>
      <c r="D219" s="133"/>
      <c r="E219" s="269"/>
      <c r="F219" s="136"/>
      <c r="G219" s="136"/>
      <c r="H219" s="136"/>
      <c r="I219" s="133"/>
      <c r="J219" s="133"/>
      <c r="K219" s="133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</row>
    <row r="220" spans="1:23" ht="25.5" customHeight="1">
      <c r="A220" s="5"/>
      <c r="B220" s="185"/>
      <c r="C220" s="216"/>
      <c r="D220" s="133"/>
      <c r="E220" s="269"/>
      <c r="F220" s="136"/>
      <c r="G220" s="136"/>
      <c r="H220" s="136"/>
      <c r="I220" s="133"/>
      <c r="J220" s="133"/>
      <c r="K220" s="133"/>
      <c r="L220" s="133"/>
      <c r="M220" s="136"/>
      <c r="N220" s="133"/>
      <c r="O220" s="133"/>
      <c r="P220" s="133"/>
      <c r="Q220" s="133"/>
      <c r="R220" s="258"/>
      <c r="S220" s="259"/>
      <c r="T220" s="259"/>
      <c r="U220" s="258"/>
      <c r="V220" s="258"/>
    </row>
    <row r="221" spans="1:23" ht="25.5" customHeight="1">
      <c r="A221" s="5"/>
      <c r="B221" s="130"/>
      <c r="C221" s="285"/>
      <c r="D221" s="131"/>
      <c r="E221" s="267"/>
      <c r="F221" s="135"/>
      <c r="G221" s="135"/>
      <c r="H221" s="135"/>
      <c r="I221" s="131"/>
      <c r="J221" s="131"/>
      <c r="K221" s="131"/>
      <c r="L221" s="131"/>
      <c r="M221" s="135"/>
      <c r="N221" s="131"/>
      <c r="O221" s="131"/>
      <c r="P221" s="131"/>
      <c r="Q221" s="131"/>
      <c r="R221" s="217"/>
      <c r="S221" s="219"/>
      <c r="T221" s="219"/>
      <c r="U221" s="217"/>
      <c r="V221" s="217"/>
    </row>
    <row r="222" spans="1:23" ht="25.5" customHeight="1" thickBot="1">
      <c r="A222" s="15"/>
      <c r="B222" s="14" t="s">
        <v>5</v>
      </c>
      <c r="C222" s="170">
        <f>SUM(C213:C221)</f>
        <v>2763000</v>
      </c>
      <c r="D222" s="255">
        <f>SUM(D213:D221)</f>
        <v>0</v>
      </c>
      <c r="E222" s="254">
        <f t="shared" ref="E222:V222" si="6">SUM(E213:E221)</f>
        <v>0</v>
      </c>
      <c r="F222" s="254">
        <f t="shared" si="6"/>
        <v>0</v>
      </c>
      <c r="G222" s="255">
        <f t="shared" si="6"/>
        <v>0</v>
      </c>
      <c r="H222" s="254">
        <f t="shared" si="6"/>
        <v>0</v>
      </c>
      <c r="I222" s="255">
        <f>SUM(I213:I221)</f>
        <v>635000</v>
      </c>
      <c r="J222" s="255">
        <f t="shared" si="6"/>
        <v>0</v>
      </c>
      <c r="K222" s="255">
        <f t="shared" si="6"/>
        <v>0</v>
      </c>
      <c r="L222" s="255">
        <f t="shared" si="6"/>
        <v>0</v>
      </c>
      <c r="M222" s="254">
        <f t="shared" si="6"/>
        <v>0</v>
      </c>
      <c r="N222" s="255">
        <f t="shared" si="6"/>
        <v>0</v>
      </c>
      <c r="O222" s="255">
        <f t="shared" si="6"/>
        <v>0</v>
      </c>
      <c r="P222" s="255">
        <f t="shared" si="6"/>
        <v>0</v>
      </c>
      <c r="Q222" s="255">
        <f t="shared" si="6"/>
        <v>0</v>
      </c>
      <c r="R222" s="255">
        <f t="shared" si="6"/>
        <v>0</v>
      </c>
      <c r="S222" s="255">
        <f t="shared" si="6"/>
        <v>0</v>
      </c>
      <c r="T222" s="255"/>
      <c r="U222" s="255">
        <f t="shared" si="6"/>
        <v>0</v>
      </c>
      <c r="V222" s="255">
        <f t="shared" si="6"/>
        <v>0</v>
      </c>
      <c r="W222" s="314">
        <f>SUM(D222:V222)</f>
        <v>635000</v>
      </c>
    </row>
    <row r="223" spans="1:23" ht="25.5" customHeight="1" thickTop="1">
      <c r="A223" s="20" t="s">
        <v>71</v>
      </c>
      <c r="B223" s="82"/>
      <c r="C223" s="291"/>
      <c r="D223" s="133"/>
      <c r="E223" s="269"/>
      <c r="F223" s="136"/>
      <c r="G223" s="136"/>
      <c r="H223" s="136"/>
      <c r="I223" s="133"/>
      <c r="J223" s="133"/>
      <c r="K223" s="133"/>
      <c r="L223" s="133"/>
      <c r="M223" s="136"/>
      <c r="N223" s="133"/>
      <c r="O223" s="133"/>
      <c r="P223" s="133"/>
      <c r="Q223" s="133"/>
      <c r="R223" s="258"/>
      <c r="S223" s="259"/>
      <c r="T223" s="259"/>
      <c r="U223" s="258"/>
      <c r="V223" s="258"/>
    </row>
    <row r="224" spans="1:23" ht="25.5" customHeight="1">
      <c r="A224" s="66"/>
      <c r="B224" s="96"/>
      <c r="C224" s="216"/>
      <c r="D224" s="131"/>
      <c r="E224" s="267"/>
      <c r="F224" s="135"/>
      <c r="G224" s="135"/>
      <c r="H224" s="135"/>
      <c r="I224" s="131"/>
      <c r="J224" s="131"/>
      <c r="K224" s="131"/>
      <c r="L224" s="131"/>
      <c r="M224" s="135"/>
      <c r="N224" s="131"/>
      <c r="O224" s="131"/>
      <c r="P224" s="131"/>
      <c r="Q224" s="131"/>
      <c r="R224" s="217"/>
      <c r="S224" s="219"/>
      <c r="T224" s="219"/>
      <c r="U224" s="217"/>
      <c r="V224" s="217"/>
    </row>
    <row r="225" spans="1:22" ht="25.5" customHeight="1" thickBot="1">
      <c r="A225" s="167"/>
      <c r="B225" s="95" t="s">
        <v>5</v>
      </c>
      <c r="C225" s="292">
        <f>SUM(C223:C224)</f>
        <v>0</v>
      </c>
      <c r="D225" s="255"/>
      <c r="E225" s="271"/>
      <c r="F225" s="254"/>
      <c r="G225" s="254"/>
      <c r="H225" s="254"/>
      <c r="I225" s="255"/>
      <c r="J225" s="255"/>
      <c r="K225" s="255"/>
      <c r="L225" s="255"/>
      <c r="M225" s="254"/>
      <c r="N225" s="255"/>
      <c r="O225" s="255"/>
      <c r="P225" s="255"/>
      <c r="Q225" s="255"/>
      <c r="R225" s="256"/>
      <c r="S225" s="257"/>
      <c r="T225" s="257"/>
      <c r="U225" s="256"/>
      <c r="V225" s="256"/>
    </row>
    <row r="226" spans="1:22" ht="25.5" customHeight="1" thickTop="1">
      <c r="A226" s="20" t="s">
        <v>115</v>
      </c>
      <c r="B226" s="284"/>
      <c r="C226" s="293"/>
      <c r="D226" s="133"/>
      <c r="E226" s="269"/>
      <c r="F226" s="136"/>
      <c r="G226" s="136"/>
      <c r="H226" s="136"/>
      <c r="I226" s="133"/>
      <c r="J226" s="133"/>
      <c r="K226" s="133"/>
      <c r="L226" s="133"/>
      <c r="M226" s="136"/>
      <c r="N226" s="133"/>
      <c r="O226" s="133"/>
      <c r="P226" s="133"/>
      <c r="Q226" s="133"/>
      <c r="R226" s="258"/>
      <c r="S226" s="259"/>
      <c r="T226" s="259"/>
      <c r="U226" s="258"/>
      <c r="V226" s="258"/>
    </row>
    <row r="227" spans="1:22" ht="25.5" customHeight="1">
      <c r="A227" s="20"/>
      <c r="B227" s="252" t="s">
        <v>291</v>
      </c>
      <c r="C227" s="293"/>
      <c r="D227" s="131"/>
      <c r="E227" s="267"/>
      <c r="F227" s="135"/>
      <c r="G227" s="135"/>
      <c r="H227" s="135"/>
      <c r="I227" s="131"/>
      <c r="J227" s="131"/>
      <c r="K227" s="131"/>
      <c r="L227" s="131"/>
      <c r="M227" s="135"/>
      <c r="N227" s="131"/>
      <c r="O227" s="131"/>
      <c r="P227" s="131"/>
      <c r="Q227" s="131"/>
      <c r="R227" s="217"/>
      <c r="S227" s="219"/>
      <c r="T227" s="219"/>
      <c r="U227" s="217"/>
      <c r="V227" s="217"/>
    </row>
    <row r="228" spans="1:22" ht="25.5" customHeight="1">
      <c r="A228" s="20"/>
      <c r="B228" s="186" t="s">
        <v>286</v>
      </c>
      <c r="C228" s="294">
        <v>10000</v>
      </c>
      <c r="D228" s="131"/>
      <c r="E228" s="267">
        <f>+'ต.ค. '!E227+พ.ย.!E227+ธ.ค.!E227</f>
        <v>0</v>
      </c>
      <c r="F228" s="267">
        <f>+'ต.ค. '!F227+พ.ย.!F227+ธ.ค.!F227</f>
        <v>0</v>
      </c>
      <c r="G228" s="267">
        <f>+'ต.ค. '!G227+พ.ย.!G227+ธ.ค.!G227</f>
        <v>0</v>
      </c>
      <c r="H228" s="267">
        <f>+'ต.ค. '!H227+พ.ย.!H227+ธ.ค.!H227</f>
        <v>0</v>
      </c>
      <c r="I228" s="267">
        <f>+'ต.ค. '!I227+พ.ย.!I227+ธ.ค.!I227</f>
        <v>0</v>
      </c>
      <c r="J228" s="267">
        <f>+'ต.ค. '!J227+พ.ย.!J227+ธ.ค.!J227</f>
        <v>0</v>
      </c>
      <c r="K228" s="267">
        <f>+'ต.ค. '!K227+พ.ย.!K227+ธ.ค.!K227</f>
        <v>0</v>
      </c>
      <c r="L228" s="267">
        <f>+'ต.ค. '!L227+พ.ย.!L227+ธ.ค.!L227</f>
        <v>0</v>
      </c>
      <c r="M228" s="267">
        <f>+'ต.ค. '!M227+พ.ย.!M227+ธ.ค.!M227</f>
        <v>0</v>
      </c>
      <c r="N228" s="267">
        <f>+'ต.ค. '!N227+พ.ย.!N227+ธ.ค.!N227</f>
        <v>0</v>
      </c>
      <c r="O228" s="267">
        <f>+'ต.ค. '!O227+พ.ย.!O227+ธ.ค.!O227</f>
        <v>0</v>
      </c>
      <c r="P228" s="267">
        <f>+'ต.ค. '!P227+พ.ย.!P227+ธ.ค.!P227</f>
        <v>0</v>
      </c>
      <c r="Q228" s="267">
        <f>+'ต.ค. '!Q227+พ.ย.!Q227+ธ.ค.!Q227</f>
        <v>0</v>
      </c>
      <c r="R228" s="267">
        <f>+'ต.ค. '!R227+พ.ย.!R227+ธ.ค.!R227</f>
        <v>0</v>
      </c>
      <c r="S228" s="267">
        <f>+'ต.ค. '!S227+พ.ย.!S227+ธ.ค.!S227</f>
        <v>0</v>
      </c>
      <c r="T228" s="267"/>
      <c r="U228" s="267">
        <f>+'ต.ค. '!U227+พ.ย.!U227+ธ.ค.!U227</f>
        <v>0</v>
      </c>
      <c r="V228" s="267">
        <f>+'ต.ค. '!V227+พ.ย.!V227+ธ.ค.!V227</f>
        <v>0</v>
      </c>
    </row>
    <row r="229" spans="1:22" ht="25.5" customHeight="1">
      <c r="A229" s="20"/>
      <c r="B229" s="186" t="s">
        <v>287</v>
      </c>
      <c r="C229" s="294">
        <v>4500</v>
      </c>
      <c r="D229" s="131"/>
      <c r="E229" s="267">
        <f>+'ต.ค. '!E228+พ.ย.!E228+ธ.ค.!E228</f>
        <v>0</v>
      </c>
      <c r="F229" s="267">
        <f>+'ต.ค. '!F228+พ.ย.!F228+ธ.ค.!F228</f>
        <v>0</v>
      </c>
      <c r="G229" s="267">
        <f>+'ต.ค. '!G228+พ.ย.!G228+ธ.ค.!G228</f>
        <v>0</v>
      </c>
      <c r="H229" s="267">
        <f>+'ต.ค. '!H228+พ.ย.!H228+ธ.ค.!H228</f>
        <v>0</v>
      </c>
      <c r="I229" s="267">
        <f>+'ต.ค. '!I228+พ.ย.!I228+ธ.ค.!I228</f>
        <v>0</v>
      </c>
      <c r="J229" s="267">
        <f>+'ต.ค. '!J228+พ.ย.!J228+ธ.ค.!J228</f>
        <v>0</v>
      </c>
      <c r="K229" s="267">
        <f>+'ต.ค. '!K228+พ.ย.!K228+ธ.ค.!K228</f>
        <v>0</v>
      </c>
      <c r="L229" s="267">
        <f>+'ต.ค. '!L228+พ.ย.!L228+ธ.ค.!L228</f>
        <v>0</v>
      </c>
      <c r="M229" s="267">
        <f>+'ต.ค. '!M228+พ.ย.!M228+ธ.ค.!M228</f>
        <v>0</v>
      </c>
      <c r="N229" s="267">
        <f>+'ต.ค. '!N228+พ.ย.!N228+ธ.ค.!N228</f>
        <v>0</v>
      </c>
      <c r="O229" s="267">
        <f>+'ต.ค. '!O228+พ.ย.!O228+ธ.ค.!O228</f>
        <v>0</v>
      </c>
      <c r="P229" s="267">
        <f>+'ต.ค. '!P228+พ.ย.!P228+ธ.ค.!P228</f>
        <v>0</v>
      </c>
      <c r="Q229" s="267">
        <f>+'ต.ค. '!Q228+พ.ย.!Q228+ธ.ค.!Q228</f>
        <v>0</v>
      </c>
      <c r="R229" s="267">
        <f>+'ต.ค. '!R228+พ.ย.!R228+ธ.ค.!R228</f>
        <v>0</v>
      </c>
      <c r="S229" s="267">
        <f>+'ต.ค. '!S228+พ.ย.!S228+ธ.ค.!S228</f>
        <v>0</v>
      </c>
      <c r="T229" s="267"/>
      <c r="U229" s="267">
        <f>+'ต.ค. '!U228+พ.ย.!U228+ธ.ค.!U228</f>
        <v>0</v>
      </c>
      <c r="V229" s="267">
        <f>+'ต.ค. '!V228+พ.ย.!V228+ธ.ค.!V228</f>
        <v>0</v>
      </c>
    </row>
    <row r="230" spans="1:22" ht="25.5" customHeight="1">
      <c r="A230" s="20"/>
      <c r="B230" s="186" t="s">
        <v>288</v>
      </c>
      <c r="C230" s="294">
        <v>3000</v>
      </c>
      <c r="D230" s="131"/>
      <c r="E230" s="267">
        <f>+'ต.ค. '!E229+พ.ย.!E229+ธ.ค.!E229</f>
        <v>0</v>
      </c>
      <c r="F230" s="267">
        <f>+'ต.ค. '!F229+พ.ย.!F229+ธ.ค.!F229</f>
        <v>0</v>
      </c>
      <c r="G230" s="267">
        <f>+'ต.ค. '!G229+พ.ย.!G229+ธ.ค.!G229</f>
        <v>0</v>
      </c>
      <c r="H230" s="267">
        <f>+'ต.ค. '!H229+พ.ย.!H229+ธ.ค.!H229</f>
        <v>0</v>
      </c>
      <c r="I230" s="267">
        <f>+'ต.ค. '!I229+พ.ย.!I229+ธ.ค.!I229</f>
        <v>0</v>
      </c>
      <c r="J230" s="267">
        <f>+'ต.ค. '!J229+พ.ย.!J229+ธ.ค.!J229</f>
        <v>0</v>
      </c>
      <c r="K230" s="267">
        <f>+'ต.ค. '!K229+พ.ย.!K229+ธ.ค.!K229</f>
        <v>0</v>
      </c>
      <c r="L230" s="267">
        <f>+'ต.ค. '!L229+พ.ย.!L229+ธ.ค.!L229</f>
        <v>0</v>
      </c>
      <c r="M230" s="267">
        <f>+'ต.ค. '!M229+พ.ย.!M229+ธ.ค.!M229</f>
        <v>0</v>
      </c>
      <c r="N230" s="267">
        <f>+'ต.ค. '!N229+พ.ย.!N229+ธ.ค.!N229</f>
        <v>0</v>
      </c>
      <c r="O230" s="267">
        <f>+'ต.ค. '!O229+พ.ย.!O229+ธ.ค.!O229</f>
        <v>0</v>
      </c>
      <c r="P230" s="267">
        <f>+'ต.ค. '!P229+พ.ย.!P229+ธ.ค.!P229</f>
        <v>0</v>
      </c>
      <c r="Q230" s="267">
        <f>+'ต.ค. '!Q229+พ.ย.!Q229+ธ.ค.!Q229</f>
        <v>0</v>
      </c>
      <c r="R230" s="267">
        <f>+'ต.ค. '!R229+พ.ย.!R229+ธ.ค.!R229</f>
        <v>0</v>
      </c>
      <c r="S230" s="267">
        <f>+'ต.ค. '!S229+พ.ย.!S229+ธ.ค.!S229</f>
        <v>0</v>
      </c>
      <c r="T230" s="267"/>
      <c r="U230" s="267">
        <f>+'ต.ค. '!U229+พ.ย.!U229+ธ.ค.!U229</f>
        <v>0</v>
      </c>
      <c r="V230" s="267">
        <f>+'ต.ค. '!V229+พ.ย.!V229+ธ.ค.!V229</f>
        <v>0</v>
      </c>
    </row>
    <row r="231" spans="1:22" ht="25.5" customHeight="1">
      <c r="A231" s="20"/>
      <c r="B231" s="186" t="s">
        <v>289</v>
      </c>
      <c r="C231" s="294">
        <v>20000</v>
      </c>
      <c r="D231" s="131"/>
      <c r="E231" s="267">
        <f>+'ต.ค. '!E230+พ.ย.!E230+ธ.ค.!E230</f>
        <v>0</v>
      </c>
      <c r="F231" s="267">
        <f>+'ต.ค. '!F230+พ.ย.!F230+ธ.ค.!F230</f>
        <v>0</v>
      </c>
      <c r="G231" s="267">
        <f>+'ต.ค. '!G230+พ.ย.!G230+ธ.ค.!G230</f>
        <v>0</v>
      </c>
      <c r="H231" s="267">
        <f>+'ต.ค. '!H230+พ.ย.!H230+ธ.ค.!H230</f>
        <v>0</v>
      </c>
      <c r="I231" s="267">
        <f>+'ต.ค. '!I230+พ.ย.!I230+ธ.ค.!I230</f>
        <v>0</v>
      </c>
      <c r="J231" s="267">
        <f>+'ต.ค. '!J230+พ.ย.!J230+ธ.ค.!J230</f>
        <v>0</v>
      </c>
      <c r="K231" s="267">
        <f>+'ต.ค. '!K230+พ.ย.!K230+ธ.ค.!K230</f>
        <v>0</v>
      </c>
      <c r="L231" s="267">
        <f>+'ต.ค. '!L230+พ.ย.!L230+ธ.ค.!L230</f>
        <v>0</v>
      </c>
      <c r="M231" s="267">
        <f>+'ต.ค. '!M230+พ.ย.!M230+ธ.ค.!M230</f>
        <v>0</v>
      </c>
      <c r="N231" s="267">
        <f>+'ต.ค. '!N230+พ.ย.!N230+ธ.ค.!N230</f>
        <v>0</v>
      </c>
      <c r="O231" s="267">
        <f>+'ต.ค. '!O230+พ.ย.!O230+ธ.ค.!O230</f>
        <v>0</v>
      </c>
      <c r="P231" s="267">
        <f>+'ต.ค. '!P230+พ.ย.!P230+ธ.ค.!P230</f>
        <v>0</v>
      </c>
      <c r="Q231" s="267">
        <f>+'ต.ค. '!Q230+พ.ย.!Q230+ธ.ค.!Q230</f>
        <v>0</v>
      </c>
      <c r="R231" s="267">
        <f>+'ต.ค. '!R230+พ.ย.!R230+ธ.ค.!R230</f>
        <v>0</v>
      </c>
      <c r="S231" s="267">
        <f>+'ต.ค. '!S230+พ.ย.!S230+ธ.ค.!S230</f>
        <v>0</v>
      </c>
      <c r="T231" s="267"/>
      <c r="U231" s="267">
        <f>+'ต.ค. '!U230+พ.ย.!U230+ธ.ค.!U230</f>
        <v>0</v>
      </c>
      <c r="V231" s="267">
        <f>+'ต.ค. '!V230+พ.ย.!V230+ธ.ค.!V230</f>
        <v>0</v>
      </c>
    </row>
    <row r="232" spans="1:22" ht="25.5" customHeight="1">
      <c r="A232" s="20"/>
      <c r="B232" s="186" t="s">
        <v>290</v>
      </c>
      <c r="C232" s="295">
        <f>5500+5500</f>
        <v>11000</v>
      </c>
      <c r="D232" s="131"/>
      <c r="E232" s="267">
        <f>+'ต.ค. '!E231+พ.ย.!E231+ธ.ค.!E231</f>
        <v>0</v>
      </c>
      <c r="F232" s="267">
        <f>+'ต.ค. '!F231+พ.ย.!F231+ธ.ค.!F231</f>
        <v>0</v>
      </c>
      <c r="G232" s="267">
        <f>+'ต.ค. '!G231+พ.ย.!G231+ธ.ค.!G231</f>
        <v>0</v>
      </c>
      <c r="H232" s="267">
        <f>+'ต.ค. '!H231+พ.ย.!H231+ธ.ค.!H231</f>
        <v>0</v>
      </c>
      <c r="I232" s="267">
        <f>+'ต.ค. '!I231+พ.ย.!I231+ธ.ค.!I231</f>
        <v>0</v>
      </c>
      <c r="J232" s="267">
        <f>+'ต.ค. '!J231+พ.ย.!J231+ธ.ค.!J231</f>
        <v>0</v>
      </c>
      <c r="K232" s="267">
        <f>+'ต.ค. '!K231+พ.ย.!K231+ธ.ค.!K231</f>
        <v>0</v>
      </c>
      <c r="L232" s="267">
        <f>+'ต.ค. '!L231+พ.ย.!L231+ธ.ค.!L231</f>
        <v>0</v>
      </c>
      <c r="M232" s="267">
        <f>+'ต.ค. '!M231+พ.ย.!M231+ธ.ค.!M231</f>
        <v>0</v>
      </c>
      <c r="N232" s="267">
        <f>+'ต.ค. '!N231+พ.ย.!N231+ธ.ค.!N231</f>
        <v>0</v>
      </c>
      <c r="O232" s="267">
        <f>+'ต.ค. '!O231+พ.ย.!O231+ธ.ค.!O231</f>
        <v>0</v>
      </c>
      <c r="P232" s="267">
        <f>+'ต.ค. '!P231+พ.ย.!P231+ธ.ค.!P231</f>
        <v>0</v>
      </c>
      <c r="Q232" s="267">
        <f>+'ต.ค. '!Q231+พ.ย.!Q231+ธ.ค.!Q231</f>
        <v>0</v>
      </c>
      <c r="R232" s="267">
        <f>+'ต.ค. '!R231+พ.ย.!R231+ธ.ค.!R231</f>
        <v>0</v>
      </c>
      <c r="S232" s="267">
        <f>+'ต.ค. '!S231+พ.ย.!S231+ธ.ค.!S231</f>
        <v>0</v>
      </c>
      <c r="T232" s="267"/>
      <c r="U232" s="267">
        <f>+'ต.ค. '!U231+พ.ย.!U231+ธ.ค.!U231</f>
        <v>0</v>
      </c>
      <c r="V232" s="267">
        <f>+'ต.ค. '!V231+พ.ย.!V231+ธ.ค.!V231</f>
        <v>0</v>
      </c>
    </row>
    <row r="233" spans="1:22" ht="25.5" customHeight="1">
      <c r="A233" s="20"/>
      <c r="B233" s="186" t="s">
        <v>305</v>
      </c>
      <c r="C233" s="295">
        <v>16000</v>
      </c>
      <c r="D233" s="131"/>
      <c r="E233" s="267">
        <f>+'ต.ค. '!E232+พ.ย.!E232+ธ.ค.!E232</f>
        <v>0</v>
      </c>
      <c r="F233" s="267">
        <f>+'ต.ค. '!F232+พ.ย.!F232+ธ.ค.!F232</f>
        <v>0</v>
      </c>
      <c r="G233" s="267">
        <f>+'ต.ค. '!G232+พ.ย.!G232+ธ.ค.!G232</f>
        <v>0</v>
      </c>
      <c r="H233" s="267">
        <f>+'ต.ค. '!H232+พ.ย.!H232+ธ.ค.!H232</f>
        <v>0</v>
      </c>
      <c r="I233" s="267">
        <f>+'ต.ค. '!I232+พ.ย.!I232+ธ.ค.!I232</f>
        <v>0</v>
      </c>
      <c r="J233" s="267">
        <f>+'ต.ค. '!J232+พ.ย.!J232+ธ.ค.!J232</f>
        <v>0</v>
      </c>
      <c r="K233" s="267">
        <f>+'ต.ค. '!K232+พ.ย.!K232+ธ.ค.!K232</f>
        <v>0</v>
      </c>
      <c r="L233" s="267">
        <f>+'ต.ค. '!L232+พ.ย.!L232+ธ.ค.!L232</f>
        <v>0</v>
      </c>
      <c r="M233" s="267">
        <f>+'ต.ค. '!M232+พ.ย.!M232+ธ.ค.!M232</f>
        <v>0</v>
      </c>
      <c r="N233" s="267">
        <f>+'ต.ค. '!N232+พ.ย.!N232+ธ.ค.!N232</f>
        <v>0</v>
      </c>
      <c r="O233" s="267">
        <f>+'ต.ค. '!O232+พ.ย.!O232+ธ.ค.!O232</f>
        <v>0</v>
      </c>
      <c r="P233" s="267">
        <f>+'ต.ค. '!P232+พ.ย.!P232+ธ.ค.!P232</f>
        <v>0</v>
      </c>
      <c r="Q233" s="267">
        <f>+'ต.ค. '!Q232+พ.ย.!Q232+ธ.ค.!Q232</f>
        <v>0</v>
      </c>
      <c r="R233" s="267">
        <f>+'ต.ค. '!R232+พ.ย.!R232+ธ.ค.!R232</f>
        <v>0</v>
      </c>
      <c r="S233" s="267">
        <f>+'ต.ค. '!S232+พ.ย.!S232+ธ.ค.!S232</f>
        <v>0</v>
      </c>
      <c r="T233" s="267"/>
      <c r="U233" s="267">
        <f>+'ต.ค. '!U232+พ.ย.!U232+ธ.ค.!U232</f>
        <v>0</v>
      </c>
      <c r="V233" s="267">
        <f>+'ต.ค. '!V232+พ.ย.!V232+ธ.ค.!V232</f>
        <v>0</v>
      </c>
    </row>
    <row r="234" spans="1:22" ht="25.5" customHeight="1">
      <c r="A234" s="20"/>
      <c r="B234" s="186" t="s">
        <v>334</v>
      </c>
      <c r="C234" s="295">
        <v>4500</v>
      </c>
      <c r="D234" s="131"/>
      <c r="E234" s="267">
        <f>+'ต.ค. '!E233+พ.ย.!E233+ธ.ค.!E233</f>
        <v>0</v>
      </c>
      <c r="F234" s="267">
        <f>+'ต.ค. '!F233+พ.ย.!F233+ธ.ค.!F233</f>
        <v>0</v>
      </c>
      <c r="G234" s="267">
        <f>+'ต.ค. '!G233+พ.ย.!G233+ธ.ค.!G233</f>
        <v>0</v>
      </c>
      <c r="H234" s="267">
        <f>+'ต.ค. '!H233+พ.ย.!H233+ธ.ค.!H233</f>
        <v>0</v>
      </c>
      <c r="I234" s="267">
        <f>+'ต.ค. '!I233+พ.ย.!I233+ธ.ค.!I233</f>
        <v>0</v>
      </c>
      <c r="J234" s="267">
        <f>+'ต.ค. '!J233+พ.ย.!J233+ธ.ค.!J233</f>
        <v>0</v>
      </c>
      <c r="K234" s="267">
        <f>+'ต.ค. '!K233+พ.ย.!K233+ธ.ค.!K233</f>
        <v>0</v>
      </c>
      <c r="L234" s="267">
        <f>+'ต.ค. '!L233+พ.ย.!L233+ธ.ค.!L233</f>
        <v>0</v>
      </c>
      <c r="M234" s="267">
        <f>+'ต.ค. '!M233+พ.ย.!M233+ธ.ค.!M233</f>
        <v>0</v>
      </c>
      <c r="N234" s="267">
        <f>+'ต.ค. '!N233+พ.ย.!N233+ธ.ค.!N233</f>
        <v>0</v>
      </c>
      <c r="O234" s="267">
        <f>+'ต.ค. '!O233+พ.ย.!O233+ธ.ค.!O233</f>
        <v>0</v>
      </c>
      <c r="P234" s="267">
        <f>+'ต.ค. '!P233+พ.ย.!P233+ธ.ค.!P233</f>
        <v>0</v>
      </c>
      <c r="Q234" s="267">
        <f>+'ต.ค. '!Q233+พ.ย.!Q233+ธ.ค.!Q233</f>
        <v>0</v>
      </c>
      <c r="R234" s="267">
        <f>+'ต.ค. '!R233+พ.ย.!R233+ธ.ค.!R233</f>
        <v>0</v>
      </c>
      <c r="S234" s="267">
        <f>+'ต.ค. '!S233+พ.ย.!S233+ธ.ค.!S233</f>
        <v>0</v>
      </c>
      <c r="T234" s="267"/>
      <c r="U234" s="267">
        <f>+'ต.ค. '!U233+พ.ย.!U233+ธ.ค.!U233</f>
        <v>0</v>
      </c>
      <c r="V234" s="267">
        <f>+'ต.ค. '!V233+พ.ย.!V233+ธ.ค.!V233</f>
        <v>0</v>
      </c>
    </row>
    <row r="235" spans="1:22" ht="25.5" customHeight="1">
      <c r="A235" s="20"/>
      <c r="B235" s="186" t="s">
        <v>335</v>
      </c>
      <c r="C235" s="295">
        <v>4500</v>
      </c>
      <c r="D235" s="131"/>
      <c r="E235" s="267">
        <f>+'ต.ค. '!E234+พ.ย.!E234+ธ.ค.!E234</f>
        <v>0</v>
      </c>
      <c r="F235" s="267">
        <f>+'ต.ค. '!F234+พ.ย.!F234+ธ.ค.!F234</f>
        <v>0</v>
      </c>
      <c r="G235" s="267">
        <f>+'ต.ค. '!G234+พ.ย.!G234+ธ.ค.!G234</f>
        <v>0</v>
      </c>
      <c r="H235" s="267">
        <f>+'ต.ค. '!H234+พ.ย.!H234+ธ.ค.!H234</f>
        <v>0</v>
      </c>
      <c r="I235" s="267">
        <f>+'ต.ค. '!I234+พ.ย.!I234+ธ.ค.!I234</f>
        <v>0</v>
      </c>
      <c r="J235" s="267">
        <f>+'ต.ค. '!J234+พ.ย.!J234+ธ.ค.!J234</f>
        <v>0</v>
      </c>
      <c r="K235" s="267">
        <f>+'ต.ค. '!K234+พ.ย.!K234+ธ.ค.!K234</f>
        <v>0</v>
      </c>
      <c r="L235" s="267">
        <f>+'ต.ค. '!L234+พ.ย.!L234+ธ.ค.!L234</f>
        <v>0</v>
      </c>
      <c r="M235" s="267">
        <f>+'ต.ค. '!M234+พ.ย.!M234+ธ.ค.!M234</f>
        <v>0</v>
      </c>
      <c r="N235" s="267">
        <f>+'ต.ค. '!N234+พ.ย.!N234+ธ.ค.!N234</f>
        <v>0</v>
      </c>
      <c r="O235" s="267">
        <f>+'ต.ค. '!O234+พ.ย.!O234+ธ.ค.!O234</f>
        <v>0</v>
      </c>
      <c r="P235" s="267">
        <f>+'ต.ค. '!P234+พ.ย.!P234+ธ.ค.!P234</f>
        <v>0</v>
      </c>
      <c r="Q235" s="267">
        <f>+'ต.ค. '!Q234+พ.ย.!Q234+ธ.ค.!Q234</f>
        <v>0</v>
      </c>
      <c r="R235" s="267">
        <f>+'ต.ค. '!R234+พ.ย.!R234+ธ.ค.!R234</f>
        <v>0</v>
      </c>
      <c r="S235" s="267">
        <f>+'ต.ค. '!S234+พ.ย.!S234+ธ.ค.!S234</f>
        <v>0</v>
      </c>
      <c r="T235" s="267"/>
      <c r="U235" s="267">
        <f>+'ต.ค. '!U234+พ.ย.!U234+ธ.ค.!U234</f>
        <v>0</v>
      </c>
      <c r="V235" s="267">
        <f>+'ต.ค. '!V234+พ.ย.!V234+ธ.ค.!V234</f>
        <v>0</v>
      </c>
    </row>
    <row r="236" spans="1:22" ht="25.5" customHeight="1">
      <c r="A236" s="20"/>
      <c r="B236" s="186"/>
      <c r="C236" s="295"/>
      <c r="D236" s="131"/>
      <c r="E236" s="267"/>
      <c r="F236" s="267"/>
      <c r="G236" s="267"/>
      <c r="H236" s="267"/>
      <c r="I236" s="267"/>
      <c r="J236" s="267"/>
      <c r="K236" s="267"/>
      <c r="L236" s="267"/>
      <c r="M236" s="267"/>
      <c r="N236" s="267"/>
      <c r="O236" s="267"/>
      <c r="P236" s="267"/>
      <c r="Q236" s="267"/>
      <c r="R236" s="267"/>
      <c r="S236" s="267"/>
      <c r="T236" s="267"/>
      <c r="U236" s="267"/>
      <c r="V236" s="267"/>
    </row>
    <row r="237" spans="1:22" ht="25.5" customHeight="1">
      <c r="A237" s="20"/>
      <c r="B237" s="252" t="s">
        <v>292</v>
      </c>
      <c r="C237" s="295"/>
      <c r="D237" s="131"/>
      <c r="E237" s="267"/>
      <c r="F237" s="135"/>
      <c r="G237" s="135"/>
      <c r="H237" s="135"/>
      <c r="I237" s="131"/>
      <c r="J237" s="131"/>
      <c r="K237" s="131"/>
      <c r="L237" s="131"/>
      <c r="M237" s="135"/>
      <c r="N237" s="131"/>
      <c r="O237" s="131"/>
      <c r="P237" s="131"/>
      <c r="Q237" s="131"/>
      <c r="R237" s="217"/>
      <c r="S237" s="219"/>
      <c r="T237" s="219"/>
      <c r="U237" s="217"/>
      <c r="V237" s="217"/>
    </row>
    <row r="238" spans="1:22" ht="25.5" customHeight="1">
      <c r="A238" s="20"/>
      <c r="B238" s="186" t="s">
        <v>293</v>
      </c>
      <c r="C238" s="295">
        <v>32000</v>
      </c>
      <c r="D238" s="131"/>
      <c r="E238" s="267">
        <f>+'ต.ค. '!E237+พ.ย.!E236+ธ.ค.!E236</f>
        <v>0</v>
      </c>
      <c r="F238" s="267">
        <f>+'ต.ค. '!F237+พ.ย.!F236+ธ.ค.!F236</f>
        <v>0</v>
      </c>
      <c r="G238" s="267">
        <f>+'ต.ค. '!G237+พ.ย.!G236+ธ.ค.!G236</f>
        <v>0</v>
      </c>
      <c r="H238" s="267">
        <f>+'ต.ค. '!H237+พ.ย.!H236+ธ.ค.!H236</f>
        <v>0</v>
      </c>
      <c r="I238" s="267">
        <f>+'ต.ค. '!I237+พ.ย.!I236+ธ.ค.!I236</f>
        <v>0</v>
      </c>
      <c r="J238" s="267">
        <f>+'ต.ค. '!J237+พ.ย.!J236+ธ.ค.!J236</f>
        <v>0</v>
      </c>
      <c r="K238" s="267">
        <f>+'ต.ค. '!K237+พ.ย.!K236+ธ.ค.!K236</f>
        <v>0</v>
      </c>
      <c r="L238" s="267">
        <f>+'ต.ค. '!L237+พ.ย.!L236+ธ.ค.!L236</f>
        <v>0</v>
      </c>
      <c r="M238" s="267">
        <f>+'ต.ค. '!M237+พ.ย.!M236+ธ.ค.!M236</f>
        <v>0</v>
      </c>
      <c r="N238" s="267">
        <f>+'ต.ค. '!N237+พ.ย.!N236+ธ.ค.!N236</f>
        <v>0</v>
      </c>
      <c r="O238" s="267">
        <f>+'ต.ค. '!O237+พ.ย.!O236+ธ.ค.!O236</f>
        <v>0</v>
      </c>
      <c r="P238" s="267">
        <f>+'ต.ค. '!P237+พ.ย.!P236+ธ.ค.!P236</f>
        <v>0</v>
      </c>
      <c r="Q238" s="267">
        <f>+'ต.ค. '!Q237+พ.ย.!Q236+ธ.ค.!Q236</f>
        <v>0</v>
      </c>
      <c r="R238" s="267">
        <f>+'ต.ค. '!R237+พ.ย.!R236+ธ.ค.!R236</f>
        <v>0</v>
      </c>
      <c r="S238" s="267">
        <f>+'ต.ค. '!S237+พ.ย.!S236+ธ.ค.!S236</f>
        <v>0</v>
      </c>
      <c r="T238" s="267"/>
      <c r="U238" s="267">
        <f>+'ต.ค. '!U237+พ.ย.!U236+ธ.ค.!U236</f>
        <v>0</v>
      </c>
      <c r="V238" s="267">
        <f>+'ต.ค. '!V237+พ.ย.!V236+ธ.ค.!V236</f>
        <v>0</v>
      </c>
    </row>
    <row r="239" spans="1:22" ht="25.5" customHeight="1">
      <c r="A239" s="20"/>
      <c r="B239" s="186" t="s">
        <v>125</v>
      </c>
      <c r="C239" s="295">
        <f>2800+2800+2300</f>
        <v>7900</v>
      </c>
      <c r="D239" s="131"/>
      <c r="E239" s="267">
        <f>+'ต.ค. '!E238+พ.ย.!E237+ธ.ค.!E237</f>
        <v>0</v>
      </c>
      <c r="F239" s="267">
        <f>+'ต.ค. '!F238+พ.ย.!F237+ธ.ค.!F237</f>
        <v>0</v>
      </c>
      <c r="G239" s="267">
        <f>+'ต.ค. '!G238+พ.ย.!G237+ธ.ค.!G237</f>
        <v>0</v>
      </c>
      <c r="H239" s="267">
        <f>+'ต.ค. '!H238+พ.ย.!H237+ธ.ค.!H237</f>
        <v>0</v>
      </c>
      <c r="I239" s="267">
        <f>+'ต.ค. '!I238+พ.ย.!I237+ธ.ค.!I237</f>
        <v>0</v>
      </c>
      <c r="J239" s="267">
        <f>+'ต.ค. '!J238+พ.ย.!J237+ธ.ค.!J237</f>
        <v>0</v>
      </c>
      <c r="K239" s="267">
        <f>+'ต.ค. '!K238+พ.ย.!K237+ธ.ค.!K237</f>
        <v>0</v>
      </c>
      <c r="L239" s="267">
        <f>+'ต.ค. '!L238+พ.ย.!L237+ธ.ค.!L237</f>
        <v>0</v>
      </c>
      <c r="M239" s="267">
        <f>+'ต.ค. '!M238+พ.ย.!M237+ธ.ค.!M237</f>
        <v>0</v>
      </c>
      <c r="N239" s="267">
        <f>+'ต.ค. '!N238+พ.ย.!N237+ธ.ค.!N237</f>
        <v>0</v>
      </c>
      <c r="O239" s="267">
        <f>+'ต.ค. '!O238+พ.ย.!O237+ธ.ค.!O237</f>
        <v>0</v>
      </c>
      <c r="P239" s="267">
        <f>+'ต.ค. '!P238+พ.ย.!P237+ธ.ค.!P237</f>
        <v>0</v>
      </c>
      <c r="Q239" s="267">
        <f>+'ต.ค. '!Q238+พ.ย.!Q237+ธ.ค.!Q237</f>
        <v>0</v>
      </c>
      <c r="R239" s="267">
        <f>+'ต.ค. '!R238+พ.ย.!R237+ธ.ค.!R237</f>
        <v>0</v>
      </c>
      <c r="S239" s="267">
        <f>+'ต.ค. '!S238+พ.ย.!S237+ธ.ค.!S237</f>
        <v>0</v>
      </c>
      <c r="T239" s="267"/>
      <c r="U239" s="267">
        <f>+'ต.ค. '!U238+พ.ย.!U237+ธ.ค.!U237</f>
        <v>0</v>
      </c>
      <c r="V239" s="267">
        <f>+'ต.ค. '!V238+พ.ย.!V237+ธ.ค.!V237</f>
        <v>0</v>
      </c>
    </row>
    <row r="240" spans="1:22" ht="25.5" customHeight="1">
      <c r="A240" s="20"/>
      <c r="B240" s="186" t="s">
        <v>294</v>
      </c>
      <c r="C240" s="295">
        <v>21000</v>
      </c>
      <c r="D240" s="131"/>
      <c r="E240" s="267">
        <f>+'ต.ค. '!E239+พ.ย.!E238+ธ.ค.!E238</f>
        <v>0</v>
      </c>
      <c r="F240" s="267">
        <f>+'ต.ค. '!F239+พ.ย.!F238+ธ.ค.!F238</f>
        <v>0</v>
      </c>
      <c r="G240" s="267">
        <f>+'ต.ค. '!G239+พ.ย.!G238+ธ.ค.!G238</f>
        <v>0</v>
      </c>
      <c r="H240" s="267">
        <f>+'ต.ค. '!H239+พ.ย.!H238+ธ.ค.!H238</f>
        <v>0</v>
      </c>
      <c r="I240" s="267">
        <f>+'ต.ค. '!I239+พ.ย.!I238+ธ.ค.!I238</f>
        <v>0</v>
      </c>
      <c r="J240" s="267">
        <f>+'ต.ค. '!J239+พ.ย.!J238+ธ.ค.!J238</f>
        <v>0</v>
      </c>
      <c r="K240" s="267">
        <f>+'ต.ค. '!K239+พ.ย.!K238+ธ.ค.!K238</f>
        <v>0</v>
      </c>
      <c r="L240" s="267">
        <f>+'ต.ค. '!L239+พ.ย.!L238+ธ.ค.!L238</f>
        <v>0</v>
      </c>
      <c r="M240" s="267">
        <f>+'ต.ค. '!M239+พ.ย.!M238+ธ.ค.!M238</f>
        <v>0</v>
      </c>
      <c r="N240" s="267">
        <f>+'ต.ค. '!N239+พ.ย.!N238+ธ.ค.!N238</f>
        <v>0</v>
      </c>
      <c r="O240" s="267">
        <f>+'ต.ค. '!O239+พ.ย.!O238+ธ.ค.!O238</f>
        <v>0</v>
      </c>
      <c r="P240" s="267">
        <f>+'ต.ค. '!P239+พ.ย.!P238+ธ.ค.!P238</f>
        <v>0</v>
      </c>
      <c r="Q240" s="267">
        <f>+'ต.ค. '!Q239+พ.ย.!Q238+ธ.ค.!Q238</f>
        <v>0</v>
      </c>
      <c r="R240" s="267">
        <f>+'ต.ค. '!R239+พ.ย.!R238+ธ.ค.!R238</f>
        <v>0</v>
      </c>
      <c r="S240" s="267">
        <f>+'ต.ค. '!S239+พ.ย.!S238+ธ.ค.!S238</f>
        <v>0</v>
      </c>
      <c r="T240" s="267"/>
      <c r="U240" s="267">
        <f>+'ต.ค. '!U239+พ.ย.!U238+ธ.ค.!U238</f>
        <v>0</v>
      </c>
      <c r="V240" s="267">
        <f>+'ต.ค. '!V239+พ.ย.!V238+ธ.ค.!V238</f>
        <v>0</v>
      </c>
    </row>
    <row r="241" spans="1:22" ht="25.5" customHeight="1">
      <c r="A241" s="20"/>
      <c r="B241" s="186" t="s">
        <v>293</v>
      </c>
      <c r="C241" s="295">
        <v>16000</v>
      </c>
      <c r="D241" s="131"/>
      <c r="E241" s="267">
        <f>+'ต.ค. '!E240+พ.ย.!E239+ธ.ค.!E239</f>
        <v>0</v>
      </c>
      <c r="F241" s="267">
        <f>+'ต.ค. '!F240+พ.ย.!F239+ธ.ค.!F239</f>
        <v>0</v>
      </c>
      <c r="G241" s="267">
        <f>+'ต.ค. '!G240+พ.ย.!G239+ธ.ค.!G239</f>
        <v>0</v>
      </c>
      <c r="H241" s="267">
        <f>+'ต.ค. '!H240+พ.ย.!H239+ธ.ค.!H239</f>
        <v>0</v>
      </c>
      <c r="I241" s="267">
        <f>+'ต.ค. '!I240+พ.ย.!I239+ธ.ค.!I239</f>
        <v>0</v>
      </c>
      <c r="J241" s="267">
        <f>+'ต.ค. '!J240+พ.ย.!J239+ธ.ค.!J239</f>
        <v>0</v>
      </c>
      <c r="K241" s="267">
        <f>+'ต.ค. '!K240+พ.ย.!K239+ธ.ค.!K239</f>
        <v>0</v>
      </c>
      <c r="L241" s="267">
        <f>+'ต.ค. '!L240+พ.ย.!L239+ธ.ค.!L239</f>
        <v>0</v>
      </c>
      <c r="M241" s="267">
        <f>+'ต.ค. '!M240+พ.ย.!M239+ธ.ค.!M239</f>
        <v>0</v>
      </c>
      <c r="N241" s="267">
        <f>+'ต.ค. '!N240+พ.ย.!N239+ธ.ค.!N239</f>
        <v>0</v>
      </c>
      <c r="O241" s="267">
        <f>+'ต.ค. '!O240+พ.ย.!O239+ธ.ค.!O239</f>
        <v>0</v>
      </c>
      <c r="P241" s="267">
        <f>+'ต.ค. '!P240+พ.ย.!P239+ธ.ค.!P239</f>
        <v>0</v>
      </c>
      <c r="Q241" s="267">
        <f>+'ต.ค. '!Q240+พ.ย.!Q239+ธ.ค.!Q239</f>
        <v>0</v>
      </c>
      <c r="R241" s="267">
        <f>+'ต.ค. '!R240+พ.ย.!R239+ธ.ค.!R239</f>
        <v>0</v>
      </c>
      <c r="S241" s="267">
        <f>+'ต.ค. '!S240+พ.ย.!S239+ธ.ค.!S239</f>
        <v>0</v>
      </c>
      <c r="T241" s="267"/>
      <c r="U241" s="267">
        <f>+'ต.ค. '!U240+พ.ย.!U239+ธ.ค.!U239</f>
        <v>0</v>
      </c>
      <c r="V241" s="267">
        <f>+'ต.ค. '!V240+พ.ย.!V239+ธ.ค.!V239</f>
        <v>0</v>
      </c>
    </row>
    <row r="242" spans="1:22" ht="25.5" customHeight="1">
      <c r="A242" s="20"/>
      <c r="B242" s="186" t="s">
        <v>306</v>
      </c>
      <c r="C242" s="295">
        <v>7700</v>
      </c>
      <c r="D242" s="131"/>
      <c r="E242" s="267">
        <f>+'ต.ค. '!E241+พ.ย.!E240+ธ.ค.!E240</f>
        <v>0</v>
      </c>
      <c r="F242" s="267">
        <f>+'ต.ค. '!F241+พ.ย.!F240+ธ.ค.!F240</f>
        <v>0</v>
      </c>
      <c r="G242" s="267">
        <f>+'ต.ค. '!G241+พ.ย.!G240+ธ.ค.!G240</f>
        <v>0</v>
      </c>
      <c r="H242" s="267">
        <f>+'ต.ค. '!H241+พ.ย.!H240+ธ.ค.!H240</f>
        <v>0</v>
      </c>
      <c r="I242" s="267">
        <f>+'ต.ค. '!I241+พ.ย.!I240+ธ.ค.!I240</f>
        <v>0</v>
      </c>
      <c r="J242" s="267">
        <f>+'ต.ค. '!J241+พ.ย.!J240+ธ.ค.!J240</f>
        <v>0</v>
      </c>
      <c r="K242" s="267">
        <f>+'ต.ค. '!K241+พ.ย.!K240+ธ.ค.!K240</f>
        <v>0</v>
      </c>
      <c r="L242" s="267">
        <f>+'ต.ค. '!L241+พ.ย.!L240+ธ.ค.!L240</f>
        <v>0</v>
      </c>
      <c r="M242" s="267">
        <f>+'ต.ค. '!M241+พ.ย.!M240+ธ.ค.!M240</f>
        <v>0</v>
      </c>
      <c r="N242" s="267">
        <f>+'ต.ค. '!N241+พ.ย.!N240+ธ.ค.!N240</f>
        <v>0</v>
      </c>
      <c r="O242" s="267">
        <f>+'ต.ค. '!O241+พ.ย.!O240+ธ.ค.!O240</f>
        <v>0</v>
      </c>
      <c r="P242" s="267">
        <f>+'ต.ค. '!P241+พ.ย.!P240+ธ.ค.!P240</f>
        <v>0</v>
      </c>
      <c r="Q242" s="267">
        <f>+'ต.ค. '!Q241+พ.ย.!Q240+ธ.ค.!Q240</f>
        <v>0</v>
      </c>
      <c r="R242" s="267">
        <f>+'ต.ค. '!R241+พ.ย.!R240+ธ.ค.!R240</f>
        <v>0</v>
      </c>
      <c r="S242" s="267">
        <f>+'ต.ค. '!S241+พ.ย.!S240+ธ.ค.!S240</f>
        <v>0</v>
      </c>
      <c r="T242" s="267"/>
      <c r="U242" s="267">
        <f>+'ต.ค. '!U241+พ.ย.!U240+ธ.ค.!U240</f>
        <v>0</v>
      </c>
      <c r="V242" s="267">
        <f>+'ต.ค. '!V241+พ.ย.!V240+ธ.ค.!V240</f>
        <v>0</v>
      </c>
    </row>
    <row r="243" spans="1:22" ht="25.5" customHeight="1">
      <c r="A243" s="20"/>
      <c r="B243" s="186"/>
      <c r="C243" s="295"/>
      <c r="D243" s="131"/>
      <c r="E243" s="267"/>
      <c r="F243" s="267"/>
      <c r="G243" s="267"/>
      <c r="H243" s="267"/>
      <c r="I243" s="267"/>
      <c r="J243" s="267"/>
      <c r="K243" s="267"/>
      <c r="L243" s="267"/>
      <c r="M243" s="267"/>
      <c r="N243" s="267"/>
      <c r="O243" s="267"/>
      <c r="P243" s="267"/>
      <c r="Q243" s="267"/>
      <c r="R243" s="267"/>
      <c r="S243" s="267"/>
      <c r="T243" s="267"/>
      <c r="U243" s="267"/>
      <c r="V243" s="267"/>
    </row>
    <row r="244" spans="1:22" ht="25.5" customHeight="1">
      <c r="A244" s="20"/>
      <c r="B244" s="252" t="s">
        <v>336</v>
      </c>
      <c r="C244" s="295"/>
      <c r="D244" s="131"/>
      <c r="E244" s="267"/>
      <c r="F244" s="135"/>
      <c r="G244" s="135"/>
      <c r="H244" s="135"/>
      <c r="I244" s="131"/>
      <c r="J244" s="131"/>
      <c r="K244" s="131"/>
      <c r="L244" s="131"/>
      <c r="M244" s="135"/>
      <c r="N244" s="131"/>
      <c r="O244" s="131"/>
      <c r="P244" s="131"/>
      <c r="Q244" s="131"/>
      <c r="R244" s="217"/>
      <c r="S244" s="219"/>
      <c r="T244" s="219"/>
      <c r="U244" s="217"/>
      <c r="V244" s="217"/>
    </row>
    <row r="245" spans="1:22" ht="25.5" customHeight="1">
      <c r="A245" s="20"/>
      <c r="B245" s="186" t="s">
        <v>337</v>
      </c>
      <c r="C245" s="295">
        <v>9000</v>
      </c>
      <c r="D245" s="131"/>
      <c r="E245" s="267">
        <f>+'ต.ค. '!E244+พ.ย.!E242+ธ.ค.!E242</f>
        <v>0</v>
      </c>
      <c r="F245" s="267">
        <f>+'ต.ค. '!F244+พ.ย.!F242+ธ.ค.!F242</f>
        <v>0</v>
      </c>
      <c r="G245" s="267">
        <f>+'ต.ค. '!G244+พ.ย.!G242+ธ.ค.!G242</f>
        <v>0</v>
      </c>
      <c r="H245" s="267">
        <f>+'ต.ค. '!H244+พ.ย.!H242+ธ.ค.!H242</f>
        <v>0</v>
      </c>
      <c r="I245" s="267">
        <f>+'ต.ค. '!I244+พ.ย.!I242+ธ.ค.!I242</f>
        <v>0</v>
      </c>
      <c r="J245" s="267">
        <f>+'ต.ค. '!J244+พ.ย.!J242+ธ.ค.!J242</f>
        <v>0</v>
      </c>
      <c r="K245" s="267">
        <f>+'ต.ค. '!K244+พ.ย.!K242+ธ.ค.!K242</f>
        <v>0</v>
      </c>
      <c r="L245" s="267">
        <f>+'ต.ค. '!L244+พ.ย.!L242+ธ.ค.!L242</f>
        <v>0</v>
      </c>
      <c r="M245" s="267">
        <f>+'ต.ค. '!M244+พ.ย.!M242+ธ.ค.!M242</f>
        <v>0</v>
      </c>
      <c r="N245" s="267">
        <f>+'ต.ค. '!N244+พ.ย.!N242+ธ.ค.!N242</f>
        <v>0</v>
      </c>
      <c r="O245" s="267">
        <f>+'ต.ค. '!O244+พ.ย.!O242+ธ.ค.!O242</f>
        <v>0</v>
      </c>
      <c r="P245" s="267">
        <f>+'ต.ค. '!P244+พ.ย.!P242+ธ.ค.!P242</f>
        <v>0</v>
      </c>
      <c r="Q245" s="267">
        <f>+'ต.ค. '!Q244+พ.ย.!Q242+ธ.ค.!Q242</f>
        <v>0</v>
      </c>
      <c r="R245" s="267">
        <f>+'ต.ค. '!R244+พ.ย.!R242+ธ.ค.!R242</f>
        <v>0</v>
      </c>
      <c r="S245" s="267">
        <f>+'ต.ค. '!S244+พ.ย.!S242+ธ.ค.!S242</f>
        <v>0</v>
      </c>
      <c r="T245" s="267"/>
      <c r="U245" s="267">
        <f>+'ต.ค. '!U244+พ.ย.!U242+ธ.ค.!U242</f>
        <v>0</v>
      </c>
      <c r="V245" s="267">
        <f>+'ต.ค. '!V244+พ.ย.!V242+ธ.ค.!V242</f>
        <v>0</v>
      </c>
    </row>
    <row r="246" spans="1:22" ht="25.5" customHeight="1">
      <c r="A246" s="20"/>
      <c r="B246" s="186"/>
      <c r="C246" s="295"/>
      <c r="D246" s="131"/>
      <c r="E246" s="267"/>
      <c r="F246" s="267"/>
      <c r="G246" s="267"/>
      <c r="H246" s="267"/>
      <c r="I246" s="267"/>
      <c r="J246" s="267"/>
      <c r="K246" s="267"/>
      <c r="L246" s="267"/>
      <c r="M246" s="267"/>
      <c r="N246" s="267"/>
      <c r="O246" s="267"/>
      <c r="P246" s="267"/>
      <c r="Q246" s="267"/>
      <c r="R246" s="267"/>
      <c r="S246" s="267"/>
      <c r="T246" s="267"/>
      <c r="U246" s="267"/>
      <c r="V246" s="267"/>
    </row>
    <row r="247" spans="1:22" ht="25.5" customHeight="1">
      <c r="A247" s="20"/>
      <c r="B247" s="252" t="s">
        <v>338</v>
      </c>
      <c r="C247" s="295"/>
      <c r="D247" s="131"/>
      <c r="E247" s="267"/>
      <c r="F247" s="135"/>
      <c r="G247" s="135"/>
      <c r="H247" s="135"/>
      <c r="I247" s="131"/>
      <c r="J247" s="131"/>
      <c r="K247" s="131"/>
      <c r="L247" s="131"/>
      <c r="M247" s="135"/>
      <c r="N247" s="131"/>
      <c r="O247" s="131"/>
      <c r="P247" s="131"/>
      <c r="Q247" s="131"/>
      <c r="R247" s="217"/>
      <c r="S247" s="219"/>
      <c r="T247" s="219"/>
      <c r="U247" s="217"/>
      <c r="V247" s="217"/>
    </row>
    <row r="248" spans="1:22" ht="25.5" customHeight="1">
      <c r="A248" s="20"/>
      <c r="B248" s="186" t="s">
        <v>339</v>
      </c>
      <c r="C248" s="295">
        <v>8000</v>
      </c>
      <c r="D248" s="131"/>
      <c r="E248" s="267">
        <f>+'ต.ค. '!E247+พ.ย.!E244+ธ.ค.!E244</f>
        <v>0</v>
      </c>
      <c r="F248" s="267">
        <f>+'ต.ค. '!F247+พ.ย.!F244+ธ.ค.!F244</f>
        <v>0</v>
      </c>
      <c r="G248" s="267">
        <f>+'ต.ค. '!G247+พ.ย.!G244+ธ.ค.!G244</f>
        <v>0</v>
      </c>
      <c r="H248" s="267">
        <f>+'ต.ค. '!H247+พ.ย.!H244+ธ.ค.!H244</f>
        <v>0</v>
      </c>
      <c r="I248" s="267">
        <f>+'ต.ค. '!I247+พ.ย.!I244+ธ.ค.!I244</f>
        <v>0</v>
      </c>
      <c r="J248" s="267">
        <f>+'ต.ค. '!J247+พ.ย.!J244+ธ.ค.!J244</f>
        <v>0</v>
      </c>
      <c r="K248" s="267">
        <f>+'ต.ค. '!K247+พ.ย.!K244+ธ.ค.!K244</f>
        <v>0</v>
      </c>
      <c r="L248" s="267">
        <f>+'ต.ค. '!L247+พ.ย.!L244+ธ.ค.!L244</f>
        <v>0</v>
      </c>
      <c r="M248" s="267">
        <f>+'ต.ค. '!M247+พ.ย.!M244+ธ.ค.!M244</f>
        <v>0</v>
      </c>
      <c r="N248" s="267">
        <f>+'ต.ค. '!N247+พ.ย.!N244+ธ.ค.!N244</f>
        <v>0</v>
      </c>
      <c r="O248" s="267">
        <f>+'ต.ค. '!O247+พ.ย.!O244+ธ.ค.!O244</f>
        <v>0</v>
      </c>
      <c r="P248" s="267">
        <f>+'ต.ค. '!P247+พ.ย.!P244+ธ.ค.!P244</f>
        <v>0</v>
      </c>
      <c r="Q248" s="267">
        <f>+'ต.ค. '!Q247+พ.ย.!Q244+ธ.ค.!Q244</f>
        <v>0</v>
      </c>
      <c r="R248" s="267">
        <f>+'ต.ค. '!R247+พ.ย.!R244+ธ.ค.!R244</f>
        <v>0</v>
      </c>
      <c r="S248" s="267">
        <f>+'ต.ค. '!S247+พ.ย.!S244+ธ.ค.!S244</f>
        <v>0</v>
      </c>
      <c r="T248" s="267"/>
      <c r="U248" s="267">
        <f>+'ต.ค. '!U247+พ.ย.!U244+ธ.ค.!U244</f>
        <v>0</v>
      </c>
      <c r="V248" s="267">
        <f>+'ต.ค. '!V247+พ.ย.!V244+ธ.ค.!V244</f>
        <v>0</v>
      </c>
    </row>
    <row r="249" spans="1:22" ht="25.5" customHeight="1">
      <c r="A249" s="20"/>
      <c r="B249" s="186" t="s">
        <v>340</v>
      </c>
      <c r="C249" s="295">
        <v>6000</v>
      </c>
      <c r="D249" s="131"/>
      <c r="E249" s="267">
        <f>+'ต.ค. '!E248+พ.ย.!E245+ธ.ค.!E245</f>
        <v>0</v>
      </c>
      <c r="F249" s="267">
        <f>+'ต.ค. '!F248+พ.ย.!F245+ธ.ค.!F245</f>
        <v>0</v>
      </c>
      <c r="G249" s="267">
        <f>+'ต.ค. '!G248+พ.ย.!G245+ธ.ค.!G245</f>
        <v>0</v>
      </c>
      <c r="H249" s="267">
        <f>+'ต.ค. '!H248+พ.ย.!H245+ธ.ค.!H245</f>
        <v>0</v>
      </c>
      <c r="I249" s="267">
        <f>+'ต.ค. '!I248+พ.ย.!I245+ธ.ค.!I245</f>
        <v>0</v>
      </c>
      <c r="J249" s="267">
        <f>+'ต.ค. '!J248+พ.ย.!J245+ธ.ค.!J245</f>
        <v>0</v>
      </c>
      <c r="K249" s="267">
        <f>+'ต.ค. '!K248+พ.ย.!K245+ธ.ค.!K245</f>
        <v>0</v>
      </c>
      <c r="L249" s="267">
        <f>+'ต.ค. '!L248+พ.ย.!L245+ธ.ค.!L245</f>
        <v>0</v>
      </c>
      <c r="M249" s="267">
        <f>+'ต.ค. '!M248+พ.ย.!M245+ธ.ค.!M245</f>
        <v>0</v>
      </c>
      <c r="N249" s="267">
        <f>+'ต.ค. '!N248+พ.ย.!N245+ธ.ค.!N245</f>
        <v>0</v>
      </c>
      <c r="O249" s="267">
        <f>+'ต.ค. '!O248+พ.ย.!O245+ธ.ค.!O245</f>
        <v>0</v>
      </c>
      <c r="P249" s="267">
        <f>+'ต.ค. '!P248+พ.ย.!P245+ธ.ค.!P245</f>
        <v>0</v>
      </c>
      <c r="Q249" s="267">
        <f>+'ต.ค. '!Q248+พ.ย.!Q245+ธ.ค.!Q245</f>
        <v>0</v>
      </c>
      <c r="R249" s="267">
        <f>+'ต.ค. '!R248+พ.ย.!R245+ธ.ค.!R245</f>
        <v>0</v>
      </c>
      <c r="S249" s="267">
        <f>+'ต.ค. '!S248+พ.ย.!S245+ธ.ค.!S245</f>
        <v>0</v>
      </c>
      <c r="T249" s="267"/>
      <c r="U249" s="267">
        <f>+'ต.ค. '!U248+พ.ย.!U245+ธ.ค.!U245</f>
        <v>0</v>
      </c>
      <c r="V249" s="267">
        <f>+'ต.ค. '!V248+พ.ย.!V245+ธ.ค.!V245</f>
        <v>0</v>
      </c>
    </row>
    <row r="250" spans="1:22" ht="25.5" customHeight="1">
      <c r="A250" s="20"/>
      <c r="B250" s="186"/>
      <c r="C250" s="295"/>
      <c r="D250" s="131"/>
      <c r="E250" s="267"/>
      <c r="F250" s="267"/>
      <c r="G250" s="267"/>
      <c r="H250" s="267"/>
      <c r="I250" s="267"/>
      <c r="J250" s="267"/>
      <c r="K250" s="267"/>
      <c r="L250" s="267"/>
      <c r="M250" s="267"/>
      <c r="N250" s="267"/>
      <c r="O250" s="267"/>
      <c r="P250" s="267"/>
      <c r="Q250" s="267"/>
      <c r="R250" s="267"/>
      <c r="S250" s="267"/>
      <c r="T250" s="267"/>
      <c r="U250" s="267"/>
      <c r="V250" s="267"/>
    </row>
    <row r="251" spans="1:22" ht="25.5" customHeight="1">
      <c r="A251" s="20"/>
      <c r="B251" s="252" t="s">
        <v>341</v>
      </c>
      <c r="C251" s="295"/>
      <c r="D251" s="131"/>
      <c r="E251" s="267"/>
      <c r="F251" s="135"/>
      <c r="G251" s="135"/>
      <c r="H251" s="135"/>
      <c r="I251" s="131"/>
      <c r="J251" s="131"/>
      <c r="K251" s="131"/>
      <c r="L251" s="131"/>
      <c r="M251" s="135"/>
      <c r="N251" s="131"/>
      <c r="O251" s="131"/>
      <c r="P251" s="131"/>
      <c r="Q251" s="131"/>
      <c r="R251" s="217"/>
      <c r="S251" s="219"/>
      <c r="T251" s="219"/>
      <c r="U251" s="217"/>
      <c r="V251" s="217"/>
    </row>
    <row r="252" spans="1:22" ht="25.5" customHeight="1">
      <c r="A252" s="20"/>
      <c r="B252" s="186" t="s">
        <v>342</v>
      </c>
      <c r="C252" s="295">
        <v>45300</v>
      </c>
      <c r="D252" s="131"/>
      <c r="E252" s="267">
        <f>+'ต.ค. '!E251+พ.ย.!E247+ธ.ค.!E247</f>
        <v>0</v>
      </c>
      <c r="F252" s="267">
        <f>+'ต.ค. '!F251+พ.ย.!F247+ธ.ค.!F247</f>
        <v>0</v>
      </c>
      <c r="G252" s="267">
        <f>+'ต.ค. '!G251+พ.ย.!G247+ธ.ค.!G247</f>
        <v>0</v>
      </c>
      <c r="H252" s="267">
        <f>+'ต.ค. '!H251+พ.ย.!H247+ธ.ค.!H247</f>
        <v>0</v>
      </c>
      <c r="I252" s="267">
        <f>+'ต.ค. '!I251+พ.ย.!I247+ธ.ค.!I247</f>
        <v>0</v>
      </c>
      <c r="J252" s="267">
        <f>+'ต.ค. '!J251+พ.ย.!J247+ธ.ค.!J247</f>
        <v>0</v>
      </c>
      <c r="K252" s="267">
        <f>+'ต.ค. '!K251+พ.ย.!K247+ธ.ค.!K247</f>
        <v>0</v>
      </c>
      <c r="L252" s="267">
        <f>+'ต.ค. '!L251+พ.ย.!L247+ธ.ค.!L247</f>
        <v>0</v>
      </c>
      <c r="M252" s="267">
        <f>+'ต.ค. '!M251+พ.ย.!M247+ธ.ค.!M247</f>
        <v>0</v>
      </c>
      <c r="N252" s="267">
        <f>+'ต.ค. '!N251+พ.ย.!N247+ธ.ค.!N247</f>
        <v>0</v>
      </c>
      <c r="O252" s="267">
        <f>+'ต.ค. '!O251+พ.ย.!O247+ธ.ค.!O247</f>
        <v>0</v>
      </c>
      <c r="P252" s="267">
        <f>+'ต.ค. '!P251+พ.ย.!P247+ธ.ค.!P247</f>
        <v>0</v>
      </c>
      <c r="Q252" s="267">
        <f>+'ต.ค. '!Q251+พ.ย.!Q247+ธ.ค.!Q247</f>
        <v>0</v>
      </c>
      <c r="R252" s="267">
        <f>+'ต.ค. '!R251+พ.ย.!R247+ธ.ค.!R247</f>
        <v>0</v>
      </c>
      <c r="S252" s="267">
        <f>+'ต.ค. '!S251+พ.ย.!S247+ธ.ค.!S247</f>
        <v>0</v>
      </c>
      <c r="T252" s="267"/>
      <c r="U252" s="267">
        <f>+'ต.ค. '!U251+พ.ย.!U247+ธ.ค.!U247</f>
        <v>0</v>
      </c>
      <c r="V252" s="267">
        <f>+'ต.ค. '!V251+พ.ย.!V247+ธ.ค.!V247</f>
        <v>0</v>
      </c>
    </row>
    <row r="253" spans="1:22" ht="25.5" customHeight="1">
      <c r="A253" s="20"/>
      <c r="B253" s="186" t="s">
        <v>343</v>
      </c>
      <c r="C253" s="295">
        <v>128000</v>
      </c>
      <c r="D253" s="131"/>
      <c r="E253" s="267">
        <f>+'ต.ค. '!E252+พ.ย.!E248+ธ.ค.!E248</f>
        <v>0</v>
      </c>
      <c r="F253" s="267">
        <f>+'ต.ค. '!F252+พ.ย.!F248+ธ.ค.!F248</f>
        <v>0</v>
      </c>
      <c r="G253" s="267">
        <f>+'ต.ค. '!G252+พ.ย.!G248+ธ.ค.!G248</f>
        <v>0</v>
      </c>
      <c r="H253" s="267">
        <f>+'ต.ค. '!H252+พ.ย.!H248+ธ.ค.!H248</f>
        <v>0</v>
      </c>
      <c r="I253" s="267">
        <f>+'ต.ค. '!I252+พ.ย.!I248+ธ.ค.!I248</f>
        <v>0</v>
      </c>
      <c r="J253" s="267">
        <f>+'ต.ค. '!J252+พ.ย.!J248+ธ.ค.!J248</f>
        <v>0</v>
      </c>
      <c r="K253" s="267">
        <f>+'ต.ค. '!K252+พ.ย.!K248+ธ.ค.!K248</f>
        <v>0</v>
      </c>
      <c r="L253" s="267">
        <f>+'ต.ค. '!L252+พ.ย.!L248+ธ.ค.!L248</f>
        <v>0</v>
      </c>
      <c r="M253" s="267">
        <f>+'ต.ค. '!M252+พ.ย.!M248+ธ.ค.!M248</f>
        <v>0</v>
      </c>
      <c r="N253" s="267">
        <f>+'ต.ค. '!N252+พ.ย.!N248+ธ.ค.!N248</f>
        <v>0</v>
      </c>
      <c r="O253" s="267">
        <f>+'ต.ค. '!O252+พ.ย.!O248+ธ.ค.!O248</f>
        <v>0</v>
      </c>
      <c r="P253" s="267">
        <f>+'ต.ค. '!P252+พ.ย.!P248+ธ.ค.!P248</f>
        <v>0</v>
      </c>
      <c r="Q253" s="267">
        <f>+'ต.ค. '!Q252+พ.ย.!Q248+ธ.ค.!Q248</f>
        <v>0</v>
      </c>
      <c r="R253" s="267">
        <f>+'ต.ค. '!R252+พ.ย.!R248+ธ.ค.!R248</f>
        <v>0</v>
      </c>
      <c r="S253" s="267">
        <f>+'ต.ค. '!S252+พ.ย.!S248+ธ.ค.!S248</f>
        <v>0</v>
      </c>
      <c r="T253" s="267"/>
      <c r="U253" s="267">
        <f>+'ต.ค. '!U252+พ.ย.!U248+ธ.ค.!U248</f>
        <v>0</v>
      </c>
      <c r="V253" s="267">
        <f>+'ต.ค. '!V252+พ.ย.!V248+ธ.ค.!V248</f>
        <v>0</v>
      </c>
    </row>
    <row r="254" spans="1:22" ht="25.5" customHeight="1">
      <c r="A254" s="20"/>
      <c r="B254" s="186" t="s">
        <v>264</v>
      </c>
      <c r="C254" s="295">
        <v>204000</v>
      </c>
      <c r="D254" s="131"/>
      <c r="E254" s="267">
        <f>+'ต.ค. '!E253+พ.ย.!E249+ธ.ค.!E249</f>
        <v>0</v>
      </c>
      <c r="F254" s="267">
        <f>+'ต.ค. '!F253+พ.ย.!F249+ธ.ค.!F249</f>
        <v>0</v>
      </c>
      <c r="G254" s="267">
        <f>+'ต.ค. '!G253+พ.ย.!G249+ธ.ค.!G249</f>
        <v>0</v>
      </c>
      <c r="H254" s="267">
        <f>+'ต.ค. '!H253+พ.ย.!H249+ธ.ค.!H249</f>
        <v>0</v>
      </c>
      <c r="I254" s="267">
        <f>+'ต.ค. '!I253+พ.ย.!I249+ธ.ค.!I249</f>
        <v>0</v>
      </c>
      <c r="J254" s="267">
        <f>+'ต.ค. '!J253+พ.ย.!J249+ธ.ค.!J249</f>
        <v>0</v>
      </c>
      <c r="K254" s="267">
        <f>+'ต.ค. '!K253+พ.ย.!K249+ธ.ค.!K249</f>
        <v>0</v>
      </c>
      <c r="L254" s="267">
        <f>+'ต.ค. '!L253+พ.ย.!L249+ธ.ค.!L249</f>
        <v>0</v>
      </c>
      <c r="M254" s="267">
        <f>+'ต.ค. '!M253+พ.ย.!M249+ธ.ค.!M249</f>
        <v>0</v>
      </c>
      <c r="N254" s="267">
        <f>+'ต.ค. '!N253+พ.ย.!N249+ธ.ค.!N249</f>
        <v>0</v>
      </c>
      <c r="O254" s="267">
        <f>+'ต.ค. '!O253+พ.ย.!O249+ธ.ค.!O249</f>
        <v>0</v>
      </c>
      <c r="P254" s="267">
        <f>+'ต.ค. '!P253+พ.ย.!P249+ธ.ค.!P249</f>
        <v>0</v>
      </c>
      <c r="Q254" s="267">
        <f>+'ต.ค. '!Q253+พ.ย.!Q249+ธ.ค.!Q249</f>
        <v>0</v>
      </c>
      <c r="R254" s="267">
        <f>+'ต.ค. '!R253+พ.ย.!R249+ธ.ค.!R249</f>
        <v>0</v>
      </c>
      <c r="S254" s="267">
        <f>+'ต.ค. '!S253+พ.ย.!S249+ธ.ค.!S249</f>
        <v>0</v>
      </c>
      <c r="T254" s="267"/>
      <c r="U254" s="267">
        <f>+'ต.ค. '!U253+พ.ย.!U249+ธ.ค.!U249</f>
        <v>0</v>
      </c>
      <c r="V254" s="267">
        <f>+'ต.ค. '!V253+พ.ย.!V249+ธ.ค.!V249</f>
        <v>0</v>
      </c>
    </row>
    <row r="255" spans="1:22" ht="25.5" customHeight="1">
      <c r="A255" s="20"/>
      <c r="B255" s="186" t="s">
        <v>381</v>
      </c>
      <c r="C255" s="295">
        <v>204000</v>
      </c>
      <c r="D255" s="131"/>
      <c r="E255" s="267">
        <f>+'ต.ค. '!E254+พ.ย.!E250+ธ.ค.!E250</f>
        <v>0</v>
      </c>
      <c r="F255" s="267">
        <f>+'ต.ค. '!F254+พ.ย.!F250+ธ.ค.!F250</f>
        <v>0</v>
      </c>
      <c r="G255" s="267">
        <f>+'ต.ค. '!G254+พ.ย.!G250+ธ.ค.!G250</f>
        <v>0</v>
      </c>
      <c r="H255" s="267">
        <f>+'ต.ค. '!H254+พ.ย.!H250+ธ.ค.!H250</f>
        <v>0</v>
      </c>
      <c r="I255" s="267">
        <f>+'ต.ค. '!I254+พ.ย.!I250+ธ.ค.!I250</f>
        <v>0</v>
      </c>
      <c r="J255" s="267">
        <f>+'ต.ค. '!J254+พ.ย.!J250+ธ.ค.!J250</f>
        <v>0</v>
      </c>
      <c r="K255" s="267">
        <f>+'ต.ค. '!K254+พ.ย.!K250+ธ.ค.!K250</f>
        <v>0</v>
      </c>
      <c r="L255" s="267">
        <f>+'ต.ค. '!L254+พ.ย.!L250+ธ.ค.!L250</f>
        <v>0</v>
      </c>
      <c r="M255" s="267">
        <f>+'ต.ค. '!M254+พ.ย.!M250+ธ.ค.!M250</f>
        <v>0</v>
      </c>
      <c r="N255" s="267">
        <f>+'ต.ค. '!N254+พ.ย.!N250+ธ.ค.!N250</f>
        <v>0</v>
      </c>
      <c r="O255" s="267">
        <f>+'ต.ค. '!O254+พ.ย.!O250+ธ.ค.!O250</f>
        <v>0</v>
      </c>
      <c r="P255" s="267">
        <f>+'ต.ค. '!P254+พ.ย.!P250+ธ.ค.!P250</f>
        <v>0</v>
      </c>
      <c r="Q255" s="267">
        <f>+'ต.ค. '!Q254+พ.ย.!Q250+ธ.ค.!Q250</f>
        <v>0</v>
      </c>
      <c r="R255" s="267">
        <f>+'ต.ค. '!R254+พ.ย.!R250+ธ.ค.!R250</f>
        <v>0</v>
      </c>
      <c r="S255" s="267">
        <f>+'ต.ค. '!S254+พ.ย.!S250+ธ.ค.!S250</f>
        <v>0</v>
      </c>
      <c r="T255" s="267"/>
      <c r="U255" s="267">
        <f>+'ต.ค. '!U254+พ.ย.!U250+ธ.ค.!U250</f>
        <v>0</v>
      </c>
      <c r="V255" s="267">
        <f>+'ต.ค. '!V254+พ.ย.!V250+ธ.ค.!V250</f>
        <v>0</v>
      </c>
    </row>
    <row r="256" spans="1:22" ht="25.5" customHeight="1">
      <c r="A256" s="20"/>
      <c r="B256" s="186" t="s">
        <v>344</v>
      </c>
      <c r="C256" s="295">
        <v>204000</v>
      </c>
      <c r="D256" s="131"/>
      <c r="E256" s="267">
        <f>+'ต.ค. '!E255+พ.ย.!E251+ธ.ค.!E251</f>
        <v>0</v>
      </c>
      <c r="F256" s="267">
        <f>+'ต.ค. '!F255+พ.ย.!F251+ธ.ค.!F251</f>
        <v>0</v>
      </c>
      <c r="G256" s="267">
        <f>+'ต.ค. '!G255+พ.ย.!G251+ธ.ค.!G251</f>
        <v>0</v>
      </c>
      <c r="H256" s="267">
        <f>+'ต.ค. '!H255+พ.ย.!H251+ธ.ค.!H251</f>
        <v>0</v>
      </c>
      <c r="I256" s="267">
        <f>+'ต.ค. '!I255+พ.ย.!I251+ธ.ค.!I251</f>
        <v>0</v>
      </c>
      <c r="J256" s="267">
        <f>+'ต.ค. '!J255+พ.ย.!J251+ธ.ค.!J251</f>
        <v>0</v>
      </c>
      <c r="K256" s="267">
        <f>+'ต.ค. '!K255+พ.ย.!K251+ธ.ค.!K251</f>
        <v>0</v>
      </c>
      <c r="L256" s="267">
        <f>+'ต.ค. '!L255+พ.ย.!L251+ธ.ค.!L251</f>
        <v>0</v>
      </c>
      <c r="M256" s="267">
        <f>+'ต.ค. '!M255+พ.ย.!M251+ธ.ค.!M251</f>
        <v>0</v>
      </c>
      <c r="N256" s="267">
        <f>+'ต.ค. '!N255+พ.ย.!N251+ธ.ค.!N251</f>
        <v>0</v>
      </c>
      <c r="O256" s="267">
        <f>+'ต.ค. '!O255+พ.ย.!O251+ธ.ค.!O251</f>
        <v>0</v>
      </c>
      <c r="P256" s="267">
        <f>+'ต.ค. '!P255+พ.ย.!P251+ธ.ค.!P251</f>
        <v>0</v>
      </c>
      <c r="Q256" s="267">
        <f>+'ต.ค. '!Q255+พ.ย.!Q251+ธ.ค.!Q251</f>
        <v>0</v>
      </c>
      <c r="R256" s="267">
        <f>+'ต.ค. '!R255+พ.ย.!R251+ธ.ค.!R251</f>
        <v>0</v>
      </c>
      <c r="S256" s="267">
        <f>+'ต.ค. '!S255+พ.ย.!S251+ธ.ค.!S251</f>
        <v>0</v>
      </c>
      <c r="T256" s="267"/>
      <c r="U256" s="267">
        <f>+'ต.ค. '!U255+พ.ย.!U251+ธ.ค.!U251</f>
        <v>0</v>
      </c>
      <c r="V256" s="267">
        <f>+'ต.ค. '!V255+พ.ย.!V251+ธ.ค.!V251</f>
        <v>0</v>
      </c>
    </row>
    <row r="257" spans="1:23" ht="25.5" customHeight="1">
      <c r="A257" s="20"/>
      <c r="B257" s="186" t="s">
        <v>345</v>
      </c>
      <c r="C257" s="295">
        <v>217000</v>
      </c>
      <c r="D257" s="131"/>
      <c r="E257" s="267">
        <f>+'ต.ค. '!E256+พ.ย.!E252+ธ.ค.!E252</f>
        <v>0</v>
      </c>
      <c r="F257" s="267">
        <f>+'ต.ค. '!F256+พ.ย.!F252+ธ.ค.!F252</f>
        <v>0</v>
      </c>
      <c r="G257" s="267">
        <f>+'ต.ค. '!G256+พ.ย.!G252+ธ.ค.!G252</f>
        <v>0</v>
      </c>
      <c r="H257" s="267">
        <f>+'ต.ค. '!H256+พ.ย.!H252+ธ.ค.!H252</f>
        <v>0</v>
      </c>
      <c r="I257" s="267">
        <f>+'ต.ค. '!I256+พ.ย.!I252+ธ.ค.!I252</f>
        <v>0</v>
      </c>
      <c r="J257" s="267">
        <f>+'ต.ค. '!J256+พ.ย.!J252+ธ.ค.!J252</f>
        <v>0</v>
      </c>
      <c r="K257" s="267">
        <f>+'ต.ค. '!K256+พ.ย.!K252+ธ.ค.!K252</f>
        <v>0</v>
      </c>
      <c r="L257" s="267">
        <f>+'ต.ค. '!L256+พ.ย.!L252+ธ.ค.!L252</f>
        <v>0</v>
      </c>
      <c r="M257" s="267">
        <f>+'ต.ค. '!M256+พ.ย.!M252+ธ.ค.!M252</f>
        <v>0</v>
      </c>
      <c r="N257" s="267">
        <f>+'ต.ค. '!N256+พ.ย.!N252+ธ.ค.!N252</f>
        <v>0</v>
      </c>
      <c r="O257" s="267">
        <f>+'ต.ค. '!O256+พ.ย.!O252+ธ.ค.!O252</f>
        <v>0</v>
      </c>
      <c r="P257" s="267">
        <f>+'ต.ค. '!P256+พ.ย.!P252+ธ.ค.!P252</f>
        <v>0</v>
      </c>
      <c r="Q257" s="267">
        <f>+'ต.ค. '!Q256+พ.ย.!Q252+ธ.ค.!Q252</f>
        <v>0</v>
      </c>
      <c r="R257" s="267">
        <f>+'ต.ค. '!R256+พ.ย.!R252+ธ.ค.!R252</f>
        <v>0</v>
      </c>
      <c r="S257" s="267">
        <f>+'ต.ค. '!S256+พ.ย.!S252+ธ.ค.!S252</f>
        <v>0</v>
      </c>
      <c r="T257" s="267"/>
      <c r="U257" s="267">
        <f>+'ต.ค. '!U256+พ.ย.!U252+ธ.ค.!U252</f>
        <v>0</v>
      </c>
      <c r="V257" s="267">
        <f>+'ต.ค. '!V256+พ.ย.!V252+ธ.ค.!V252</f>
        <v>0</v>
      </c>
    </row>
    <row r="258" spans="1:23" ht="25.5" customHeight="1">
      <c r="A258" s="20"/>
      <c r="B258" s="186" t="s">
        <v>346</v>
      </c>
      <c r="C258" s="295">
        <v>27000</v>
      </c>
      <c r="D258" s="131"/>
      <c r="E258" s="267">
        <f>+'ต.ค. '!E257+พ.ย.!E253+ธ.ค.!E253</f>
        <v>0</v>
      </c>
      <c r="F258" s="267">
        <f>+'ต.ค. '!F257+พ.ย.!F253+ธ.ค.!F253</f>
        <v>0</v>
      </c>
      <c r="G258" s="267">
        <f>+'ต.ค. '!G257+พ.ย.!G253+ธ.ค.!G253</f>
        <v>0</v>
      </c>
      <c r="H258" s="267">
        <f>+'ต.ค. '!H257+พ.ย.!H253+ธ.ค.!H253</f>
        <v>0</v>
      </c>
      <c r="I258" s="267">
        <f>+'ต.ค. '!I257+พ.ย.!I253+ธ.ค.!I253</f>
        <v>0</v>
      </c>
      <c r="J258" s="267">
        <f>+'ต.ค. '!J257+พ.ย.!J253+ธ.ค.!J253</f>
        <v>0</v>
      </c>
      <c r="K258" s="267">
        <f>+'ต.ค. '!K257+พ.ย.!K253+ธ.ค.!K253</f>
        <v>0</v>
      </c>
      <c r="L258" s="267">
        <f>+'ต.ค. '!L257+พ.ย.!L253+ธ.ค.!L253</f>
        <v>0</v>
      </c>
      <c r="M258" s="267">
        <f>+'ต.ค. '!M257+พ.ย.!M253+ธ.ค.!M253</f>
        <v>0</v>
      </c>
      <c r="N258" s="267">
        <f>+'ต.ค. '!N257+พ.ย.!N253+ธ.ค.!N253</f>
        <v>0</v>
      </c>
      <c r="O258" s="267">
        <f>+'ต.ค. '!O257+พ.ย.!O253+ธ.ค.!O253</f>
        <v>0</v>
      </c>
      <c r="P258" s="267">
        <f>+'ต.ค. '!P257+พ.ย.!P253+ธ.ค.!P253</f>
        <v>0</v>
      </c>
      <c r="Q258" s="267">
        <f>+'ต.ค. '!Q257+พ.ย.!Q253+ธ.ค.!Q253</f>
        <v>0</v>
      </c>
      <c r="R258" s="267">
        <f>+'ต.ค. '!R257+พ.ย.!R253+ธ.ค.!R253</f>
        <v>0</v>
      </c>
      <c r="S258" s="267">
        <f>+'ต.ค. '!S257+พ.ย.!S253+ธ.ค.!S253</f>
        <v>0</v>
      </c>
      <c r="T258" s="267"/>
      <c r="U258" s="267">
        <f>+'ต.ค. '!U257+พ.ย.!U253+ธ.ค.!U253</f>
        <v>0</v>
      </c>
      <c r="V258" s="267">
        <f>+'ต.ค. '!V257+พ.ย.!V253+ธ.ค.!V253</f>
        <v>0</v>
      </c>
    </row>
    <row r="259" spans="1:23" ht="25.5" customHeight="1">
      <c r="A259" s="20"/>
      <c r="B259" s="186" t="s">
        <v>347</v>
      </c>
      <c r="C259" s="295">
        <v>211000</v>
      </c>
      <c r="D259" s="131"/>
      <c r="E259" s="267">
        <f>+'ต.ค. '!E258+พ.ย.!E254+ธ.ค.!E254</f>
        <v>0</v>
      </c>
      <c r="F259" s="267">
        <f>+'ต.ค. '!F258+พ.ย.!F254+ธ.ค.!F254</f>
        <v>0</v>
      </c>
      <c r="G259" s="267">
        <f>+'ต.ค. '!G258+พ.ย.!G254+ธ.ค.!G254</f>
        <v>0</v>
      </c>
      <c r="H259" s="267">
        <f>+'ต.ค. '!H258+พ.ย.!H254+ธ.ค.!H254</f>
        <v>0</v>
      </c>
      <c r="I259" s="267">
        <f>+'ต.ค. '!I258+พ.ย.!I254+ธ.ค.!I254</f>
        <v>0</v>
      </c>
      <c r="J259" s="267">
        <f>+'ต.ค. '!J258+พ.ย.!J254+ธ.ค.!J254</f>
        <v>0</v>
      </c>
      <c r="K259" s="267">
        <f>+'ต.ค. '!K258+พ.ย.!K254+ธ.ค.!K254</f>
        <v>0</v>
      </c>
      <c r="L259" s="267">
        <f>+'ต.ค. '!L258+พ.ย.!L254+ธ.ค.!L254</f>
        <v>0</v>
      </c>
      <c r="M259" s="267">
        <f>+'ต.ค. '!M258+พ.ย.!M254+ธ.ค.!M254</f>
        <v>0</v>
      </c>
      <c r="N259" s="267">
        <f>+'ต.ค. '!N258+พ.ย.!N254+ธ.ค.!N254</f>
        <v>0</v>
      </c>
      <c r="O259" s="267">
        <f>+'ต.ค. '!O258+พ.ย.!O254+ธ.ค.!O254</f>
        <v>0</v>
      </c>
      <c r="P259" s="267">
        <f>+'ต.ค. '!P258+พ.ย.!P254+ธ.ค.!P254</f>
        <v>0</v>
      </c>
      <c r="Q259" s="267">
        <f>+'ต.ค. '!Q258+พ.ย.!Q254+ธ.ค.!Q254</f>
        <v>0</v>
      </c>
      <c r="R259" s="267">
        <f>+'ต.ค. '!R258+พ.ย.!R254+ธ.ค.!R254</f>
        <v>0</v>
      </c>
      <c r="S259" s="267">
        <f>+'ต.ค. '!S258+พ.ย.!S254+ธ.ค.!S254</f>
        <v>0</v>
      </c>
      <c r="T259" s="267"/>
      <c r="U259" s="267">
        <f>+'ต.ค. '!U258+พ.ย.!U254+ธ.ค.!U254</f>
        <v>0</v>
      </c>
      <c r="V259" s="267">
        <f>+'ต.ค. '!V258+พ.ย.!V254+ธ.ค.!V254</f>
        <v>0</v>
      </c>
    </row>
    <row r="260" spans="1:23" ht="25.5" customHeight="1">
      <c r="A260" s="20"/>
      <c r="B260" s="186" t="s">
        <v>348</v>
      </c>
      <c r="C260" s="295">
        <v>211000</v>
      </c>
      <c r="D260" s="131"/>
      <c r="E260" s="267">
        <f>+'ต.ค. '!E259+พ.ย.!E255+ธ.ค.!E255</f>
        <v>0</v>
      </c>
      <c r="F260" s="267">
        <f>+'ต.ค. '!F259+พ.ย.!F255+ธ.ค.!F255</f>
        <v>0</v>
      </c>
      <c r="G260" s="267">
        <f>+'ต.ค. '!G259+พ.ย.!G255+ธ.ค.!G255</f>
        <v>0</v>
      </c>
      <c r="H260" s="267">
        <f>+'ต.ค. '!H259+พ.ย.!H255+ธ.ค.!H255</f>
        <v>0</v>
      </c>
      <c r="I260" s="267">
        <f>+'ต.ค. '!I259+พ.ย.!I255+ธ.ค.!I255</f>
        <v>0</v>
      </c>
      <c r="J260" s="267">
        <f>+'ต.ค. '!J259+พ.ย.!J255+ธ.ค.!J255</f>
        <v>0</v>
      </c>
      <c r="K260" s="267">
        <f>+'ต.ค. '!K259+พ.ย.!K255+ธ.ค.!K255</f>
        <v>0</v>
      </c>
      <c r="L260" s="267">
        <f>+'ต.ค. '!L259+พ.ย.!L255+ธ.ค.!L255</f>
        <v>0</v>
      </c>
      <c r="M260" s="267">
        <f>+'ต.ค. '!M259+พ.ย.!M255+ธ.ค.!M255</f>
        <v>0</v>
      </c>
      <c r="N260" s="267">
        <f>+'ต.ค. '!N259+พ.ย.!N255+ธ.ค.!N255</f>
        <v>0</v>
      </c>
      <c r="O260" s="267">
        <f>+'ต.ค. '!O259+พ.ย.!O255+ธ.ค.!O255</f>
        <v>0</v>
      </c>
      <c r="P260" s="267">
        <f>+'ต.ค. '!P259+พ.ย.!P255+ธ.ค.!P255</f>
        <v>0</v>
      </c>
      <c r="Q260" s="267">
        <f>+'ต.ค. '!Q259+พ.ย.!Q255+ธ.ค.!Q255</f>
        <v>0</v>
      </c>
      <c r="R260" s="267">
        <f>+'ต.ค. '!R259+พ.ย.!R255+ธ.ค.!R255</f>
        <v>0</v>
      </c>
      <c r="S260" s="267">
        <f>+'ต.ค. '!S259+พ.ย.!S255+ธ.ค.!S255</f>
        <v>0</v>
      </c>
      <c r="T260" s="267"/>
      <c r="U260" s="267">
        <f>+'ต.ค. '!U259+พ.ย.!U255+ธ.ค.!U255</f>
        <v>0</v>
      </c>
      <c r="V260" s="267">
        <f>+'ต.ค. '!V259+พ.ย.!V255+ธ.ค.!V255</f>
        <v>0</v>
      </c>
    </row>
    <row r="261" spans="1:23" ht="25.5" customHeight="1">
      <c r="A261" s="20"/>
      <c r="B261" s="186" t="s">
        <v>349</v>
      </c>
      <c r="C261" s="296">
        <v>688700</v>
      </c>
      <c r="D261" s="131"/>
      <c r="E261" s="267">
        <f>+'ต.ค. '!E260+พ.ย.!E256+ธ.ค.!E256</f>
        <v>0</v>
      </c>
      <c r="F261" s="267">
        <f>+'ต.ค. '!F260+พ.ย.!F256+ธ.ค.!F256</f>
        <v>0</v>
      </c>
      <c r="G261" s="267">
        <f>+'ต.ค. '!G260+พ.ย.!G256+ธ.ค.!G256</f>
        <v>0</v>
      </c>
      <c r="H261" s="267">
        <f>+'ต.ค. '!H260+พ.ย.!H256+ธ.ค.!H256</f>
        <v>0</v>
      </c>
      <c r="I261" s="267">
        <f>+'ต.ค. '!I260+พ.ย.!I256+ธ.ค.!I256</f>
        <v>0</v>
      </c>
      <c r="J261" s="267">
        <f>+'ต.ค. '!J260+พ.ย.!J256+ธ.ค.!J256</f>
        <v>0</v>
      </c>
      <c r="K261" s="267">
        <f>+'ต.ค. '!K260+พ.ย.!K256+ธ.ค.!K256</f>
        <v>0</v>
      </c>
      <c r="L261" s="267">
        <f>+'ต.ค. '!L260+พ.ย.!L256+ธ.ค.!L256</f>
        <v>0</v>
      </c>
      <c r="M261" s="267">
        <f>+'ต.ค. '!M260+พ.ย.!M256+ธ.ค.!M256</f>
        <v>0</v>
      </c>
      <c r="N261" s="267">
        <f>+'ต.ค. '!N260+พ.ย.!N256+ธ.ค.!N256</f>
        <v>0</v>
      </c>
      <c r="O261" s="267">
        <f>+'ต.ค. '!O260+พ.ย.!O256+ธ.ค.!O256</f>
        <v>0</v>
      </c>
      <c r="P261" s="267">
        <f>+'ต.ค. '!P260+พ.ย.!P256+ธ.ค.!P256</f>
        <v>0</v>
      </c>
      <c r="Q261" s="267">
        <f>+'ต.ค. '!Q260+พ.ย.!Q256+ธ.ค.!Q256</f>
        <v>0</v>
      </c>
      <c r="R261" s="267">
        <f>+'ต.ค. '!R260+พ.ย.!R256+ธ.ค.!R256</f>
        <v>0</v>
      </c>
      <c r="S261" s="267">
        <f>+'ต.ค. '!S260+พ.ย.!S256+ธ.ค.!S256</f>
        <v>0</v>
      </c>
      <c r="T261" s="267"/>
      <c r="U261" s="267">
        <f>+'ต.ค. '!U260+พ.ย.!U256+ธ.ค.!U256</f>
        <v>0</v>
      </c>
      <c r="V261" s="267">
        <f>+'ต.ค. '!V260+พ.ย.!V256+ธ.ค.!V256</f>
        <v>0</v>
      </c>
    </row>
    <row r="262" spans="1:23" ht="25.5" customHeight="1">
      <c r="A262" s="20"/>
      <c r="B262" s="186" t="s">
        <v>350</v>
      </c>
      <c r="C262" s="297">
        <v>62000</v>
      </c>
      <c r="D262" s="131"/>
      <c r="E262" s="267">
        <f>+'ต.ค. '!E261+พ.ย.!E257+ธ.ค.!E257</f>
        <v>0</v>
      </c>
      <c r="F262" s="267">
        <f>+'ต.ค. '!F261+พ.ย.!F257+ธ.ค.!F257</f>
        <v>0</v>
      </c>
      <c r="G262" s="267">
        <f>+'ต.ค. '!G261+พ.ย.!G257+ธ.ค.!G257</f>
        <v>0</v>
      </c>
      <c r="H262" s="267">
        <f>+'ต.ค. '!H261+พ.ย.!H257+ธ.ค.!H257</f>
        <v>0</v>
      </c>
      <c r="I262" s="267">
        <f>+'ต.ค. '!I261+พ.ย.!I257+ธ.ค.!I257</f>
        <v>0</v>
      </c>
      <c r="J262" s="267">
        <f>+'ต.ค. '!J261+พ.ย.!J257+ธ.ค.!J257</f>
        <v>0</v>
      </c>
      <c r="K262" s="267">
        <f>+'ต.ค. '!K261+พ.ย.!K257+ธ.ค.!K257</f>
        <v>0</v>
      </c>
      <c r="L262" s="267">
        <f>+'ต.ค. '!L261+พ.ย.!L257+ธ.ค.!L257</f>
        <v>0</v>
      </c>
      <c r="M262" s="267">
        <f>+'ต.ค. '!M261+พ.ย.!M257+ธ.ค.!M257</f>
        <v>0</v>
      </c>
      <c r="N262" s="267">
        <f>+'ต.ค. '!N261+พ.ย.!N257+ธ.ค.!N257</f>
        <v>0</v>
      </c>
      <c r="O262" s="267">
        <f>+'ต.ค. '!O261+พ.ย.!O257+ธ.ค.!O257</f>
        <v>0</v>
      </c>
      <c r="P262" s="267">
        <f>+'ต.ค. '!P261+พ.ย.!P257+ธ.ค.!P257</f>
        <v>0</v>
      </c>
      <c r="Q262" s="267">
        <f>+'ต.ค. '!Q261+พ.ย.!Q257+ธ.ค.!Q257</f>
        <v>0</v>
      </c>
      <c r="R262" s="267">
        <f>+'ต.ค. '!R261+พ.ย.!R257+ธ.ค.!R257</f>
        <v>0</v>
      </c>
      <c r="S262" s="267">
        <f>+'ต.ค. '!S261+พ.ย.!S257+ธ.ค.!S257</f>
        <v>0</v>
      </c>
      <c r="T262" s="267"/>
      <c r="U262" s="267">
        <f>+'ต.ค. '!U261+พ.ย.!U257+ธ.ค.!U257</f>
        <v>0</v>
      </c>
      <c r="V262" s="267">
        <f>+'ต.ค. '!V261+พ.ย.!V257+ธ.ค.!V257</f>
        <v>0</v>
      </c>
    </row>
    <row r="263" spans="1:23" ht="25.5" customHeight="1" thickBot="1">
      <c r="A263" s="24"/>
      <c r="B263" s="45" t="s">
        <v>5</v>
      </c>
      <c r="C263" s="170">
        <f>SUM(C228:C262)</f>
        <v>2383100</v>
      </c>
      <c r="D263" s="255">
        <f>SUM(D228:D262)</f>
        <v>0</v>
      </c>
      <c r="E263" s="254">
        <f t="shared" ref="E263:V263" si="7">SUM(E228:E262)</f>
        <v>0</v>
      </c>
      <c r="F263" s="254">
        <f t="shared" si="7"/>
        <v>0</v>
      </c>
      <c r="G263" s="255">
        <f t="shared" si="7"/>
        <v>0</v>
      </c>
      <c r="H263" s="254">
        <f t="shared" si="7"/>
        <v>0</v>
      </c>
      <c r="I263" s="255">
        <f t="shared" si="7"/>
        <v>0</v>
      </c>
      <c r="J263" s="255">
        <f t="shared" si="7"/>
        <v>0</v>
      </c>
      <c r="K263" s="255">
        <f t="shared" si="7"/>
        <v>0</v>
      </c>
      <c r="L263" s="255">
        <f t="shared" si="7"/>
        <v>0</v>
      </c>
      <c r="M263" s="254">
        <f t="shared" si="7"/>
        <v>0</v>
      </c>
      <c r="N263" s="255">
        <f t="shared" si="7"/>
        <v>0</v>
      </c>
      <c r="O263" s="255">
        <f t="shared" si="7"/>
        <v>0</v>
      </c>
      <c r="P263" s="255">
        <f t="shared" si="7"/>
        <v>0</v>
      </c>
      <c r="Q263" s="255">
        <f t="shared" si="7"/>
        <v>0</v>
      </c>
      <c r="R263" s="255">
        <f t="shared" si="7"/>
        <v>0</v>
      </c>
      <c r="S263" s="255">
        <f t="shared" si="7"/>
        <v>0</v>
      </c>
      <c r="T263" s="255"/>
      <c r="U263" s="255">
        <f t="shared" si="7"/>
        <v>0</v>
      </c>
      <c r="V263" s="255">
        <f t="shared" si="7"/>
        <v>0</v>
      </c>
      <c r="W263" s="314">
        <f>SUM(D263:V263)</f>
        <v>0</v>
      </c>
    </row>
    <row r="264" spans="1:23" ht="25.5" customHeight="1" thickTop="1">
      <c r="A264" s="50" t="s">
        <v>149</v>
      </c>
      <c r="B264" s="4"/>
      <c r="C264" s="193"/>
      <c r="D264" s="133"/>
      <c r="E264" s="269"/>
      <c r="F264" s="136"/>
      <c r="G264" s="136"/>
      <c r="H264" s="136"/>
      <c r="I264" s="133"/>
      <c r="J264" s="133"/>
      <c r="K264" s="133"/>
      <c r="L264" s="133"/>
      <c r="M264" s="136"/>
      <c r="N264" s="133"/>
      <c r="O264" s="133"/>
      <c r="P264" s="133"/>
      <c r="Q264" s="133"/>
      <c r="R264" s="258"/>
      <c r="S264" s="259"/>
      <c r="T264" s="259"/>
      <c r="U264" s="258"/>
      <c r="V264" s="258"/>
    </row>
    <row r="265" spans="1:23" ht="25.5" customHeight="1">
      <c r="A265" s="9"/>
      <c r="B265" s="186"/>
      <c r="C265" s="296"/>
      <c r="D265" s="133"/>
      <c r="E265" s="269"/>
      <c r="F265" s="136"/>
      <c r="G265" s="136"/>
      <c r="H265" s="136"/>
      <c r="I265" s="133"/>
      <c r="J265" s="133"/>
      <c r="K265" s="133"/>
      <c r="L265" s="133"/>
      <c r="M265" s="136"/>
      <c r="N265" s="133"/>
      <c r="O265" s="133"/>
      <c r="P265" s="133"/>
      <c r="Q265" s="133"/>
      <c r="R265" s="258"/>
      <c r="S265" s="259"/>
      <c r="T265" s="259"/>
      <c r="U265" s="258"/>
      <c r="V265" s="258"/>
    </row>
    <row r="266" spans="1:23" ht="25.5" customHeight="1">
      <c r="A266" s="9"/>
      <c r="B266" s="186"/>
      <c r="C266" s="296"/>
      <c r="D266" s="133"/>
      <c r="E266" s="269"/>
      <c r="F266" s="136"/>
      <c r="G266" s="136"/>
      <c r="H266" s="136"/>
      <c r="I266" s="133"/>
      <c r="J266" s="133"/>
      <c r="K266" s="133"/>
      <c r="L266" s="133"/>
      <c r="M266" s="136"/>
      <c r="N266" s="133"/>
      <c r="O266" s="133"/>
      <c r="P266" s="133"/>
      <c r="Q266" s="133"/>
      <c r="R266" s="258"/>
      <c r="S266" s="259"/>
      <c r="T266" s="259"/>
      <c r="U266" s="258"/>
      <c r="V266" s="258"/>
    </row>
    <row r="267" spans="1:23" ht="25.5" customHeight="1">
      <c r="A267" s="9"/>
      <c r="B267" s="186"/>
      <c r="C267" s="296"/>
      <c r="D267" s="133"/>
      <c r="E267" s="269"/>
      <c r="F267" s="136"/>
      <c r="G267" s="136"/>
      <c r="H267" s="136"/>
      <c r="I267" s="133"/>
      <c r="J267" s="133"/>
      <c r="K267" s="133"/>
      <c r="L267" s="133"/>
      <c r="M267" s="136"/>
      <c r="N267" s="133"/>
      <c r="O267" s="133"/>
      <c r="P267" s="133"/>
      <c r="Q267" s="133"/>
      <c r="R267" s="258"/>
      <c r="S267" s="259"/>
      <c r="T267" s="259"/>
      <c r="U267" s="258"/>
      <c r="V267" s="258"/>
    </row>
    <row r="268" spans="1:23" ht="25.5" customHeight="1">
      <c r="A268" s="9"/>
      <c r="B268" s="186"/>
      <c r="C268" s="296"/>
      <c r="D268" s="131"/>
      <c r="E268" s="267"/>
      <c r="F268" s="135"/>
      <c r="G268" s="135"/>
      <c r="H268" s="135"/>
      <c r="I268" s="131"/>
      <c r="J268" s="131"/>
      <c r="K268" s="131"/>
      <c r="L268" s="131"/>
      <c r="M268" s="135"/>
      <c r="N268" s="131"/>
      <c r="O268" s="131"/>
      <c r="P268" s="131"/>
      <c r="Q268" s="131"/>
      <c r="R268" s="217"/>
      <c r="S268" s="219"/>
      <c r="T268" s="219"/>
      <c r="U268" s="217"/>
      <c r="V268" s="217"/>
    </row>
    <row r="269" spans="1:23" ht="25.5" customHeight="1">
      <c r="A269" s="9"/>
      <c r="B269" s="186"/>
      <c r="C269" s="296"/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9"/>
      <c r="B270" s="186"/>
      <c r="C270" s="296"/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>
      <c r="A271" s="9"/>
      <c r="B271" s="186"/>
      <c r="C271" s="296"/>
      <c r="D271" s="131"/>
      <c r="E271" s="267"/>
      <c r="F271" s="135"/>
      <c r="G271" s="135"/>
      <c r="H271" s="135"/>
      <c r="I271" s="131"/>
      <c r="J271" s="131"/>
      <c r="K271" s="131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</row>
    <row r="272" spans="1:23" ht="25.5" customHeight="1">
      <c r="A272" s="9"/>
      <c r="B272" s="186"/>
      <c r="C272" s="296"/>
      <c r="D272" s="131"/>
      <c r="E272" s="267"/>
      <c r="F272" s="135"/>
      <c r="G272" s="135"/>
      <c r="H272" s="135"/>
      <c r="I272" s="131"/>
      <c r="J272" s="131"/>
      <c r="K272" s="131"/>
      <c r="L272" s="131"/>
      <c r="M272" s="135"/>
      <c r="N272" s="131"/>
      <c r="O272" s="131"/>
      <c r="P272" s="131"/>
      <c r="Q272" s="131"/>
      <c r="R272" s="217"/>
      <c r="S272" s="219"/>
      <c r="T272" s="219"/>
      <c r="U272" s="217"/>
      <c r="V272" s="217"/>
    </row>
    <row r="273" spans="1:23" ht="25.5" customHeight="1" thickBot="1">
      <c r="A273" s="15"/>
      <c r="B273" s="14" t="s">
        <v>5</v>
      </c>
      <c r="C273" s="170">
        <f>SUM(C265:C272)</f>
        <v>0</v>
      </c>
      <c r="D273" s="255">
        <f>SUM(D265:D272)</f>
        <v>0</v>
      </c>
      <c r="E273" s="254">
        <f t="shared" ref="E273:V273" si="8">SUM(E265:E272)</f>
        <v>0</v>
      </c>
      <c r="F273" s="254">
        <f t="shared" si="8"/>
        <v>0</v>
      </c>
      <c r="G273" s="255">
        <f t="shared" si="8"/>
        <v>0</v>
      </c>
      <c r="H273" s="254">
        <f t="shared" si="8"/>
        <v>0</v>
      </c>
      <c r="I273" s="255">
        <f t="shared" si="8"/>
        <v>0</v>
      </c>
      <c r="J273" s="255">
        <f t="shared" si="8"/>
        <v>0</v>
      </c>
      <c r="K273" s="255">
        <f t="shared" si="8"/>
        <v>0</v>
      </c>
      <c r="L273" s="255">
        <f t="shared" si="8"/>
        <v>0</v>
      </c>
      <c r="M273" s="254">
        <f t="shared" si="8"/>
        <v>0</v>
      </c>
      <c r="N273" s="255">
        <f t="shared" si="8"/>
        <v>0</v>
      </c>
      <c r="O273" s="255">
        <f t="shared" si="8"/>
        <v>0</v>
      </c>
      <c r="P273" s="255">
        <f t="shared" si="8"/>
        <v>0</v>
      </c>
      <c r="Q273" s="255">
        <f t="shared" si="8"/>
        <v>0</v>
      </c>
      <c r="R273" s="255">
        <f t="shared" si="8"/>
        <v>0</v>
      </c>
      <c r="S273" s="255">
        <f t="shared" si="8"/>
        <v>0</v>
      </c>
      <c r="T273" s="255"/>
      <c r="U273" s="255">
        <f t="shared" si="8"/>
        <v>0</v>
      </c>
      <c r="V273" s="255">
        <f t="shared" si="8"/>
        <v>0</v>
      </c>
      <c r="W273" s="314">
        <f>SUM(D273:V273)</f>
        <v>0</v>
      </c>
    </row>
    <row r="274" spans="1:23" ht="25.5" customHeight="1" thickTop="1">
      <c r="A274" s="20" t="s">
        <v>24</v>
      </c>
      <c r="B274" s="23"/>
      <c r="C274" s="190"/>
      <c r="D274" s="133"/>
      <c r="E274" s="269"/>
      <c r="F274" s="136"/>
      <c r="G274" s="136"/>
      <c r="H274" s="136"/>
      <c r="I274" s="133"/>
      <c r="J274" s="133"/>
      <c r="K274" s="133"/>
      <c r="L274" s="133"/>
      <c r="M274" s="136"/>
      <c r="N274" s="133"/>
      <c r="O274" s="133"/>
      <c r="P274" s="133"/>
      <c r="Q274" s="133"/>
      <c r="R274" s="258"/>
      <c r="S274" s="259"/>
      <c r="T274" s="259"/>
      <c r="U274" s="258"/>
      <c r="V274" s="258"/>
    </row>
    <row r="275" spans="1:23" ht="25.5" customHeight="1">
      <c r="A275" s="20"/>
      <c r="B275" s="130"/>
      <c r="C275" s="192"/>
      <c r="D275" s="131"/>
      <c r="E275" s="267"/>
      <c r="F275" s="135"/>
      <c r="G275" s="135"/>
      <c r="H275" s="135"/>
      <c r="I275" s="131"/>
      <c r="J275" s="131"/>
      <c r="K275" s="131"/>
      <c r="L275" s="131"/>
      <c r="M275" s="135"/>
      <c r="N275" s="131"/>
      <c r="O275" s="131"/>
      <c r="P275" s="131"/>
      <c r="Q275" s="131"/>
      <c r="R275" s="217"/>
      <c r="S275" s="219"/>
      <c r="T275" s="219"/>
      <c r="U275" s="217"/>
      <c r="V275" s="217"/>
    </row>
    <row r="276" spans="1:23" ht="25.5" customHeight="1">
      <c r="A276" s="20"/>
      <c r="B276" s="130"/>
      <c r="C276" s="192"/>
      <c r="D276" s="131"/>
      <c r="E276" s="267"/>
      <c r="F276" s="135"/>
      <c r="G276" s="135"/>
      <c r="H276" s="135"/>
      <c r="I276" s="131"/>
      <c r="J276" s="131"/>
      <c r="K276" s="131"/>
      <c r="L276" s="131"/>
      <c r="M276" s="135"/>
      <c r="N276" s="131"/>
      <c r="O276" s="131"/>
      <c r="P276" s="131"/>
      <c r="Q276" s="131"/>
      <c r="R276" s="217"/>
      <c r="S276" s="219"/>
      <c r="T276" s="219"/>
      <c r="U276" s="217"/>
      <c r="V276" s="217"/>
    </row>
    <row r="277" spans="1:23" ht="25.5" customHeight="1" thickBot="1">
      <c r="A277" s="15"/>
      <c r="B277" s="14" t="s">
        <v>5</v>
      </c>
      <c r="C277" s="298">
        <f>SUM(C275:C276)</f>
        <v>0</v>
      </c>
      <c r="D277" s="255">
        <f>SUM(D275:D276)</f>
        <v>0</v>
      </c>
      <c r="E277" s="254">
        <f t="shared" ref="E277:V277" si="9">SUM(E275:E276)</f>
        <v>0</v>
      </c>
      <c r="F277" s="254">
        <f t="shared" si="9"/>
        <v>0</v>
      </c>
      <c r="G277" s="255">
        <f t="shared" si="9"/>
        <v>0</v>
      </c>
      <c r="H277" s="254">
        <f t="shared" si="9"/>
        <v>0</v>
      </c>
      <c r="I277" s="255">
        <f t="shared" si="9"/>
        <v>0</v>
      </c>
      <c r="J277" s="255">
        <f t="shared" si="9"/>
        <v>0</v>
      </c>
      <c r="K277" s="255">
        <f t="shared" si="9"/>
        <v>0</v>
      </c>
      <c r="L277" s="255">
        <f t="shared" si="9"/>
        <v>0</v>
      </c>
      <c r="M277" s="254">
        <f t="shared" si="9"/>
        <v>0</v>
      </c>
      <c r="N277" s="255">
        <f t="shared" si="9"/>
        <v>0</v>
      </c>
      <c r="O277" s="255">
        <f t="shared" si="9"/>
        <v>0</v>
      </c>
      <c r="P277" s="255">
        <f t="shared" si="9"/>
        <v>0</v>
      </c>
      <c r="Q277" s="255">
        <f t="shared" si="9"/>
        <v>0</v>
      </c>
      <c r="R277" s="255">
        <f t="shared" si="9"/>
        <v>0</v>
      </c>
      <c r="S277" s="255">
        <f t="shared" si="9"/>
        <v>0</v>
      </c>
      <c r="T277" s="255"/>
      <c r="U277" s="255">
        <f t="shared" si="9"/>
        <v>0</v>
      </c>
      <c r="V277" s="255">
        <f t="shared" si="9"/>
        <v>0</v>
      </c>
      <c r="W277" s="314">
        <f>SUM(D277:V277)</f>
        <v>0</v>
      </c>
    </row>
    <row r="278" spans="1:23" ht="25.5" customHeight="1" thickTop="1">
      <c r="A278" s="20" t="s">
        <v>44</v>
      </c>
      <c r="B278" s="23"/>
      <c r="C278" s="193"/>
      <c r="D278" s="133"/>
      <c r="E278" s="269"/>
      <c r="F278" s="136"/>
      <c r="G278" s="136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258"/>
      <c r="S278" s="259"/>
      <c r="T278" s="259"/>
      <c r="U278" s="258"/>
      <c r="V278" s="258"/>
    </row>
    <row r="279" spans="1:23" ht="25.5" customHeight="1">
      <c r="A279" s="20"/>
      <c r="B279" s="185"/>
      <c r="C279" s="192"/>
      <c r="D279" s="133"/>
      <c r="E279" s="269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258"/>
      <c r="S279" s="259"/>
      <c r="T279" s="259"/>
      <c r="U279" s="258"/>
      <c r="V279" s="258"/>
    </row>
    <row r="280" spans="1:23" ht="25.5" customHeight="1">
      <c r="A280" s="20"/>
      <c r="B280" s="185"/>
      <c r="C280" s="190"/>
      <c r="D280" s="133"/>
      <c r="E280" s="269"/>
      <c r="F280" s="136"/>
      <c r="G280" s="136"/>
      <c r="H280" s="136"/>
      <c r="I280" s="133"/>
      <c r="J280" s="133"/>
      <c r="K280" s="133"/>
      <c r="L280" s="133"/>
      <c r="M280" s="136"/>
      <c r="N280" s="133"/>
      <c r="O280" s="133"/>
      <c r="P280" s="133"/>
      <c r="Q280" s="133"/>
      <c r="R280" s="258"/>
      <c r="S280" s="259"/>
      <c r="T280" s="259"/>
      <c r="U280" s="258"/>
      <c r="V280" s="258"/>
    </row>
    <row r="281" spans="1:23" ht="25.5" customHeight="1" thickBot="1">
      <c r="A281" s="15"/>
      <c r="B281" s="53" t="s">
        <v>5</v>
      </c>
      <c r="C281" s="105">
        <f>SUM(C279:C280)</f>
        <v>0</v>
      </c>
      <c r="D281" s="255">
        <f>SUM(D279:D280)</f>
        <v>0</v>
      </c>
      <c r="E281" s="254">
        <f t="shared" ref="E281:V281" si="10">SUM(E279:E280)</f>
        <v>0</v>
      </c>
      <c r="F281" s="254">
        <f t="shared" si="10"/>
        <v>0</v>
      </c>
      <c r="G281" s="255">
        <f t="shared" si="10"/>
        <v>0</v>
      </c>
      <c r="H281" s="254">
        <f t="shared" si="10"/>
        <v>0</v>
      </c>
      <c r="I281" s="255">
        <f t="shared" si="10"/>
        <v>0</v>
      </c>
      <c r="J281" s="255">
        <f t="shared" si="10"/>
        <v>0</v>
      </c>
      <c r="K281" s="255">
        <f t="shared" si="10"/>
        <v>0</v>
      </c>
      <c r="L281" s="255">
        <f t="shared" si="10"/>
        <v>0</v>
      </c>
      <c r="M281" s="254">
        <f t="shared" si="10"/>
        <v>0</v>
      </c>
      <c r="N281" s="255">
        <f t="shared" si="10"/>
        <v>0</v>
      </c>
      <c r="O281" s="255">
        <f t="shared" si="10"/>
        <v>0</v>
      </c>
      <c r="P281" s="255">
        <f t="shared" si="10"/>
        <v>0</v>
      </c>
      <c r="Q281" s="255">
        <f t="shared" si="10"/>
        <v>0</v>
      </c>
      <c r="R281" s="255">
        <f t="shared" si="10"/>
        <v>0</v>
      </c>
      <c r="S281" s="255">
        <f t="shared" si="10"/>
        <v>0</v>
      </c>
      <c r="T281" s="255"/>
      <c r="U281" s="255">
        <f t="shared" si="10"/>
        <v>0</v>
      </c>
      <c r="V281" s="255">
        <f t="shared" si="10"/>
        <v>0</v>
      </c>
      <c r="W281" s="314">
        <f>SUM(D281:V281)</f>
        <v>0</v>
      </c>
    </row>
    <row r="282" spans="1:23" ht="25.5" customHeight="1" thickTop="1">
      <c r="A282" s="20" t="s">
        <v>276</v>
      </c>
      <c r="B282" s="23"/>
      <c r="C282" s="193"/>
      <c r="D282" s="133"/>
      <c r="E282" s="269"/>
      <c r="F282" s="136"/>
      <c r="G282" s="136"/>
      <c r="H282" s="136"/>
      <c r="I282" s="133"/>
      <c r="J282" s="133"/>
      <c r="K282" s="133"/>
      <c r="L282" s="133"/>
      <c r="M282" s="136"/>
      <c r="N282" s="133"/>
      <c r="O282" s="133"/>
      <c r="P282" s="133"/>
      <c r="Q282" s="133"/>
      <c r="R282" s="258"/>
      <c r="S282" s="259"/>
      <c r="T282" s="259"/>
      <c r="U282" s="258"/>
      <c r="V282" s="258"/>
    </row>
    <row r="283" spans="1:23" ht="25.5" customHeight="1">
      <c r="A283" s="20"/>
      <c r="B283" s="185" t="s">
        <v>226</v>
      </c>
      <c r="C283" s="192">
        <f>+E283+M283+F283+H283</f>
        <v>236250</v>
      </c>
      <c r="D283" s="133">
        <f>+'ต.ค. '!D282+พ.ย.!D278+ธ.ค.!D278</f>
        <v>0</v>
      </c>
      <c r="E283" s="133">
        <f>+'ต.ค. '!E282+พ.ย.!E278+ธ.ค.!E278</f>
        <v>128250</v>
      </c>
      <c r="F283" s="133">
        <f>+'ต.ค. '!F282+พ.ย.!F278+ธ.ค.!F278</f>
        <v>15500</v>
      </c>
      <c r="G283" s="133">
        <f>+'ต.ค. '!G282+พ.ย.!G278+ธ.ค.!G278</f>
        <v>0</v>
      </c>
      <c r="H283" s="133">
        <f>+'ต.ค. '!H282+พ.ย.!H278+ธ.ค.!H278</f>
        <v>56000</v>
      </c>
      <c r="I283" s="133">
        <f>+'ต.ค. '!I282+พ.ย.!I278+ธ.ค.!I278</f>
        <v>0</v>
      </c>
      <c r="J283" s="133">
        <f>+'ต.ค. '!J282+พ.ย.!J278+ธ.ค.!J278</f>
        <v>0</v>
      </c>
      <c r="K283" s="133">
        <f>+'ต.ค. '!K282+พ.ย.!K278+ธ.ค.!K278</f>
        <v>0</v>
      </c>
      <c r="L283" s="133">
        <f>+'ต.ค. '!L282+พ.ย.!L278+ธ.ค.!L278</f>
        <v>0</v>
      </c>
      <c r="M283" s="133">
        <f>+'ต.ค. '!M282+พ.ย.!M278+ธ.ค.!M278</f>
        <v>36500</v>
      </c>
      <c r="N283" s="133">
        <f>+'ต.ค. '!N282+พ.ย.!N278+ธ.ค.!N278</f>
        <v>0</v>
      </c>
      <c r="O283" s="133">
        <f>+'ต.ค. '!O282+พ.ย.!O278+ธ.ค.!O278</f>
        <v>0</v>
      </c>
      <c r="P283" s="133">
        <f>+'ต.ค. '!P282+พ.ย.!P278+ธ.ค.!P278</f>
        <v>0</v>
      </c>
      <c r="Q283" s="133">
        <f>+'ต.ค. '!Q282+พ.ย.!Q278+ธ.ค.!Q278</f>
        <v>0</v>
      </c>
      <c r="R283" s="133">
        <f>+'ต.ค. '!R282+พ.ย.!R278+ธ.ค.!R278</f>
        <v>0</v>
      </c>
      <c r="S283" s="133">
        <f>+'ต.ค. '!S282+พ.ย.!S278+ธ.ค.!S278</f>
        <v>0</v>
      </c>
      <c r="T283" s="133"/>
      <c r="U283" s="133">
        <f>+'ต.ค. '!U282+พ.ย.!U278+ธ.ค.!U278</f>
        <v>0</v>
      </c>
      <c r="V283" s="133">
        <f>+'ต.ค. '!V282+พ.ย.!V278+ธ.ค.!V278</f>
        <v>0</v>
      </c>
    </row>
    <row r="284" spans="1:23" ht="25.5" customHeight="1">
      <c r="A284" s="20"/>
      <c r="B284" s="185" t="s">
        <v>233</v>
      </c>
      <c r="C284" s="299">
        <v>7500</v>
      </c>
      <c r="D284" s="133">
        <f>+'ต.ค. '!D283+พ.ย.!D279+ธ.ค.!D279</f>
        <v>0</v>
      </c>
      <c r="E284" s="133">
        <f>+'ต.ค. '!E283+พ.ย.!E279+ธ.ค.!E279</f>
        <v>7500</v>
      </c>
      <c r="F284" s="133">
        <f>+'ต.ค. '!F283+พ.ย.!F279+ธ.ค.!F279</f>
        <v>0</v>
      </c>
      <c r="G284" s="133">
        <f>+'ต.ค. '!G283+พ.ย.!G279+ธ.ค.!G279</f>
        <v>0</v>
      </c>
      <c r="H284" s="133">
        <f>+'ต.ค. '!H283+พ.ย.!H279+ธ.ค.!H279</f>
        <v>0</v>
      </c>
      <c r="I284" s="133">
        <f>+'ต.ค. '!I283+พ.ย.!I279+ธ.ค.!I279</f>
        <v>0</v>
      </c>
      <c r="J284" s="133">
        <f>+'ต.ค. '!J283+พ.ย.!J279+ธ.ค.!J279</f>
        <v>0</v>
      </c>
      <c r="K284" s="133">
        <f>+'ต.ค. '!K283+พ.ย.!K279+ธ.ค.!K279</f>
        <v>0</v>
      </c>
      <c r="L284" s="133">
        <f>+'ต.ค. '!L283+พ.ย.!L279+ธ.ค.!L279</f>
        <v>0</v>
      </c>
      <c r="M284" s="133">
        <f>+'ต.ค. '!M283+พ.ย.!M279+ธ.ค.!M279</f>
        <v>0</v>
      </c>
      <c r="N284" s="133">
        <f>+'ต.ค. '!N283+พ.ย.!N279+ธ.ค.!N279</f>
        <v>0</v>
      </c>
      <c r="O284" s="133">
        <f>+'ต.ค. '!O283+พ.ย.!O279+ธ.ค.!O279</f>
        <v>0</v>
      </c>
      <c r="P284" s="133">
        <f>+'ต.ค. '!P283+พ.ย.!P279+ธ.ค.!P279</f>
        <v>0</v>
      </c>
      <c r="Q284" s="133">
        <f>+'ต.ค. '!Q283+พ.ย.!Q279+ธ.ค.!Q279</f>
        <v>0</v>
      </c>
      <c r="R284" s="133">
        <f>+'ต.ค. '!R283+พ.ย.!R279+ธ.ค.!R279</f>
        <v>0</v>
      </c>
      <c r="S284" s="133">
        <f>+'ต.ค. '!S283+พ.ย.!S279+ธ.ค.!S279</f>
        <v>0</v>
      </c>
      <c r="T284" s="133"/>
      <c r="U284" s="133">
        <f>+'ต.ค. '!U283+พ.ย.!U279+ธ.ค.!U279</f>
        <v>0</v>
      </c>
      <c r="V284" s="133">
        <f>+'ต.ค. '!V283+พ.ย.!V279+ธ.ค.!V279</f>
        <v>0</v>
      </c>
    </row>
    <row r="285" spans="1:23" ht="25.5" customHeight="1">
      <c r="A285" s="20"/>
      <c r="B285" s="274" t="s">
        <v>378</v>
      </c>
      <c r="C285" s="299">
        <v>37500</v>
      </c>
      <c r="D285" s="133">
        <f>+'ต.ค. '!D284+พ.ย.!D280+ธ.ค.!D280</f>
        <v>0</v>
      </c>
      <c r="E285" s="133">
        <f>+'ต.ค. '!E284+พ.ย.!E280+ธ.ค.!E280</f>
        <v>37500</v>
      </c>
      <c r="F285" s="133">
        <f>+'ต.ค. '!F284+พ.ย.!F280+ธ.ค.!F280</f>
        <v>0</v>
      </c>
      <c r="G285" s="133">
        <f>+'ต.ค. '!G284+พ.ย.!G280+ธ.ค.!G280</f>
        <v>0</v>
      </c>
      <c r="H285" s="133">
        <f>+'ต.ค. '!H284+พ.ย.!H280+ธ.ค.!H280</f>
        <v>0</v>
      </c>
      <c r="I285" s="133">
        <f>+'ต.ค. '!I284+พ.ย.!I280+ธ.ค.!I280</f>
        <v>0</v>
      </c>
      <c r="J285" s="133">
        <f>+'ต.ค. '!J284+พ.ย.!J280+ธ.ค.!J280</f>
        <v>0</v>
      </c>
      <c r="K285" s="133">
        <f>+'ต.ค. '!K284+พ.ย.!K280+ธ.ค.!K280</f>
        <v>0</v>
      </c>
      <c r="L285" s="133">
        <f>+'ต.ค. '!L284+พ.ย.!L280+ธ.ค.!L280</f>
        <v>0</v>
      </c>
      <c r="M285" s="133">
        <f>+'ต.ค. '!M284+พ.ย.!M280+ธ.ค.!M280</f>
        <v>0</v>
      </c>
      <c r="N285" s="133">
        <f>+'ต.ค. '!N284+พ.ย.!N280+ธ.ค.!N280</f>
        <v>0</v>
      </c>
      <c r="O285" s="133">
        <f>+'ต.ค. '!O284+พ.ย.!O280+ธ.ค.!O280</f>
        <v>0</v>
      </c>
      <c r="P285" s="133">
        <f>+'ต.ค. '!P284+พ.ย.!P280+ธ.ค.!P280</f>
        <v>0</v>
      </c>
      <c r="Q285" s="133">
        <f>+'ต.ค. '!Q284+พ.ย.!Q280+ธ.ค.!Q280</f>
        <v>0</v>
      </c>
      <c r="R285" s="133">
        <f>+'ต.ค. '!R284+พ.ย.!R280+ธ.ค.!R280</f>
        <v>0</v>
      </c>
      <c r="S285" s="133">
        <f>+'ต.ค. '!S284+พ.ย.!S280+ธ.ค.!S280</f>
        <v>0</v>
      </c>
      <c r="T285" s="133"/>
      <c r="U285" s="133">
        <f>+'ต.ค. '!U284+พ.ย.!U280+ธ.ค.!U280</f>
        <v>0</v>
      </c>
      <c r="V285" s="133">
        <f>+'ต.ค. '!V284+พ.ย.!V280+ธ.ค.!V280</f>
        <v>0</v>
      </c>
    </row>
    <row r="286" spans="1:23" ht="25.5" customHeight="1">
      <c r="A286" s="20"/>
      <c r="B286" s="185" t="s">
        <v>379</v>
      </c>
      <c r="C286" s="299">
        <v>10000</v>
      </c>
      <c r="D286" s="133">
        <f>+'ต.ค. '!D285+พ.ย.!D281+ธ.ค.!D281</f>
        <v>0</v>
      </c>
      <c r="E286" s="133">
        <f>+'ต.ค. '!E285+พ.ย.!E281+ธ.ค.!E281</f>
        <v>10000</v>
      </c>
      <c r="F286" s="133">
        <f>+'ต.ค. '!F285+พ.ย.!F281+ธ.ค.!F281</f>
        <v>0</v>
      </c>
      <c r="G286" s="133">
        <f>+'ต.ค. '!G285+พ.ย.!G281+ธ.ค.!G281</f>
        <v>0</v>
      </c>
      <c r="H286" s="133">
        <f>+'ต.ค. '!H285+พ.ย.!H281+ธ.ค.!H281</f>
        <v>0</v>
      </c>
      <c r="I286" s="133">
        <f>+'ต.ค. '!I285+พ.ย.!I281+ธ.ค.!I281</f>
        <v>0</v>
      </c>
      <c r="J286" s="133">
        <f>+'ต.ค. '!J285+พ.ย.!J281+ธ.ค.!J281</f>
        <v>0</v>
      </c>
      <c r="K286" s="133">
        <f>+'ต.ค. '!K285+พ.ย.!K281+ธ.ค.!K281</f>
        <v>0</v>
      </c>
      <c r="L286" s="133">
        <f>+'ต.ค. '!L285+พ.ย.!L281+ธ.ค.!L281</f>
        <v>0</v>
      </c>
      <c r="M286" s="133">
        <f>+'ต.ค. '!M285+พ.ย.!M281+ธ.ค.!M281</f>
        <v>0</v>
      </c>
      <c r="N286" s="133">
        <f>+'ต.ค. '!N285+พ.ย.!N281+ธ.ค.!N281</f>
        <v>0</v>
      </c>
      <c r="O286" s="133">
        <f>+'ต.ค. '!O285+พ.ย.!O281+ธ.ค.!O281</f>
        <v>0</v>
      </c>
      <c r="P286" s="133">
        <f>+'ต.ค. '!P285+พ.ย.!P281+ธ.ค.!P281</f>
        <v>0</v>
      </c>
      <c r="Q286" s="133">
        <f>+'ต.ค. '!Q285+พ.ย.!Q281+ธ.ค.!Q281</f>
        <v>0</v>
      </c>
      <c r="R286" s="133">
        <f>+'ต.ค. '!R285+พ.ย.!R281+ธ.ค.!R281</f>
        <v>0</v>
      </c>
      <c r="S286" s="133">
        <f>+'ต.ค. '!S285+พ.ย.!S281+ธ.ค.!S281</f>
        <v>0</v>
      </c>
      <c r="T286" s="133"/>
      <c r="U286" s="133">
        <f>+'ต.ค. '!U285+พ.ย.!U281+ธ.ค.!U281</f>
        <v>0</v>
      </c>
      <c r="V286" s="133">
        <f>+'ต.ค. '!V285+พ.ย.!V281+ธ.ค.!V281</f>
        <v>0</v>
      </c>
    </row>
    <row r="287" spans="1:23" ht="25.5" customHeight="1">
      <c r="A287" s="20"/>
      <c r="B287" s="185" t="s">
        <v>382</v>
      </c>
      <c r="C287" s="299">
        <v>1950</v>
      </c>
      <c r="D287" s="133">
        <f>+'ต.ค. '!D286+พ.ย.!D282+ธ.ค.!D282</f>
        <v>0</v>
      </c>
      <c r="E287" s="133">
        <f>+'ต.ค. '!E286+พ.ย.!E282+ธ.ค.!E282</f>
        <v>1950</v>
      </c>
      <c r="F287" s="133">
        <f>+'ต.ค. '!F286+พ.ย.!F282+ธ.ค.!F282</f>
        <v>0</v>
      </c>
      <c r="G287" s="133">
        <f>+'ต.ค. '!G286+พ.ย.!G282+ธ.ค.!G282</f>
        <v>0</v>
      </c>
      <c r="H287" s="133">
        <f>+'ต.ค. '!H286+พ.ย.!H282+ธ.ค.!H282</f>
        <v>0</v>
      </c>
      <c r="I287" s="133">
        <f>+'ต.ค. '!I286+พ.ย.!I282+ธ.ค.!I282</f>
        <v>0</v>
      </c>
      <c r="J287" s="133">
        <f>+'ต.ค. '!J286+พ.ย.!J282+ธ.ค.!J282</f>
        <v>0</v>
      </c>
      <c r="K287" s="133">
        <f>+'ต.ค. '!K286+พ.ย.!K282+ธ.ค.!K282</f>
        <v>0</v>
      </c>
      <c r="L287" s="133">
        <f>+'ต.ค. '!L286+พ.ย.!L282+ธ.ค.!L282</f>
        <v>0</v>
      </c>
      <c r="M287" s="133">
        <f>+'ต.ค. '!M286+พ.ย.!M282+ธ.ค.!M282</f>
        <v>0</v>
      </c>
      <c r="N287" s="133">
        <f>+'ต.ค. '!N286+พ.ย.!N282+ธ.ค.!N282</f>
        <v>0</v>
      </c>
      <c r="O287" s="133">
        <f>+'ต.ค. '!O286+พ.ย.!O282+ธ.ค.!O282</f>
        <v>0</v>
      </c>
      <c r="P287" s="133">
        <f>+'ต.ค. '!P286+พ.ย.!P282+ธ.ค.!P282</f>
        <v>0</v>
      </c>
      <c r="Q287" s="133">
        <f>+'ต.ค. '!Q286+พ.ย.!Q282+ธ.ค.!Q282</f>
        <v>0</v>
      </c>
      <c r="R287" s="133">
        <f>+'ต.ค. '!R286+พ.ย.!R282+ธ.ค.!R282</f>
        <v>0</v>
      </c>
      <c r="S287" s="133">
        <f>+'ต.ค. '!S286+พ.ย.!S282+ธ.ค.!S282</f>
        <v>0</v>
      </c>
      <c r="T287" s="133"/>
      <c r="U287" s="133">
        <f>+'ต.ค. '!U286+พ.ย.!U282+ธ.ค.!U282</f>
        <v>0</v>
      </c>
      <c r="V287" s="133">
        <f>+'ต.ค. '!V286+พ.ย.!V282+ธ.ค.!V282</f>
        <v>0</v>
      </c>
    </row>
    <row r="288" spans="1:23" ht="25.5" customHeight="1">
      <c r="A288" s="20"/>
      <c r="B288" s="185" t="s">
        <v>380</v>
      </c>
      <c r="C288" s="299">
        <f>4550+8575</f>
        <v>13125</v>
      </c>
      <c r="D288" s="133">
        <f>+'ต.ค. '!D287+พ.ย.!D283+ธ.ค.!D283</f>
        <v>0</v>
      </c>
      <c r="E288" s="133">
        <f>+'ต.ค. '!E287+พ.ย.!E283+ธ.ค.!E283</f>
        <v>13125</v>
      </c>
      <c r="F288" s="133">
        <f>+'ต.ค. '!F287+พ.ย.!F283+ธ.ค.!F283</f>
        <v>0</v>
      </c>
      <c r="G288" s="133">
        <f>+'ต.ค. '!G287+พ.ย.!G283+ธ.ค.!G283</f>
        <v>0</v>
      </c>
      <c r="H288" s="133">
        <f>+'ต.ค. '!H287+พ.ย.!H283+ธ.ค.!H283</f>
        <v>0</v>
      </c>
      <c r="I288" s="133">
        <f>+'ต.ค. '!I287+พ.ย.!I283+ธ.ค.!I283</f>
        <v>0</v>
      </c>
      <c r="J288" s="133">
        <f>+'ต.ค. '!J287+พ.ย.!J283+ธ.ค.!J283</f>
        <v>0</v>
      </c>
      <c r="K288" s="133">
        <f>+'ต.ค. '!K287+พ.ย.!K283+ธ.ค.!K283</f>
        <v>0</v>
      </c>
      <c r="L288" s="133">
        <f>+'ต.ค. '!L287+พ.ย.!L283+ธ.ค.!L283</f>
        <v>0</v>
      </c>
      <c r="M288" s="133">
        <f>+'ต.ค. '!M287+พ.ย.!M283+ธ.ค.!M283</f>
        <v>0</v>
      </c>
      <c r="N288" s="133">
        <f>+'ต.ค. '!N287+พ.ย.!N283+ธ.ค.!N283</f>
        <v>0</v>
      </c>
      <c r="O288" s="133">
        <f>+'ต.ค. '!O287+พ.ย.!O283+ธ.ค.!O283</f>
        <v>0</v>
      </c>
      <c r="P288" s="133">
        <f>+'ต.ค. '!P287+พ.ย.!P283+ธ.ค.!P283</f>
        <v>0</v>
      </c>
      <c r="Q288" s="133">
        <f>+'ต.ค. '!Q287+พ.ย.!Q283+ธ.ค.!Q283</f>
        <v>0</v>
      </c>
      <c r="R288" s="133">
        <f>+'ต.ค. '!R287+พ.ย.!R283+ธ.ค.!R283</f>
        <v>0</v>
      </c>
      <c r="S288" s="133">
        <f>+'ต.ค. '!S287+พ.ย.!S283+ธ.ค.!S283</f>
        <v>0</v>
      </c>
      <c r="T288" s="133"/>
      <c r="U288" s="133">
        <f>+'ต.ค. '!U287+พ.ย.!U283+ธ.ค.!U283</f>
        <v>0</v>
      </c>
      <c r="V288" s="133">
        <f>+'ต.ค. '!V287+พ.ย.!V283+ธ.ค.!V283</f>
        <v>0</v>
      </c>
    </row>
    <row r="289" spans="1:23" ht="25.5" customHeight="1">
      <c r="A289" s="20"/>
      <c r="B289" s="185" t="s">
        <v>386</v>
      </c>
      <c r="C289" s="192">
        <v>409940.96</v>
      </c>
      <c r="D289" s="133">
        <f>+'ต.ค. '!D290+พ.ย.!D284+ธ.ค.!D284</f>
        <v>0</v>
      </c>
      <c r="E289" s="133">
        <f>+'ต.ค. '!E290+พ.ย.!E284+ธ.ค.!E284</f>
        <v>0</v>
      </c>
      <c r="F289" s="133">
        <f>+'ต.ค. '!F290+พ.ย.!F284+ธ.ค.!F284</f>
        <v>0</v>
      </c>
      <c r="G289" s="133">
        <f>+'ต.ค. '!G290+พ.ย.!G284+ธ.ค.!G284</f>
        <v>0</v>
      </c>
      <c r="H289" s="133">
        <f>+'ต.ค. '!H290+พ.ย.!H284+ธ.ค.!H284</f>
        <v>0</v>
      </c>
      <c r="I289" s="133">
        <f>+'ต.ค. '!I290+พ.ย.!I284+ธ.ค.!I284</f>
        <v>409940.96</v>
      </c>
      <c r="J289" s="133">
        <f>+'ต.ค. '!J290+พ.ย.!J284+ธ.ค.!J284</f>
        <v>0</v>
      </c>
      <c r="K289" s="133">
        <f>+'ต.ค. '!K290+พ.ย.!K284+ธ.ค.!K284</f>
        <v>0</v>
      </c>
      <c r="L289" s="133">
        <f>+'ต.ค. '!L290+พ.ย.!L284+ธ.ค.!L284</f>
        <v>0</v>
      </c>
      <c r="M289" s="133">
        <f>+'ต.ค. '!M290+พ.ย.!M284+ธ.ค.!M284</f>
        <v>0</v>
      </c>
      <c r="N289" s="133">
        <f>+'ต.ค. '!N290+พ.ย.!N284+ธ.ค.!N284</f>
        <v>0</v>
      </c>
      <c r="O289" s="133">
        <f>+'ต.ค. '!O290+พ.ย.!O284+ธ.ค.!O284</f>
        <v>0</v>
      </c>
      <c r="P289" s="133">
        <f>+'ต.ค. '!P290+พ.ย.!P284+ธ.ค.!P284</f>
        <v>0</v>
      </c>
      <c r="Q289" s="133">
        <f>+'ต.ค. '!Q290+พ.ย.!Q284+ธ.ค.!Q284</f>
        <v>0</v>
      </c>
      <c r="R289" s="133">
        <f>+'ต.ค. '!R290+พ.ย.!R284+ธ.ค.!R284</f>
        <v>0</v>
      </c>
      <c r="S289" s="133">
        <f>+'ต.ค. '!S290+พ.ย.!S284+ธ.ค.!S284</f>
        <v>0</v>
      </c>
      <c r="T289" s="133"/>
      <c r="U289" s="133">
        <f>+'ต.ค. '!U290+พ.ย.!U284+ธ.ค.!U284</f>
        <v>0</v>
      </c>
      <c r="V289" s="133">
        <f>+'ต.ค. '!V290+พ.ย.!V284+ธ.ค.!V284</f>
        <v>0</v>
      </c>
    </row>
    <row r="290" spans="1:23" ht="25.5" customHeight="1">
      <c r="A290" s="20"/>
      <c r="B290" s="185" t="s">
        <v>387</v>
      </c>
      <c r="C290" s="192">
        <v>40000</v>
      </c>
      <c r="D290" s="133">
        <f>+'ต.ค. '!D291+พ.ย.!D285+ธ.ค.!D285</f>
        <v>0</v>
      </c>
      <c r="E290" s="133">
        <f>+'ต.ค. '!E291+พ.ย.!E285+ธ.ค.!E285</f>
        <v>0</v>
      </c>
      <c r="F290" s="133">
        <f>+'ต.ค. '!F291+พ.ย.!F285+ธ.ค.!F285</f>
        <v>0</v>
      </c>
      <c r="G290" s="133">
        <f>+'ต.ค. '!G291+พ.ย.!G285+ธ.ค.!G285</f>
        <v>0</v>
      </c>
      <c r="H290" s="133">
        <f>+'ต.ค. '!H291+พ.ย.!H285+ธ.ค.!H285</f>
        <v>40000</v>
      </c>
      <c r="I290" s="133">
        <f>+'ต.ค. '!I291+พ.ย.!I285+ธ.ค.!I285</f>
        <v>0</v>
      </c>
      <c r="J290" s="133">
        <f>+'ต.ค. '!J291+พ.ย.!J285+ธ.ค.!J285</f>
        <v>0</v>
      </c>
      <c r="K290" s="133">
        <f>+'ต.ค. '!K291+พ.ย.!K285+ธ.ค.!K285</f>
        <v>0</v>
      </c>
      <c r="L290" s="133">
        <f>+'ต.ค. '!L291+พ.ย.!L285+ธ.ค.!L285</f>
        <v>0</v>
      </c>
      <c r="M290" s="133">
        <f>+'ต.ค. '!M291+พ.ย.!M285+ธ.ค.!M285</f>
        <v>0</v>
      </c>
      <c r="N290" s="133">
        <f>+'ต.ค. '!N291+พ.ย.!N285+ธ.ค.!N285</f>
        <v>0</v>
      </c>
      <c r="O290" s="133">
        <f>+'ต.ค. '!O291+พ.ย.!O285+ธ.ค.!O285</f>
        <v>0</v>
      </c>
      <c r="P290" s="133">
        <f>+'ต.ค. '!P291+พ.ย.!P285+ธ.ค.!P285</f>
        <v>0</v>
      </c>
      <c r="Q290" s="133">
        <f>+'ต.ค. '!Q291+พ.ย.!Q285+ธ.ค.!Q285</f>
        <v>0</v>
      </c>
      <c r="R290" s="133">
        <f>+'ต.ค. '!R291+พ.ย.!R285+ธ.ค.!R285</f>
        <v>0</v>
      </c>
      <c r="S290" s="133">
        <f>+'ต.ค. '!S291+พ.ย.!S285+ธ.ค.!S285</f>
        <v>0</v>
      </c>
      <c r="T290" s="133"/>
      <c r="U290" s="133">
        <f>+'ต.ค. '!U291+พ.ย.!U285+ธ.ค.!U285</f>
        <v>0</v>
      </c>
      <c r="V290" s="133">
        <f>+'ต.ค. '!V291+พ.ย.!V285+ธ.ค.!V285</f>
        <v>0</v>
      </c>
    </row>
    <row r="291" spans="1:23" ht="25.5" customHeight="1">
      <c r="A291" s="20"/>
      <c r="B291" s="23"/>
      <c r="C291" s="290"/>
      <c r="D291" s="345"/>
      <c r="E291" s="345"/>
      <c r="F291" s="345"/>
      <c r="G291" s="345"/>
      <c r="H291" s="345"/>
      <c r="I291" s="345"/>
      <c r="J291" s="345"/>
      <c r="K291" s="345"/>
      <c r="L291" s="345"/>
      <c r="M291" s="345"/>
      <c r="N291" s="345"/>
      <c r="O291" s="345"/>
      <c r="P291" s="345"/>
      <c r="Q291" s="345"/>
      <c r="R291" s="345"/>
      <c r="S291" s="345"/>
      <c r="T291" s="345"/>
      <c r="U291" s="345"/>
      <c r="V291" s="345"/>
    </row>
    <row r="292" spans="1:23" ht="25.5" customHeight="1">
      <c r="A292" s="20"/>
      <c r="B292" s="23"/>
      <c r="C292" s="290"/>
      <c r="D292" s="345"/>
      <c r="E292" s="345"/>
      <c r="F292" s="345"/>
      <c r="G292" s="345"/>
      <c r="H292" s="345"/>
      <c r="I292" s="345"/>
      <c r="J292" s="345"/>
      <c r="K292" s="345"/>
      <c r="L292" s="345"/>
      <c r="M292" s="345"/>
      <c r="N292" s="345"/>
      <c r="O292" s="345"/>
      <c r="P292" s="345"/>
      <c r="Q292" s="345"/>
      <c r="R292" s="345"/>
      <c r="S292" s="345"/>
      <c r="T292" s="345"/>
      <c r="U292" s="345"/>
      <c r="V292" s="345"/>
    </row>
    <row r="293" spans="1:23" ht="25.5" customHeight="1" thickBot="1">
      <c r="A293" s="15"/>
      <c r="B293" s="53" t="s">
        <v>5</v>
      </c>
      <c r="C293" s="105">
        <f>SUM(C283:C290)</f>
        <v>756265.96</v>
      </c>
      <c r="D293" s="132">
        <f>SUM(D283:D290)</f>
        <v>0</v>
      </c>
      <c r="E293" s="137">
        <f>SUM(E283:E290)</f>
        <v>198325</v>
      </c>
      <c r="F293" s="137">
        <f>SUM(F283:F290)</f>
        <v>15500</v>
      </c>
      <c r="G293" s="132">
        <f t="shared" ref="G293:V293" si="11">SUM(G283:G290)</f>
        <v>0</v>
      </c>
      <c r="H293" s="137">
        <f>SUM(H283:H290)</f>
        <v>96000</v>
      </c>
      <c r="I293" s="132">
        <f>SUM(I283:I290)</f>
        <v>409940.96</v>
      </c>
      <c r="J293" s="132">
        <f t="shared" si="11"/>
        <v>0</v>
      </c>
      <c r="K293" s="132">
        <f t="shared" si="11"/>
        <v>0</v>
      </c>
      <c r="L293" s="132">
        <f t="shared" si="11"/>
        <v>0</v>
      </c>
      <c r="M293" s="137">
        <f>SUM(M283:M290)</f>
        <v>36500</v>
      </c>
      <c r="N293" s="132">
        <f t="shared" si="11"/>
        <v>0</v>
      </c>
      <c r="O293" s="132">
        <f t="shared" si="11"/>
        <v>0</v>
      </c>
      <c r="P293" s="132">
        <f t="shared" si="11"/>
        <v>0</v>
      </c>
      <c r="Q293" s="132">
        <f t="shared" si="11"/>
        <v>0</v>
      </c>
      <c r="R293" s="132">
        <f t="shared" si="11"/>
        <v>0</v>
      </c>
      <c r="S293" s="132">
        <f t="shared" si="11"/>
        <v>0</v>
      </c>
      <c r="T293" s="132"/>
      <c r="U293" s="132">
        <f t="shared" si="11"/>
        <v>0</v>
      </c>
      <c r="V293" s="132">
        <f t="shared" si="11"/>
        <v>0</v>
      </c>
      <c r="W293" s="318">
        <f>SUM(D293:V293)</f>
        <v>756265.96</v>
      </c>
    </row>
    <row r="294" spans="1:23" ht="25.5" customHeight="1" thickTop="1" thickBot="1">
      <c r="A294" s="16"/>
      <c r="B294" s="52" t="s">
        <v>49</v>
      </c>
      <c r="C294" s="229">
        <f>+C273+C263+C222+C211+C205++C50+C39+C21+C177+C28+C225</f>
        <v>39148280</v>
      </c>
      <c r="D294" s="229">
        <f>+D273+D263+D222+D211+D205++D50+D39+D21+D177+D28+D225</f>
        <v>2584667.2799999998</v>
      </c>
      <c r="E294" s="229">
        <f t="shared" ref="E294:V294" si="12">+E273+E263+E222+E211+E205++E50+E39+E21+E177+E28+E225</f>
        <v>2049557.4</v>
      </c>
      <c r="F294" s="229">
        <f t="shared" si="12"/>
        <v>444829</v>
      </c>
      <c r="G294" s="229">
        <f t="shared" si="12"/>
        <v>0</v>
      </c>
      <c r="H294" s="229">
        <f t="shared" si="12"/>
        <v>1537317.27</v>
      </c>
      <c r="I294" s="229">
        <f t="shared" si="12"/>
        <v>890900</v>
      </c>
      <c r="J294" s="229">
        <f t="shared" si="12"/>
        <v>0</v>
      </c>
      <c r="K294" s="229">
        <f t="shared" si="12"/>
        <v>0</v>
      </c>
      <c r="L294" s="229">
        <f t="shared" si="12"/>
        <v>0</v>
      </c>
      <c r="M294" s="229">
        <f t="shared" si="12"/>
        <v>542288.5</v>
      </c>
      <c r="N294" s="229">
        <f t="shared" si="12"/>
        <v>0</v>
      </c>
      <c r="O294" s="229">
        <f t="shared" si="12"/>
        <v>0</v>
      </c>
      <c r="P294" s="229">
        <f t="shared" si="12"/>
        <v>0</v>
      </c>
      <c r="Q294" s="229">
        <f t="shared" si="12"/>
        <v>4880</v>
      </c>
      <c r="R294" s="229">
        <f t="shared" si="12"/>
        <v>0</v>
      </c>
      <c r="S294" s="229">
        <f t="shared" si="12"/>
        <v>60000</v>
      </c>
      <c r="T294" s="229"/>
      <c r="U294" s="229">
        <f t="shared" si="12"/>
        <v>0</v>
      </c>
      <c r="V294" s="51">
        <f t="shared" si="12"/>
        <v>0</v>
      </c>
      <c r="W294" s="314">
        <f>SUM(D294:V294)</f>
        <v>8114439.4499999993</v>
      </c>
    </row>
    <row r="295" spans="1:23" ht="25.5" customHeight="1" thickTop="1" thickBot="1">
      <c r="A295" s="16"/>
      <c r="B295" s="41" t="s">
        <v>25</v>
      </c>
      <c r="C295" s="260">
        <f>+C293+C281+C277+C273+C263+C225+C222+C211+C177+C50+C28+C21+C39++C205</f>
        <v>39904545.960000001</v>
      </c>
      <c r="D295" s="260">
        <f>+D293+D281+D277+D273+D263+D225+D222+D211+D177+D50+D28+D21+D39++D205</f>
        <v>2584667.2799999998</v>
      </c>
      <c r="E295" s="260">
        <f>+E293+E281+E277+E273+E263+E225+E222+E211+E177+E50+E28+E21+E39++E205</f>
        <v>2247882.4</v>
      </c>
      <c r="F295" s="260">
        <f>+F293+F281+F277+F273+F263+F225+F222+F211+F177+F50+F28+F21+F39++F205</f>
        <v>460329</v>
      </c>
      <c r="G295" s="260">
        <f t="shared" ref="G295:V295" si="13">+G293+G281+G277+G273+G263+G225+G222+G211+G177+G50+G28+G21+G39++G205</f>
        <v>0</v>
      </c>
      <c r="H295" s="260">
        <f>+H293+H281+H277+H273+H263+H225+H222+H211+H177+H50+H28+H21+H39++H205</f>
        <v>1633317.27</v>
      </c>
      <c r="I295" s="260">
        <f t="shared" si="13"/>
        <v>1300840.96</v>
      </c>
      <c r="J295" s="260">
        <f t="shared" si="13"/>
        <v>0</v>
      </c>
      <c r="K295" s="260">
        <f t="shared" si="13"/>
        <v>0</v>
      </c>
      <c r="L295" s="260">
        <f t="shared" si="13"/>
        <v>0</v>
      </c>
      <c r="M295" s="260">
        <f>+M293+M281+M277+M273+M263+M225+M222+M211+M177+M50+M28+M21+M39++M205</f>
        <v>578788.5</v>
      </c>
      <c r="N295" s="260">
        <f t="shared" si="13"/>
        <v>0</v>
      </c>
      <c r="O295" s="260">
        <f t="shared" si="13"/>
        <v>0</v>
      </c>
      <c r="P295" s="260">
        <f t="shared" si="13"/>
        <v>0</v>
      </c>
      <c r="Q295" s="260">
        <f t="shared" si="13"/>
        <v>4880</v>
      </c>
      <c r="R295" s="260">
        <f t="shared" si="13"/>
        <v>0</v>
      </c>
      <c r="S295" s="260">
        <f t="shared" si="13"/>
        <v>60000</v>
      </c>
      <c r="T295" s="260"/>
      <c r="U295" s="260">
        <f t="shared" si="13"/>
        <v>0</v>
      </c>
      <c r="V295" s="309">
        <f t="shared" si="13"/>
        <v>0</v>
      </c>
      <c r="W295" s="319">
        <f>SUM(D295:U295)</f>
        <v>8870705.4100000001</v>
      </c>
    </row>
    <row r="296" spans="1:23" ht="25.5" customHeight="1" thickTop="1">
      <c r="B296" s="246" t="s">
        <v>391</v>
      </c>
      <c r="C296" s="249"/>
      <c r="D296" s="300"/>
      <c r="E296" s="301"/>
      <c r="F296" s="302"/>
      <c r="G296" s="302"/>
      <c r="H296" s="302"/>
      <c r="I296" s="300"/>
      <c r="J296" s="300"/>
      <c r="K296" s="300"/>
      <c r="L296" s="300"/>
      <c r="M296" s="302"/>
      <c r="N296" s="300"/>
      <c r="O296" s="300"/>
      <c r="P296" s="300"/>
      <c r="Q296" s="300"/>
      <c r="R296" s="303"/>
      <c r="S296" s="304"/>
      <c r="T296" s="304"/>
      <c r="U296" s="303"/>
      <c r="V296" s="303"/>
      <c r="W296" s="246" t="s">
        <v>384</v>
      </c>
    </row>
    <row r="297" spans="1:23" ht="25.5" customHeight="1">
      <c r="C297" s="249"/>
      <c r="D297" s="35"/>
      <c r="E297" s="266"/>
      <c r="F297" s="134"/>
      <c r="G297" s="134"/>
      <c r="H297" s="134"/>
      <c r="I297" s="35"/>
      <c r="J297" s="35"/>
      <c r="K297" s="35"/>
      <c r="L297" s="35"/>
      <c r="M297" s="134"/>
      <c r="N297" s="35"/>
      <c r="O297" s="35"/>
      <c r="P297" s="35"/>
      <c r="Q297" s="35"/>
      <c r="R297" s="34"/>
      <c r="S297" s="171"/>
      <c r="T297" s="171"/>
      <c r="U297" s="34"/>
      <c r="V297" s="34"/>
      <c r="W297"/>
    </row>
    <row r="298" spans="1:23" ht="25.5" customHeight="1">
      <c r="C298" s="249"/>
      <c r="D298" s="35"/>
      <c r="E298" s="266"/>
      <c r="F298" s="134"/>
      <c r="G298" s="134"/>
      <c r="H298" s="134"/>
      <c r="I298" s="35"/>
      <c r="J298" s="35"/>
      <c r="K298" s="35"/>
      <c r="L298" s="35"/>
      <c r="M298" s="134"/>
      <c r="N298" s="35"/>
      <c r="O298" s="35"/>
      <c r="P298" s="35"/>
      <c r="Q298" s="35"/>
      <c r="R298" s="34"/>
      <c r="S298" s="171"/>
      <c r="T298" s="171"/>
      <c r="U298" s="34"/>
      <c r="V298" s="34"/>
      <c r="W298" s="253">
        <f>39148280-C294</f>
        <v>0</v>
      </c>
    </row>
    <row r="299" spans="1:23" ht="25.5" customHeight="1">
      <c r="C299" s="182"/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  <c r="W299" s="322">
        <v>8114439.4500000002</v>
      </c>
    </row>
    <row r="300" spans="1:23" ht="25.5" customHeight="1">
      <c r="C300" s="182"/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  <c r="W300" s="328">
        <v>8870705.4100000001</v>
      </c>
    </row>
    <row r="301" spans="1:23" ht="25.5" customHeight="1">
      <c r="C301" s="182"/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  <c r="W301" s="321"/>
    </row>
    <row r="302" spans="1:23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  <c r="W302" s="321">
        <f>+W295-'ไตรมาส งป.2561 ok'!D299</f>
        <v>-20000</v>
      </c>
    </row>
    <row r="303" spans="1:23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3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4:22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4:22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4:22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4:22" ht="25.5" customHeight="1"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</row>
    <row r="309" spans="4:22" ht="25.5" customHeight="1"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</row>
    <row r="310" spans="4:22" ht="25.5" customHeight="1"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</row>
    <row r="311" spans="4:22" ht="25.5" customHeight="1"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</row>
    <row r="312" spans="4:22" ht="25.5" customHeight="1"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</row>
    <row r="313" spans="4:22" ht="25.5" customHeight="1"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</row>
    <row r="314" spans="4:22" ht="25.5" customHeight="1"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</row>
    <row r="315" spans="4:22" ht="25.5" customHeight="1"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</row>
    <row r="316" spans="4:22" ht="25.5" customHeight="1"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</row>
    <row r="317" spans="4:22" ht="25.5" customHeight="1"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</row>
    <row r="318" spans="4:22" ht="25.5" customHeight="1"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</row>
    <row r="319" spans="4:22" ht="25.5" customHeight="1"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</row>
    <row r="320" spans="4:22" ht="25.5" customHeight="1"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</row>
    <row r="321" spans="4:22" ht="25.5" customHeight="1"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</row>
    <row r="322" spans="4:22" ht="25.5" customHeight="1"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</row>
    <row r="323" spans="4:22" ht="25.5" customHeight="1"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</row>
    <row r="324" spans="4:22" ht="25.5" customHeight="1"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</row>
    <row r="325" spans="4:22" ht="25.5" customHeight="1"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</row>
    <row r="326" spans="4:22" ht="25.5" customHeight="1"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</row>
    <row r="327" spans="4:22" ht="25.5" customHeight="1"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</row>
    <row r="328" spans="4:22" ht="25.5" customHeight="1"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</row>
    <row r="329" spans="4:22" ht="25.5" customHeight="1"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</row>
    <row r="330" spans="4:22" ht="25.5" customHeight="1"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</row>
    <row r="331" spans="4:22" ht="25.5" customHeight="1"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</row>
    <row r="332" spans="4:22" ht="25.5" customHeight="1"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</row>
    <row r="333" spans="4:22" ht="25.5" customHeight="1"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</row>
    <row r="334" spans="4:22" ht="25.5" customHeight="1"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</row>
    <row r="335" spans="4:22" ht="25.5" customHeight="1"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</row>
    <row r="336" spans="4:22" ht="25.5" customHeight="1"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</row>
    <row r="337" spans="4:22" ht="25.5" customHeight="1"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</row>
    <row r="338" spans="4:22" ht="25.5" customHeight="1"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</row>
    <row r="339" spans="4:22" ht="25.5" customHeight="1"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</row>
    <row r="340" spans="4:22" ht="25.5" customHeight="1"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</row>
    <row r="341" spans="4:22" ht="25.5" customHeight="1"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</row>
    <row r="342" spans="4:22" ht="25.5" customHeight="1"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</row>
    <row r="343" spans="4:22" ht="25.5" customHeight="1"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</row>
    <row r="344" spans="4:22" ht="25.5" customHeight="1"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</row>
    <row r="345" spans="4:22" ht="25.5" customHeight="1"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</row>
    <row r="346" spans="4:22" ht="25.5" customHeight="1"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</row>
    <row r="347" spans="4:22" ht="25.5" customHeight="1"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</row>
    <row r="348" spans="4:22" ht="25.5" customHeight="1"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</row>
    <row r="349" spans="4:22" ht="25.5" customHeight="1"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</row>
    <row r="350" spans="4:22" ht="25.5" customHeight="1"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</row>
    <row r="351" spans="4:22" ht="25.5" customHeight="1"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</row>
    <row r="352" spans="4:22" ht="25.5" customHeight="1"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</row>
    <row r="353" spans="4:22" ht="25.5" customHeight="1"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</row>
    <row r="354" spans="4:22" ht="25.5" customHeight="1"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</row>
    <row r="355" spans="4:22" ht="25.5" customHeight="1"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</row>
    <row r="356" spans="4:22" ht="25.5" customHeight="1"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</row>
    <row r="357" spans="4:22" ht="25.5" customHeight="1"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</row>
    <row r="358" spans="4:22" ht="25.5" customHeight="1"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</row>
    <row r="359" spans="4:22" ht="25.5" customHeight="1"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</row>
    <row r="360" spans="4:22" ht="25.5" customHeight="1"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</row>
    <row r="361" spans="4:22" ht="25.5" customHeight="1"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</row>
    <row r="362" spans="4:22" ht="25.5" customHeight="1"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</row>
    <row r="363" spans="4:22" ht="25.5" customHeight="1"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</row>
    <row r="364" spans="4:22" ht="25.5" customHeight="1"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</row>
    <row r="365" spans="4:22" ht="25.5" customHeight="1"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</row>
    <row r="366" spans="4:22" ht="25.5" customHeight="1"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</row>
    <row r="367" spans="4:22" ht="25.5" customHeight="1"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</row>
    <row r="368" spans="4:22" ht="25.5" customHeight="1"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</row>
    <row r="369" spans="4:22" ht="25.5" customHeight="1"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</row>
    <row r="370" spans="4:22" ht="25.5" customHeight="1"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</row>
    <row r="371" spans="4:22" ht="25.5" customHeight="1"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</row>
    <row r="372" spans="4:22" ht="25.5" customHeight="1"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</row>
    <row r="373" spans="4:22" ht="25.5" customHeight="1"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</row>
    <row r="374" spans="4:22" ht="25.5" customHeight="1"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</row>
    <row r="375" spans="4:22" ht="25.5" customHeight="1"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</row>
    <row r="376" spans="4:22" ht="25.5" customHeight="1"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</row>
    <row r="377" spans="4:22" ht="25.5" customHeight="1"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</row>
    <row r="378" spans="4:22" ht="25.5" customHeight="1">
      <c r="D378" s="181"/>
      <c r="E378" s="272"/>
      <c r="F378" s="265"/>
      <c r="G378" s="265"/>
      <c r="H378" s="265"/>
      <c r="I378" s="181"/>
      <c r="J378" s="181"/>
      <c r="K378" s="181"/>
      <c r="L378" s="181"/>
      <c r="M378" s="265"/>
      <c r="N378" s="181"/>
      <c r="O378" s="181"/>
      <c r="P378" s="181"/>
      <c r="Q378" s="181"/>
      <c r="R378" s="221"/>
      <c r="S378" s="234"/>
      <c r="T378" s="234"/>
      <c r="U378" s="221"/>
      <c r="V378" s="221"/>
    </row>
    <row r="379" spans="4:22" ht="25.5" customHeight="1">
      <c r="D379" s="181"/>
      <c r="E379" s="272"/>
      <c r="F379" s="265"/>
      <c r="G379" s="265"/>
      <c r="H379" s="265"/>
      <c r="I379" s="181"/>
      <c r="J379" s="181"/>
      <c r="K379" s="181"/>
      <c r="L379" s="181"/>
      <c r="M379" s="265"/>
      <c r="N379" s="181"/>
      <c r="O379" s="181"/>
      <c r="P379" s="181"/>
      <c r="Q379" s="181"/>
      <c r="R379" s="221"/>
      <c r="S379" s="234"/>
      <c r="T379" s="234"/>
      <c r="U379" s="221"/>
      <c r="V379" s="221"/>
    </row>
    <row r="380" spans="4:22" ht="25.5" customHeight="1">
      <c r="D380" s="181"/>
      <c r="E380" s="272"/>
      <c r="F380" s="265"/>
      <c r="G380" s="265"/>
      <c r="H380" s="265"/>
      <c r="I380" s="181"/>
      <c r="J380" s="181"/>
      <c r="K380" s="181"/>
      <c r="L380" s="181"/>
      <c r="M380" s="265"/>
      <c r="N380" s="181"/>
      <c r="O380" s="181"/>
      <c r="P380" s="181"/>
      <c r="Q380" s="181"/>
      <c r="R380" s="221"/>
      <c r="S380" s="234"/>
      <c r="T380" s="234"/>
      <c r="U380" s="221"/>
      <c r="V380" s="221"/>
    </row>
    <row r="381" spans="4:22" ht="25.5" customHeight="1">
      <c r="D381" s="181"/>
      <c r="E381" s="272"/>
      <c r="F381" s="265"/>
      <c r="G381" s="265"/>
      <c r="H381" s="265"/>
      <c r="I381" s="181"/>
      <c r="J381" s="181"/>
      <c r="K381" s="181"/>
      <c r="L381" s="181"/>
      <c r="M381" s="265"/>
      <c r="N381" s="181"/>
      <c r="O381" s="181"/>
      <c r="P381" s="181"/>
      <c r="Q381" s="181"/>
      <c r="R381" s="221"/>
      <c r="S381" s="234"/>
      <c r="T381" s="234"/>
      <c r="U381" s="221"/>
      <c r="V381" s="221"/>
    </row>
    <row r="382" spans="4:22" ht="25.5" customHeight="1">
      <c r="D382" s="181"/>
      <c r="E382" s="272"/>
      <c r="F382" s="265"/>
      <c r="G382" s="265"/>
      <c r="H382" s="265"/>
      <c r="I382" s="181"/>
      <c r="J382" s="181"/>
      <c r="K382" s="181"/>
      <c r="L382" s="181"/>
      <c r="M382" s="265"/>
      <c r="N382" s="181"/>
      <c r="O382" s="181"/>
      <c r="P382" s="181"/>
      <c r="Q382" s="181"/>
      <c r="R382" s="221"/>
      <c r="S382" s="234"/>
      <c r="T382" s="234"/>
      <c r="U382" s="221"/>
      <c r="V382" s="221"/>
    </row>
  </sheetData>
  <mergeCells count="32"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R7:R8"/>
    <mergeCell ref="S7:S8"/>
    <mergeCell ref="U7:U8"/>
    <mergeCell ref="V7:V8"/>
  </mergeCells>
  <pageMargins left="0.15748031496062992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X377"/>
  <sheetViews>
    <sheetView workbookViewId="0">
      <pane ySplit="8" topLeftCell="A276" activePane="bottomLeft" state="frozen"/>
      <selection activeCell="D177" sqref="D177"/>
      <selection pane="bottomLeft" activeCell="X282" sqref="X282"/>
    </sheetView>
  </sheetViews>
  <sheetFormatPr defaultRowHeight="25.5" customHeight="1"/>
  <cols>
    <col min="1" max="1" width="1.140625" customWidth="1"/>
    <col min="2" max="2" width="25.85546875" customWidth="1"/>
    <col min="3" max="3" width="11.28515625" style="282" customWidth="1"/>
    <col min="4" max="4" width="9.7109375" style="33" customWidth="1"/>
    <col min="5" max="5" width="9.5703125" style="273" customWidth="1"/>
    <col min="6" max="6" width="8.85546875" style="138" customWidth="1"/>
    <col min="7" max="7" width="9" style="138" customWidth="1"/>
    <col min="8" max="8" width="9.5703125" style="138" customWidth="1"/>
    <col min="9" max="9" width="10.140625" style="33" customWidth="1"/>
    <col min="10" max="12" width="1.7109375" style="33" customWidth="1"/>
    <col min="13" max="13" width="9.140625" style="138" customWidth="1"/>
    <col min="14" max="17" width="1.85546875" style="33" customWidth="1"/>
    <col min="18" max="18" width="7.28515625" customWidth="1"/>
    <col min="19" max="20" width="7.28515625" style="168" customWidth="1"/>
    <col min="21" max="21" width="1.28515625" customWidth="1"/>
    <col min="22" max="22" width="7.28515625" customWidth="1"/>
    <col min="23" max="23" width="15.285156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404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28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65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9586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530800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198400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>
        <v>150410</v>
      </c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/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2" t="s">
        <v>81</v>
      </c>
      <c r="C19" s="285">
        <v>344150</v>
      </c>
      <c r="D19" s="131"/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6"/>
      <c r="C20" s="290"/>
      <c r="D20" s="195"/>
      <c r="E20" s="270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SUM(C10:C19)</f>
        <v>10086782</v>
      </c>
      <c r="D21" s="132">
        <f>SUM(D10:D19)</f>
        <v>891836</v>
      </c>
      <c r="E21" s="26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891836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v>1283280</v>
      </c>
      <c r="D27" s="131"/>
      <c r="E27" s="267">
        <v>104880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2417520</v>
      </c>
      <c r="D28" s="132">
        <f>SUM(D23:D27)</f>
        <v>0</v>
      </c>
      <c r="E28" s="268">
        <f>SUM(E23:E27)</f>
        <v>199400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199400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</f>
        <v>7021960</v>
      </c>
      <c r="D30" s="133"/>
      <c r="E30" s="269">
        <v>209408</v>
      </c>
      <c r="F30" s="269">
        <v>76170</v>
      </c>
      <c r="G30" s="269"/>
      <c r="H30" s="269">
        <v>73000</v>
      </c>
      <c r="I30" s="269"/>
      <c r="J30" s="269"/>
      <c r="K30" s="269"/>
      <c r="L30" s="269"/>
      <c r="M30" s="269">
        <v>107990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269">
        <v>0</v>
      </c>
      <c r="G31" s="269"/>
      <c r="H31" s="269">
        <v>154260</v>
      </c>
      <c r="I31" s="269"/>
      <c r="J31" s="269"/>
      <c r="K31" s="269"/>
      <c r="L31" s="269"/>
      <c r="M31" s="269"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269">
        <v>0</v>
      </c>
      <c r="G32" s="269"/>
      <c r="H32" s="269">
        <v>0</v>
      </c>
      <c r="I32" s="269"/>
      <c r="J32" s="269"/>
      <c r="K32" s="269"/>
      <c r="L32" s="269"/>
      <c r="M32" s="269"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</f>
        <v>258000</v>
      </c>
      <c r="D33" s="133"/>
      <c r="E33" s="269">
        <v>11000</v>
      </c>
      <c r="F33" s="269">
        <v>0</v>
      </c>
      <c r="G33" s="269"/>
      <c r="H33" s="269">
        <v>3500</v>
      </c>
      <c r="I33" s="269"/>
      <c r="J33" s="269"/>
      <c r="K33" s="269"/>
      <c r="L33" s="269"/>
      <c r="M33" s="269">
        <v>3500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</f>
        <v>2286360</v>
      </c>
      <c r="D34" s="131"/>
      <c r="E34" s="269">
        <v>84007</v>
      </c>
      <c r="F34" s="269">
        <v>53033</v>
      </c>
      <c r="G34" s="269"/>
      <c r="H34" s="269">
        <v>63748</v>
      </c>
      <c r="I34" s="269"/>
      <c r="J34" s="269"/>
      <c r="K34" s="269"/>
      <c r="L34" s="269"/>
      <c r="M34" s="269">
        <v>29240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v>0</v>
      </c>
      <c r="F35" s="269">
        <v>0</v>
      </c>
      <c r="G35" s="269"/>
      <c r="H35" s="269">
        <v>20970</v>
      </c>
      <c r="I35" s="269"/>
      <c r="J35" s="269"/>
      <c r="K35" s="269"/>
      <c r="L35" s="269"/>
      <c r="M35" s="269"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</f>
        <v>232000</v>
      </c>
      <c r="D36" s="131"/>
      <c r="E36" s="269">
        <v>8979</v>
      </c>
      <c r="F36" s="269">
        <v>5756</v>
      </c>
      <c r="G36" s="269"/>
      <c r="H36" s="269">
        <v>8370</v>
      </c>
      <c r="I36" s="269"/>
      <c r="J36" s="269"/>
      <c r="K36" s="269"/>
      <c r="L36" s="269"/>
      <c r="M36" s="269">
        <v>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v>0</v>
      </c>
      <c r="F37" s="269">
        <v>0</v>
      </c>
      <c r="G37" s="269"/>
      <c r="H37" s="269">
        <v>1830</v>
      </c>
      <c r="I37" s="269"/>
      <c r="J37" s="269"/>
      <c r="K37" s="269"/>
      <c r="L37" s="269"/>
      <c r="M37" s="269"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ht="25.5" customHeight="1" thickBot="1">
      <c r="A38" s="46"/>
      <c r="B38" s="47" t="s">
        <v>5</v>
      </c>
      <c r="C38" s="289">
        <f>SUM(C30:C37)</f>
        <v>11982100</v>
      </c>
      <c r="D38" s="255">
        <f>SUM(D30:D37)</f>
        <v>0</v>
      </c>
      <c r="E38" s="254">
        <f>SUM(E30:E37)</f>
        <v>313834</v>
      </c>
      <c r="F38" s="254">
        <f>SUM(F30:F37)</f>
        <v>134959</v>
      </c>
      <c r="G38" s="254">
        <f t="shared" ref="G38:V38" si="2">SUM(G30:G37)</f>
        <v>0</v>
      </c>
      <c r="H38" s="254">
        <f>SUM(H30:H37)</f>
        <v>325678</v>
      </c>
      <c r="I38" s="255">
        <f t="shared" si="2"/>
        <v>0</v>
      </c>
      <c r="J38" s="255">
        <f t="shared" si="2"/>
        <v>0</v>
      </c>
      <c r="K38" s="255">
        <f t="shared" si="2"/>
        <v>0</v>
      </c>
      <c r="L38" s="255">
        <f t="shared" si="2"/>
        <v>0</v>
      </c>
      <c r="M38" s="254">
        <f>SUM(M30:M37)</f>
        <v>140730</v>
      </c>
      <c r="N38" s="255">
        <f t="shared" si="2"/>
        <v>0</v>
      </c>
      <c r="O38" s="255">
        <f t="shared" si="2"/>
        <v>0</v>
      </c>
      <c r="P38" s="255">
        <f t="shared" si="2"/>
        <v>0</v>
      </c>
      <c r="Q38" s="255">
        <f t="shared" si="2"/>
        <v>0</v>
      </c>
      <c r="R38" s="255">
        <f t="shared" si="2"/>
        <v>0</v>
      </c>
      <c r="S38" s="255">
        <f t="shared" si="2"/>
        <v>0</v>
      </c>
      <c r="T38" s="255"/>
      <c r="U38" s="255">
        <f t="shared" si="2"/>
        <v>0</v>
      </c>
      <c r="V38" s="255">
        <f t="shared" si="2"/>
        <v>0</v>
      </c>
      <c r="W38" s="316">
        <f>SUM(D38:V38)</f>
        <v>915201</v>
      </c>
    </row>
    <row r="39" spans="1:23" ht="25.5" customHeight="1" thickTop="1">
      <c r="A39" s="5" t="s">
        <v>98</v>
      </c>
      <c r="B39" s="6"/>
      <c r="C39" s="190"/>
      <c r="D39" s="133"/>
      <c r="E39" s="269"/>
      <c r="F39" s="136"/>
      <c r="G39" s="136"/>
      <c r="H39" s="136"/>
      <c r="I39" s="133"/>
      <c r="J39" s="133"/>
      <c r="K39" s="133"/>
      <c r="L39" s="133"/>
      <c r="M39" s="136"/>
      <c r="N39" s="133"/>
      <c r="O39" s="133"/>
      <c r="P39" s="133"/>
      <c r="Q39" s="133"/>
      <c r="R39" s="217"/>
      <c r="S39" s="219"/>
      <c r="T39" s="259"/>
      <c r="U39" s="258"/>
      <c r="V39" s="258"/>
      <c r="W39" s="317"/>
    </row>
    <row r="40" spans="1:23" ht="25.5" customHeight="1">
      <c r="A40" s="9"/>
      <c r="B40" s="130" t="s">
        <v>93</v>
      </c>
      <c r="C40" s="216">
        <v>5000</v>
      </c>
      <c r="D40" s="133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315"/>
    </row>
    <row r="41" spans="1:23" ht="25.5" customHeight="1">
      <c r="A41" s="9"/>
      <c r="B41" s="130" t="s">
        <v>205</v>
      </c>
      <c r="C41" s="285">
        <v>10000</v>
      </c>
      <c r="D41" s="131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315"/>
    </row>
    <row r="42" spans="1:23" ht="25.5" customHeight="1">
      <c r="A42" s="9"/>
      <c r="B42" s="130" t="s">
        <v>94</v>
      </c>
      <c r="C42" s="285">
        <v>10000</v>
      </c>
      <c r="D42" s="131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311"/>
    </row>
    <row r="43" spans="1:23" ht="25.5" customHeight="1">
      <c r="A43" s="9"/>
      <c r="B43" s="130" t="s">
        <v>95</v>
      </c>
      <c r="C43" s="192">
        <v>5000</v>
      </c>
      <c r="D43" s="131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</row>
    <row r="44" spans="1:23" ht="25.5" customHeight="1">
      <c r="A44" s="9"/>
      <c r="B44" s="130" t="s">
        <v>96</v>
      </c>
      <c r="C44" s="192">
        <v>5000</v>
      </c>
      <c r="D44" s="131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</row>
    <row r="45" spans="1:23" ht="25.5" customHeight="1">
      <c r="A45" s="9"/>
      <c r="B45" s="130" t="s">
        <v>10</v>
      </c>
      <c r="C45" s="216">
        <f>144000+36000+78000+78000</f>
        <v>336000</v>
      </c>
      <c r="D45" s="133"/>
      <c r="E45" s="269">
        <v>10000</v>
      </c>
      <c r="F45" s="269">
        <v>3000</v>
      </c>
      <c r="G45" s="269"/>
      <c r="H45" s="269">
        <v>6500</v>
      </c>
      <c r="I45" s="269"/>
      <c r="J45" s="269"/>
      <c r="K45" s="269"/>
      <c r="L45" s="269"/>
      <c r="M45" s="269">
        <v>6500</v>
      </c>
      <c r="N45" s="269"/>
      <c r="O45" s="269"/>
      <c r="P45" s="269"/>
      <c r="Q45" s="269"/>
      <c r="R45" s="269"/>
      <c r="S45" s="269"/>
      <c r="T45" s="269"/>
      <c r="U45" s="269"/>
      <c r="V45" s="269"/>
    </row>
    <row r="46" spans="1:23" ht="25.5" customHeight="1">
      <c r="A46" s="9"/>
      <c r="B46" s="130" t="s">
        <v>9</v>
      </c>
      <c r="C46" s="216">
        <f>25000+10000+30000+20000</f>
        <v>85000</v>
      </c>
      <c r="D46" s="131"/>
      <c r="E46" s="269"/>
      <c r="F46" s="269"/>
      <c r="G46" s="269"/>
      <c r="H46" s="269">
        <v>21700</v>
      </c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</row>
    <row r="47" spans="1:23" ht="25.5" customHeight="1">
      <c r="A47" s="197"/>
      <c r="B47" s="198" t="s">
        <v>241</v>
      </c>
      <c r="C47" s="286">
        <v>44200</v>
      </c>
      <c r="D47" s="131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</row>
    <row r="48" spans="1:23" ht="25.5" customHeight="1">
      <c r="A48" s="9"/>
      <c r="B48" s="6"/>
      <c r="C48" s="290"/>
      <c r="D48" s="195"/>
      <c r="E48" s="533"/>
      <c r="F48" s="533"/>
      <c r="G48" s="533"/>
      <c r="H48" s="533"/>
      <c r="I48" s="533"/>
      <c r="J48" s="533"/>
      <c r="K48" s="533"/>
      <c r="L48" s="533"/>
      <c r="M48" s="533"/>
      <c r="N48" s="533"/>
      <c r="O48" s="533"/>
      <c r="P48" s="533"/>
      <c r="Q48" s="533"/>
      <c r="R48" s="533"/>
      <c r="S48" s="533"/>
      <c r="T48" s="533"/>
      <c r="U48" s="533"/>
      <c r="V48" s="533"/>
    </row>
    <row r="49" spans="1:23" ht="25.5" customHeight="1" thickBot="1">
      <c r="A49" s="46"/>
      <c r="B49" s="47" t="s">
        <v>5</v>
      </c>
      <c r="C49" s="289">
        <f>SUM(C40:C47)</f>
        <v>500200</v>
      </c>
      <c r="D49" s="255">
        <f>SUM(D40:D47)</f>
        <v>0</v>
      </c>
      <c r="E49" s="254">
        <f>SUM(E40:E47)</f>
        <v>10000</v>
      </c>
      <c r="F49" s="254">
        <f>SUM(F40:F47)</f>
        <v>3000</v>
      </c>
      <c r="G49" s="254">
        <f t="shared" ref="G49:V49" si="3">SUM(G40:G47)</f>
        <v>0</v>
      </c>
      <c r="H49" s="254">
        <f>SUM(H40:H47)</f>
        <v>28200</v>
      </c>
      <c r="I49" s="255">
        <f t="shared" si="3"/>
        <v>0</v>
      </c>
      <c r="J49" s="255">
        <f t="shared" si="3"/>
        <v>0</v>
      </c>
      <c r="K49" s="255">
        <f t="shared" si="3"/>
        <v>0</v>
      </c>
      <c r="L49" s="255">
        <f t="shared" si="3"/>
        <v>0</v>
      </c>
      <c r="M49" s="254">
        <f>SUM(M40:M47)</f>
        <v>6500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47700</v>
      </c>
    </row>
    <row r="50" spans="1:23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3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3" ht="25.5" customHeight="1">
      <c r="A51" s="5"/>
      <c r="B51" s="130" t="s">
        <v>100</v>
      </c>
      <c r="C51" s="281">
        <f>15000+7000+20000+15000</f>
        <v>57000</v>
      </c>
      <c r="D51" s="133"/>
      <c r="E51" s="269">
        <v>2695</v>
      </c>
      <c r="F51" s="269"/>
      <c r="G51" s="269"/>
      <c r="H51" s="269">
        <v>3500</v>
      </c>
      <c r="I51" s="269"/>
      <c r="J51" s="269"/>
      <c r="K51" s="269"/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</row>
    <row r="52" spans="1:23" ht="25.5" customHeight="1">
      <c r="A52" s="5"/>
      <c r="B52" s="130" t="s">
        <v>226</v>
      </c>
      <c r="C52" s="281">
        <f>1044000+124000+384000+296000</f>
        <v>1848000</v>
      </c>
      <c r="D52" s="133"/>
      <c r="E52" s="269">
        <v>143500</v>
      </c>
      <c r="F52" s="269">
        <v>14500</v>
      </c>
      <c r="G52" s="269"/>
      <c r="H52" s="269">
        <v>56000</v>
      </c>
      <c r="I52" s="269"/>
      <c r="J52" s="269"/>
      <c r="K52" s="269"/>
      <c r="L52" s="269"/>
      <c r="M52" s="269">
        <v>29500</v>
      </c>
      <c r="N52" s="269"/>
      <c r="O52" s="269"/>
      <c r="P52" s="269"/>
      <c r="Q52" s="269"/>
      <c r="R52" s="269"/>
      <c r="S52" s="269"/>
      <c r="T52" s="269"/>
      <c r="U52" s="269"/>
      <c r="V52" s="269"/>
    </row>
    <row r="53" spans="1:23" ht="25.5" customHeight="1">
      <c r="A53" s="5"/>
      <c r="B53" s="130" t="s">
        <v>223</v>
      </c>
      <c r="C53" s="281">
        <v>200000</v>
      </c>
      <c r="D53" s="133"/>
      <c r="E53" s="269">
        <v>50000</v>
      </c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</row>
    <row r="54" spans="1:23" ht="25.5" customHeight="1">
      <c r="A54" s="5"/>
      <c r="B54" s="130" t="s">
        <v>224</v>
      </c>
      <c r="C54" s="281">
        <v>20000</v>
      </c>
      <c r="D54" s="133"/>
      <c r="E54" s="269"/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</row>
    <row r="55" spans="1:23" ht="25.5" customHeight="1">
      <c r="A55" s="5"/>
      <c r="B55" s="130" t="s">
        <v>225</v>
      </c>
      <c r="C55" s="281">
        <v>10000</v>
      </c>
      <c r="D55" s="133"/>
      <c r="E55" s="269">
        <v>2220</v>
      </c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</row>
    <row r="56" spans="1:23" ht="25.5" customHeight="1">
      <c r="A56" s="5"/>
      <c r="B56" s="130" t="s">
        <v>227</v>
      </c>
      <c r="C56" s="281">
        <v>40000</v>
      </c>
      <c r="D56" s="133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</row>
    <row r="57" spans="1:23" ht="25.5" customHeight="1">
      <c r="A57" s="5"/>
      <c r="B57" s="130" t="s">
        <v>228</v>
      </c>
      <c r="C57" s="281">
        <v>9000</v>
      </c>
      <c r="D57" s="133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</row>
    <row r="58" spans="1:23" ht="25.5" customHeight="1">
      <c r="A58" s="5"/>
      <c r="B58" s="130" t="s">
        <v>11</v>
      </c>
      <c r="C58" s="281">
        <v>10000</v>
      </c>
      <c r="D58" s="133"/>
      <c r="E58" s="269">
        <v>9869</v>
      </c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</row>
    <row r="59" spans="1:23" ht="25.5" customHeight="1">
      <c r="A59" s="5"/>
      <c r="B59" s="130" t="s">
        <v>229</v>
      </c>
      <c r="C59" s="281">
        <v>10000</v>
      </c>
      <c r="D59" s="133"/>
      <c r="E59" s="269">
        <v>1430</v>
      </c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</row>
    <row r="60" spans="1:23" ht="25.5" customHeight="1">
      <c r="A60" s="5"/>
      <c r="B60" s="130" t="s">
        <v>230</v>
      </c>
      <c r="C60" s="281">
        <v>20000</v>
      </c>
      <c r="D60" s="133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</row>
    <row r="61" spans="1:23" ht="25.5" customHeight="1">
      <c r="A61" s="9"/>
      <c r="B61" s="130" t="s">
        <v>50</v>
      </c>
      <c r="C61" s="280">
        <v>10000</v>
      </c>
      <c r="D61" s="133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</row>
    <row r="62" spans="1:23" ht="25.5" customHeight="1">
      <c r="A62" s="9"/>
      <c r="B62" s="130" t="s">
        <v>103</v>
      </c>
      <c r="C62" s="280">
        <v>10000</v>
      </c>
      <c r="D62" s="131"/>
      <c r="E62" s="269"/>
      <c r="F62" s="269"/>
      <c r="G62" s="269"/>
      <c r="H62" s="269"/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</row>
    <row r="63" spans="1:23" ht="25.5" customHeight="1">
      <c r="A63" s="9"/>
      <c r="B63" s="187" t="s">
        <v>106</v>
      </c>
      <c r="C63" s="283">
        <f>200000+30000+30000+80000</f>
        <v>340000</v>
      </c>
      <c r="D63" s="131"/>
      <c r="E63" s="269">
        <v>5386</v>
      </c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</row>
    <row r="64" spans="1:23" ht="25.5" customHeight="1">
      <c r="A64" s="9"/>
      <c r="B64" s="187" t="s">
        <v>231</v>
      </c>
      <c r="C64" s="283">
        <v>5000</v>
      </c>
      <c r="D64" s="131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</row>
    <row r="65" spans="1:22" ht="25.5" customHeight="1">
      <c r="A65" s="9"/>
      <c r="B65" s="187" t="s">
        <v>204</v>
      </c>
      <c r="C65" s="283">
        <v>5000</v>
      </c>
      <c r="D65" s="131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</row>
    <row r="66" spans="1:22" ht="25.5" customHeight="1">
      <c r="A66" s="9"/>
      <c r="B66" s="187" t="s">
        <v>232</v>
      </c>
      <c r="C66" s="283">
        <v>120000</v>
      </c>
      <c r="D66" s="131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</row>
    <row r="67" spans="1:22" ht="25.5" customHeight="1">
      <c r="A67" s="9"/>
      <c r="B67" s="187" t="s">
        <v>233</v>
      </c>
      <c r="C67" s="283">
        <v>125000</v>
      </c>
      <c r="D67" s="131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</row>
    <row r="68" spans="1:22" ht="25.5" customHeight="1">
      <c r="A68" s="9"/>
      <c r="B68" s="187" t="s">
        <v>234</v>
      </c>
      <c r="C68" s="283">
        <v>5000</v>
      </c>
      <c r="D68" s="131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</row>
    <row r="69" spans="1:22" ht="25.5" customHeight="1">
      <c r="A69" s="9"/>
      <c r="B69" s="187" t="s">
        <v>235</v>
      </c>
      <c r="C69" s="283">
        <v>90000</v>
      </c>
      <c r="D69" s="131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</row>
    <row r="70" spans="1:22" ht="25.5" customHeight="1">
      <c r="A70" s="9"/>
      <c r="B70" s="187" t="s">
        <v>236</v>
      </c>
      <c r="C70" s="283">
        <v>5000</v>
      </c>
      <c r="D70" s="131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</row>
    <row r="71" spans="1:22" ht="25.5" customHeight="1">
      <c r="A71" s="9"/>
      <c r="B71" s="187" t="s">
        <v>237</v>
      </c>
      <c r="C71" s="283">
        <v>5000</v>
      </c>
      <c r="D71" s="131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</row>
    <row r="72" spans="1:22" ht="25.5" customHeight="1">
      <c r="A72" s="165"/>
      <c r="B72" s="226" t="s">
        <v>277</v>
      </c>
      <c r="C72" s="279">
        <v>5000</v>
      </c>
      <c r="D72" s="131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</row>
    <row r="73" spans="1:22" ht="25.5" customHeight="1">
      <c r="A73" s="165"/>
      <c r="B73" s="226" t="s">
        <v>107</v>
      </c>
      <c r="C73" s="279">
        <v>10000</v>
      </c>
      <c r="D73" s="131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</row>
    <row r="74" spans="1:22" ht="25.5" customHeight="1">
      <c r="A74" s="9"/>
      <c r="B74" s="226" t="s">
        <v>278</v>
      </c>
      <c r="C74" s="279">
        <v>10000</v>
      </c>
      <c r="D74" s="195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</row>
    <row r="75" spans="1:22" ht="25.5" customHeight="1">
      <c r="A75" s="165"/>
      <c r="B75" s="226" t="s">
        <v>279</v>
      </c>
      <c r="C75" s="279">
        <v>10000</v>
      </c>
      <c r="D75" s="195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</row>
    <row r="76" spans="1:22" ht="25.5" customHeight="1">
      <c r="A76" s="9"/>
      <c r="B76" s="226" t="s">
        <v>280</v>
      </c>
      <c r="C76" s="279">
        <v>10000</v>
      </c>
      <c r="D76" s="195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</row>
    <row r="77" spans="1:22" ht="25.5" customHeight="1">
      <c r="A77" s="9"/>
      <c r="B77" s="226" t="s">
        <v>281</v>
      </c>
      <c r="C77" s="279">
        <v>5000</v>
      </c>
      <c r="D77" s="195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</row>
    <row r="78" spans="1:22" ht="25.5" customHeight="1">
      <c r="A78" s="9"/>
      <c r="B78" s="226" t="s">
        <v>282</v>
      </c>
      <c r="C78" s="279">
        <v>5000</v>
      </c>
      <c r="D78" s="195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</row>
    <row r="79" spans="1:22" ht="25.5" customHeight="1">
      <c r="A79" s="9"/>
      <c r="B79" s="226" t="s">
        <v>238</v>
      </c>
      <c r="C79" s="279">
        <f>70000+40000+10000+20000</f>
        <v>140000</v>
      </c>
      <c r="D79" s="195"/>
      <c r="E79" s="269">
        <v>10450</v>
      </c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</row>
    <row r="80" spans="1:22" ht="25.5" customHeight="1">
      <c r="A80" s="9"/>
      <c r="B80" s="226" t="s">
        <v>121</v>
      </c>
      <c r="C80" s="279">
        <v>100000</v>
      </c>
      <c r="D80" s="195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</row>
    <row r="81" spans="1:22" ht="25.5" customHeight="1">
      <c r="A81" s="9"/>
      <c r="B81" s="226" t="s">
        <v>295</v>
      </c>
      <c r="C81" s="279">
        <v>40000</v>
      </c>
      <c r="D81" s="195"/>
      <c r="E81" s="269"/>
      <c r="F81" s="269"/>
      <c r="G81" s="269">
        <v>38290</v>
      </c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</row>
    <row r="82" spans="1:22" ht="25.5" customHeight="1">
      <c r="A82" s="9"/>
      <c r="B82" s="226" t="s">
        <v>296</v>
      </c>
      <c r="C82" s="279">
        <v>30000</v>
      </c>
      <c r="D82" s="195"/>
      <c r="E82" s="269"/>
      <c r="F82" s="269"/>
      <c r="G82" s="269">
        <v>14920</v>
      </c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</row>
    <row r="83" spans="1:22" ht="25.5" customHeight="1">
      <c r="A83" s="9"/>
      <c r="B83" s="226" t="s">
        <v>210</v>
      </c>
      <c r="C83" s="279">
        <v>10000</v>
      </c>
      <c r="D83" s="195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</row>
    <row r="84" spans="1:22" ht="25.5" customHeight="1">
      <c r="A84" s="9"/>
      <c r="B84" s="187" t="s">
        <v>297</v>
      </c>
      <c r="C84" s="279">
        <v>20000</v>
      </c>
      <c r="D84" s="195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</row>
    <row r="85" spans="1:22" ht="25.5" customHeight="1">
      <c r="A85" s="9"/>
      <c r="B85" s="187" t="s">
        <v>298</v>
      </c>
      <c r="C85" s="279">
        <v>20000</v>
      </c>
      <c r="D85" s="195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</row>
    <row r="86" spans="1:22" ht="25.5" customHeight="1">
      <c r="A86" s="9"/>
      <c r="B86" s="187" t="s">
        <v>299</v>
      </c>
      <c r="C86" s="279">
        <v>15000</v>
      </c>
      <c r="D86" s="195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</row>
    <row r="87" spans="1:22" ht="25.5" customHeight="1">
      <c r="A87" s="9"/>
      <c r="B87" s="187" t="s">
        <v>300</v>
      </c>
      <c r="C87" s="279">
        <v>10000</v>
      </c>
      <c r="D87" s="19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</row>
    <row r="88" spans="1:22" ht="25.5" customHeight="1">
      <c r="A88" s="9"/>
      <c r="B88" s="187" t="s">
        <v>301</v>
      </c>
      <c r="C88" s="279">
        <v>345100</v>
      </c>
      <c r="D88" s="195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</row>
    <row r="89" spans="1:22" ht="25.5" customHeight="1">
      <c r="A89" s="9"/>
      <c r="B89" s="187" t="s">
        <v>242</v>
      </c>
      <c r="C89" s="279">
        <v>40000</v>
      </c>
      <c r="D89" s="195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</row>
    <row r="90" spans="1:22" ht="25.5" customHeight="1">
      <c r="A90" s="9"/>
      <c r="B90" s="187" t="s">
        <v>307</v>
      </c>
      <c r="C90" s="279">
        <v>10000</v>
      </c>
      <c r="D90" s="131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</row>
    <row r="91" spans="1:22" ht="25.5" customHeight="1">
      <c r="A91" s="9"/>
      <c r="B91" s="187" t="s">
        <v>134</v>
      </c>
      <c r="C91" s="279">
        <v>15000</v>
      </c>
      <c r="D91" s="195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</row>
    <row r="92" spans="1:22" ht="25.5" customHeight="1">
      <c r="A92" s="9"/>
      <c r="B92" s="187" t="s">
        <v>308</v>
      </c>
      <c r="C92" s="279">
        <v>2500</v>
      </c>
      <c r="D92" s="195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</row>
    <row r="93" spans="1:22" ht="25.5" customHeight="1">
      <c r="A93" s="9"/>
      <c r="B93" s="187" t="s">
        <v>309</v>
      </c>
      <c r="C93" s="279">
        <v>2500</v>
      </c>
      <c r="D93" s="195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</row>
    <row r="94" spans="1:22" ht="25.5" customHeight="1">
      <c r="A94" s="9"/>
      <c r="B94" s="187" t="s">
        <v>310</v>
      </c>
      <c r="C94" s="279">
        <v>2500</v>
      </c>
      <c r="D94" s="195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</row>
    <row r="95" spans="1:22" ht="25.5" customHeight="1">
      <c r="A95" s="9"/>
      <c r="B95" s="187" t="s">
        <v>311</v>
      </c>
      <c r="C95" s="279">
        <v>2500</v>
      </c>
      <c r="D95" s="195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</row>
    <row r="96" spans="1:22" ht="25.5" customHeight="1">
      <c r="A96" s="9"/>
      <c r="B96" s="187" t="s">
        <v>243</v>
      </c>
      <c r="C96" s="279">
        <v>2000</v>
      </c>
      <c r="D96" s="195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</row>
    <row r="97" spans="1:22" ht="25.5" customHeight="1">
      <c r="A97" s="9"/>
      <c r="B97" s="187" t="s">
        <v>248</v>
      </c>
      <c r="C97" s="279">
        <v>2000</v>
      </c>
      <c r="D97" s="195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</row>
    <row r="98" spans="1:22" ht="25.5" customHeight="1">
      <c r="A98" s="9"/>
      <c r="B98" s="187" t="s">
        <v>244</v>
      </c>
      <c r="C98" s="279">
        <v>2000</v>
      </c>
      <c r="D98" s="195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</row>
    <row r="99" spans="1:22" ht="25.5" customHeight="1">
      <c r="A99" s="9"/>
      <c r="B99" s="187" t="s">
        <v>245</v>
      </c>
      <c r="C99" s="279">
        <v>2000</v>
      </c>
      <c r="D99" s="195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</row>
    <row r="100" spans="1:22" ht="25.5" customHeight="1">
      <c r="A100" s="9"/>
      <c r="B100" s="187" t="s">
        <v>246</v>
      </c>
      <c r="C100" s="279">
        <v>2000</v>
      </c>
      <c r="D100" s="195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</row>
    <row r="101" spans="1:22" ht="25.5" customHeight="1">
      <c r="A101" s="9"/>
      <c r="B101" s="187" t="s">
        <v>247</v>
      </c>
      <c r="C101" s="279">
        <v>2000</v>
      </c>
      <c r="D101" s="195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</row>
    <row r="102" spans="1:22" ht="25.5" customHeight="1">
      <c r="A102" s="9"/>
      <c r="B102" s="187" t="s">
        <v>249</v>
      </c>
      <c r="C102" s="279">
        <v>2000</v>
      </c>
      <c r="D102" s="195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</row>
    <row r="103" spans="1:22" ht="25.5" customHeight="1">
      <c r="A103" s="9"/>
      <c r="B103" s="187" t="s">
        <v>250</v>
      </c>
      <c r="C103" s="279">
        <v>2000</v>
      </c>
      <c r="D103" s="195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</row>
    <row r="104" spans="1:22" ht="25.5" customHeight="1">
      <c r="A104" s="9"/>
      <c r="B104" s="187" t="s">
        <v>251</v>
      </c>
      <c r="C104" s="279">
        <v>2000</v>
      </c>
      <c r="D104" s="195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</row>
    <row r="105" spans="1:22" ht="25.5" customHeight="1">
      <c r="A105" s="9"/>
      <c r="B105" s="187" t="s">
        <v>252</v>
      </c>
      <c r="C105" s="279">
        <v>2000</v>
      </c>
      <c r="D105" s="195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</row>
    <row r="106" spans="1:22" ht="25.5" customHeight="1">
      <c r="A106" s="9"/>
      <c r="B106" s="187" t="s">
        <v>253</v>
      </c>
      <c r="C106" s="279">
        <v>2000</v>
      </c>
      <c r="D106" s="195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</row>
    <row r="107" spans="1:22" ht="25.5" customHeight="1">
      <c r="A107" s="9"/>
      <c r="B107" s="187" t="s">
        <v>254</v>
      </c>
      <c r="C107" s="279">
        <v>2000</v>
      </c>
      <c r="D107" s="195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</row>
    <row r="108" spans="1:22" ht="25.5" customHeight="1">
      <c r="A108" s="9"/>
      <c r="B108" s="187" t="s">
        <v>312</v>
      </c>
      <c r="C108" s="279">
        <v>2500</v>
      </c>
      <c r="D108" s="195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</row>
    <row r="109" spans="1:22" ht="25.5" customHeight="1">
      <c r="A109" s="9"/>
      <c r="B109" s="187" t="s">
        <v>313</v>
      </c>
      <c r="C109" s="279">
        <v>2500</v>
      </c>
      <c r="D109" s="131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</row>
    <row r="110" spans="1:22" ht="25.5" customHeight="1">
      <c r="A110" s="9"/>
      <c r="B110" s="187" t="s">
        <v>314</v>
      </c>
      <c r="C110" s="279">
        <v>2500</v>
      </c>
      <c r="D110" s="195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</row>
    <row r="111" spans="1:22" ht="25.5" customHeight="1">
      <c r="A111" s="9"/>
      <c r="B111" s="187" t="s">
        <v>255</v>
      </c>
      <c r="C111" s="279">
        <v>4000</v>
      </c>
      <c r="D111" s="195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</row>
    <row r="112" spans="1:22" ht="25.5" customHeight="1">
      <c r="A112" s="9"/>
      <c r="B112" s="187" t="s">
        <v>256</v>
      </c>
      <c r="C112" s="279">
        <v>2500</v>
      </c>
      <c r="D112" s="195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</row>
    <row r="113" spans="1:22" ht="25.5" customHeight="1">
      <c r="A113" s="9"/>
      <c r="B113" s="187" t="s">
        <v>257</v>
      </c>
      <c r="C113" s="279">
        <v>2500</v>
      </c>
      <c r="D113" s="195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</row>
    <row r="114" spans="1:22" ht="25.5" customHeight="1">
      <c r="A114" s="9"/>
      <c r="B114" s="187" t="s">
        <v>258</v>
      </c>
      <c r="C114" s="279">
        <v>2500</v>
      </c>
      <c r="D114" s="195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</row>
    <row r="115" spans="1:22" ht="25.5" customHeight="1">
      <c r="A115" s="9"/>
      <c r="B115" s="187" t="s">
        <v>259</v>
      </c>
      <c r="C115" s="279">
        <v>1000</v>
      </c>
      <c r="D115" s="195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</row>
    <row r="116" spans="1:22" ht="25.5" customHeight="1">
      <c r="A116" s="9"/>
      <c r="B116" s="187" t="s">
        <v>260</v>
      </c>
      <c r="C116" s="279">
        <v>1000</v>
      </c>
      <c r="D116" s="195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</row>
    <row r="117" spans="1:22" ht="25.5" customHeight="1">
      <c r="A117" s="9"/>
      <c r="B117" s="187" t="s">
        <v>261</v>
      </c>
      <c r="C117" s="279">
        <v>1000</v>
      </c>
      <c r="D117" s="195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</row>
    <row r="118" spans="1:22" ht="25.5" customHeight="1">
      <c r="A118" s="9"/>
      <c r="B118" s="187" t="s">
        <v>262</v>
      </c>
      <c r="C118" s="279">
        <v>1000</v>
      </c>
      <c r="D118" s="195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</row>
    <row r="119" spans="1:22" ht="25.5" customHeight="1">
      <c r="A119" s="9"/>
      <c r="B119" s="187" t="s">
        <v>211</v>
      </c>
      <c r="C119" s="279">
        <v>392000</v>
      </c>
      <c r="D119" s="195"/>
      <c r="E119" s="269"/>
      <c r="F119" s="269"/>
      <c r="G119" s="269"/>
      <c r="H119" s="269"/>
      <c r="I119" s="269">
        <v>93600</v>
      </c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</row>
    <row r="120" spans="1:22" ht="25.5" customHeight="1">
      <c r="A120" s="9"/>
      <c r="B120" s="187" t="s">
        <v>263</v>
      </c>
      <c r="C120" s="279">
        <v>200900</v>
      </c>
      <c r="D120" s="195"/>
      <c r="E120" s="269"/>
      <c r="F120" s="269"/>
      <c r="G120" s="269"/>
      <c r="H120" s="269"/>
      <c r="I120" s="269">
        <v>50400</v>
      </c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</row>
    <row r="121" spans="1:22" ht="25.5" customHeight="1">
      <c r="A121" s="9"/>
      <c r="B121" s="187" t="s">
        <v>315</v>
      </c>
      <c r="C121" s="279">
        <v>230300</v>
      </c>
      <c r="D121" s="195"/>
      <c r="E121" s="269"/>
      <c r="F121" s="269"/>
      <c r="G121" s="269"/>
      <c r="H121" s="269"/>
      <c r="I121" s="269">
        <v>55200</v>
      </c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</row>
    <row r="122" spans="1:22" ht="25.5" customHeight="1">
      <c r="A122" s="9"/>
      <c r="B122" s="187" t="s">
        <v>212</v>
      </c>
      <c r="C122" s="279">
        <v>171500</v>
      </c>
      <c r="D122" s="195"/>
      <c r="E122" s="269"/>
      <c r="F122" s="269"/>
      <c r="G122" s="269"/>
      <c r="H122" s="269"/>
      <c r="I122" s="269">
        <v>43200</v>
      </c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</row>
    <row r="123" spans="1:22" ht="25.5" customHeight="1">
      <c r="A123" s="9"/>
      <c r="B123" s="187" t="s">
        <v>140</v>
      </c>
      <c r="C123" s="279">
        <v>50000</v>
      </c>
      <c r="D123" s="195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</row>
    <row r="124" spans="1:22" ht="25.5" customHeight="1">
      <c r="A124" s="9"/>
      <c r="B124" s="187" t="s">
        <v>206</v>
      </c>
      <c r="C124" s="279">
        <v>20000</v>
      </c>
      <c r="D124" s="195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</row>
    <row r="125" spans="1:22" ht="25.5" customHeight="1">
      <c r="A125" s="9"/>
      <c r="B125" s="187" t="s">
        <v>326</v>
      </c>
      <c r="C125" s="279">
        <v>5000</v>
      </c>
      <c r="D125" s="195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</row>
    <row r="126" spans="1:22" ht="25.5" customHeight="1">
      <c r="A126" s="9"/>
      <c r="B126" s="187" t="s">
        <v>327</v>
      </c>
      <c r="C126" s="279">
        <v>5000</v>
      </c>
      <c r="D126" s="195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</row>
    <row r="127" spans="1:22" ht="25.5" customHeight="1">
      <c r="A127" s="9"/>
      <c r="B127" s="187" t="s">
        <v>142</v>
      </c>
      <c r="C127" s="279">
        <v>20000</v>
      </c>
      <c r="D127" s="195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</row>
    <row r="128" spans="1:22" ht="25.5" customHeight="1">
      <c r="A128" s="9"/>
      <c r="B128" s="226" t="s">
        <v>328</v>
      </c>
      <c r="C128" s="279">
        <v>10000</v>
      </c>
      <c r="D128" s="195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</row>
    <row r="129" spans="1:22" ht="25.5" customHeight="1">
      <c r="A129" s="9"/>
      <c r="B129" s="226" t="s">
        <v>329</v>
      </c>
      <c r="C129" s="279">
        <v>10000</v>
      </c>
      <c r="D129" s="131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</row>
    <row r="130" spans="1:22" ht="25.5" customHeight="1">
      <c r="A130" s="9"/>
      <c r="B130" s="226" t="s">
        <v>330</v>
      </c>
      <c r="C130" s="279">
        <v>10000</v>
      </c>
      <c r="D130" s="195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</row>
    <row r="131" spans="1:22" ht="25.5" customHeight="1">
      <c r="A131" s="9"/>
      <c r="B131" s="226" t="s">
        <v>331</v>
      </c>
      <c r="C131" s="279">
        <v>10000</v>
      </c>
      <c r="D131" s="195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</row>
    <row r="132" spans="1:22" ht="25.5" customHeight="1">
      <c r="A132" s="9"/>
      <c r="B132" s="226" t="s">
        <v>333</v>
      </c>
      <c r="C132" s="279">
        <v>15000</v>
      </c>
      <c r="D132" s="195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</row>
    <row r="133" spans="1:22" ht="25.5" customHeight="1">
      <c r="A133" s="9"/>
      <c r="B133" s="226" t="s">
        <v>157</v>
      </c>
      <c r="C133" s="279">
        <v>10000</v>
      </c>
      <c r="D133" s="195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</row>
    <row r="134" spans="1:22" ht="25.5" customHeight="1">
      <c r="A134" s="9"/>
      <c r="B134" s="226" t="s">
        <v>158</v>
      </c>
      <c r="C134" s="279">
        <v>10000</v>
      </c>
      <c r="D134" s="195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</row>
    <row r="135" spans="1:22" ht="25.5" customHeight="1">
      <c r="A135" s="9"/>
      <c r="B135" s="226" t="s">
        <v>352</v>
      </c>
      <c r="C135" s="279">
        <v>10000</v>
      </c>
      <c r="D135" s="195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</row>
    <row r="136" spans="1:22" ht="25.5" customHeight="1">
      <c r="A136" s="9"/>
      <c r="B136" s="226" t="s">
        <v>213</v>
      </c>
      <c r="C136" s="279">
        <v>15000</v>
      </c>
      <c r="D136" s="195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</row>
    <row r="137" spans="1:22" ht="25.5" customHeight="1">
      <c r="A137" s="9"/>
      <c r="B137" s="226" t="s">
        <v>265</v>
      </c>
      <c r="C137" s="279">
        <v>20000</v>
      </c>
      <c r="D137" s="195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</row>
    <row r="138" spans="1:22" ht="25.5" customHeight="1">
      <c r="A138" s="9"/>
      <c r="B138" s="226" t="s">
        <v>353</v>
      </c>
      <c r="C138" s="279">
        <v>5000</v>
      </c>
      <c r="D138" s="195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</row>
    <row r="139" spans="1:22" ht="25.5" customHeight="1">
      <c r="A139" s="9"/>
      <c r="B139" s="226" t="s">
        <v>354</v>
      </c>
      <c r="C139" s="279">
        <v>10000</v>
      </c>
      <c r="D139" s="195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</row>
    <row r="140" spans="1:22" ht="25.5" customHeight="1">
      <c r="A140" s="9"/>
      <c r="B140" s="187" t="s">
        <v>355</v>
      </c>
      <c r="C140" s="279">
        <v>20000</v>
      </c>
      <c r="D140" s="195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</row>
    <row r="141" spans="1:22" ht="25.5" customHeight="1">
      <c r="A141" s="9"/>
      <c r="B141" s="187" t="s">
        <v>356</v>
      </c>
      <c r="C141" s="279">
        <v>20000</v>
      </c>
      <c r="D141" s="195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</row>
    <row r="142" spans="1:22" ht="25.5" customHeight="1">
      <c r="A142" s="9"/>
      <c r="B142" s="187" t="s">
        <v>357</v>
      </c>
      <c r="C142" s="279">
        <v>10000</v>
      </c>
      <c r="D142" s="195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</row>
    <row r="143" spans="1:22" ht="25.5" customHeight="1">
      <c r="A143" s="9"/>
      <c r="B143" s="187" t="s">
        <v>358</v>
      </c>
      <c r="C143" s="279">
        <v>10000</v>
      </c>
      <c r="D143" s="195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</row>
    <row r="144" spans="1:22" ht="25.5" customHeight="1">
      <c r="A144" s="9"/>
      <c r="B144" s="187" t="s">
        <v>359</v>
      </c>
      <c r="C144" s="279">
        <v>5000</v>
      </c>
      <c r="D144" s="195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</row>
    <row r="145" spans="1:22" ht="25.5" customHeight="1">
      <c r="A145" s="9"/>
      <c r="B145" s="187" t="s">
        <v>360</v>
      </c>
      <c r="C145" s="279">
        <v>5000</v>
      </c>
      <c r="D145" s="195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</row>
    <row r="146" spans="1:22" ht="25.5" customHeight="1">
      <c r="A146" s="9"/>
      <c r="B146" s="187" t="s">
        <v>361</v>
      </c>
      <c r="C146" s="279">
        <v>5000</v>
      </c>
      <c r="D146" s="195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</row>
    <row r="147" spans="1:22" ht="25.5" customHeight="1">
      <c r="A147" s="9"/>
      <c r="B147" s="187" t="s">
        <v>362</v>
      </c>
      <c r="C147" s="279">
        <v>5000</v>
      </c>
      <c r="D147" s="195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</row>
    <row r="148" spans="1:22" ht="25.5" customHeight="1">
      <c r="A148" s="9"/>
      <c r="B148" s="187" t="s">
        <v>363</v>
      </c>
      <c r="C148" s="279">
        <v>5000</v>
      </c>
      <c r="D148" s="131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</row>
    <row r="149" spans="1:22" ht="25.5" customHeight="1">
      <c r="A149" s="9"/>
      <c r="B149" s="187" t="s">
        <v>364</v>
      </c>
      <c r="C149" s="279">
        <v>5000</v>
      </c>
      <c r="D149" s="131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</row>
    <row r="150" spans="1:22" ht="25.5" customHeight="1">
      <c r="A150" s="9"/>
      <c r="B150" s="187" t="s">
        <v>365</v>
      </c>
      <c r="C150" s="279">
        <v>5000</v>
      </c>
      <c r="D150" s="131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</row>
    <row r="151" spans="1:22" ht="25.5" customHeight="1">
      <c r="A151" s="9"/>
      <c r="B151" s="187" t="s">
        <v>366</v>
      </c>
      <c r="C151" s="279">
        <v>5000</v>
      </c>
      <c r="D151" s="131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</row>
    <row r="152" spans="1:22" ht="25.5" customHeight="1">
      <c r="A152" s="9"/>
      <c r="B152" s="187" t="s">
        <v>367</v>
      </c>
      <c r="C152" s="279">
        <v>5000</v>
      </c>
      <c r="D152" s="131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</row>
    <row r="153" spans="1:22" ht="25.5" customHeight="1">
      <c r="A153" s="9"/>
      <c r="B153" s="187" t="s">
        <v>368</v>
      </c>
      <c r="C153" s="279">
        <v>5000</v>
      </c>
      <c r="D153" s="131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</row>
    <row r="154" spans="1:22" ht="25.5" customHeight="1">
      <c r="A154" s="9"/>
      <c r="B154" s="187" t="s">
        <v>369</v>
      </c>
      <c r="C154" s="279">
        <v>10000</v>
      </c>
      <c r="D154" s="131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</row>
    <row r="155" spans="1:22" ht="25.5" customHeight="1">
      <c r="A155" s="9"/>
      <c r="B155" s="187" t="s">
        <v>370</v>
      </c>
      <c r="C155" s="279">
        <v>10000</v>
      </c>
      <c r="D155" s="131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</row>
    <row r="156" spans="1:22" ht="25.5" customHeight="1">
      <c r="A156" s="9"/>
      <c r="B156" s="187" t="s">
        <v>163</v>
      </c>
      <c r="C156" s="279">
        <v>350000</v>
      </c>
      <c r="D156" s="131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</row>
    <row r="157" spans="1:22" ht="25.5" customHeight="1">
      <c r="A157" s="9"/>
      <c r="B157" s="187" t="s">
        <v>214</v>
      </c>
      <c r="C157" s="279">
        <v>25000</v>
      </c>
      <c r="D157" s="131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>
        <v>8450</v>
      </c>
      <c r="S157" s="269"/>
      <c r="T157" s="269"/>
      <c r="U157" s="269"/>
      <c r="V157" s="269"/>
    </row>
    <row r="158" spans="1:22" ht="25.5" customHeight="1">
      <c r="A158" s="9"/>
      <c r="B158" s="187" t="s">
        <v>167</v>
      </c>
      <c r="C158" s="279">
        <v>30000</v>
      </c>
      <c r="D158" s="131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</row>
    <row r="159" spans="1:22" ht="25.5" customHeight="1">
      <c r="A159" s="9"/>
      <c r="B159" s="187" t="s">
        <v>371</v>
      </c>
      <c r="C159" s="279">
        <v>30000</v>
      </c>
      <c r="D159" s="131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</row>
    <row r="160" spans="1:22" ht="25.5" customHeight="1">
      <c r="A160" s="9"/>
      <c r="B160" s="187" t="s">
        <v>170</v>
      </c>
      <c r="C160" s="279">
        <v>40000</v>
      </c>
      <c r="D160" s="131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</row>
    <row r="161" spans="1:23" ht="25.5" customHeight="1">
      <c r="A161" s="9"/>
      <c r="B161" s="187" t="s">
        <v>266</v>
      </c>
      <c r="C161" s="279">
        <v>15000</v>
      </c>
      <c r="D161" s="131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</row>
    <row r="162" spans="1:23" ht="25.5" customHeight="1">
      <c r="A162" s="9"/>
      <c r="B162" s="187" t="s">
        <v>372</v>
      </c>
      <c r="C162" s="279">
        <v>65000</v>
      </c>
      <c r="D162" s="131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>
        <v>4980</v>
      </c>
      <c r="T162" s="269"/>
      <c r="U162" s="269"/>
      <c r="V162" s="269"/>
    </row>
    <row r="163" spans="1:23" ht="25.5" customHeight="1">
      <c r="A163" s="9"/>
      <c r="B163" s="187" t="s">
        <v>373</v>
      </c>
      <c r="C163" s="279">
        <v>65000</v>
      </c>
      <c r="D163" s="131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</row>
    <row r="164" spans="1:23" ht="25.5" customHeight="1">
      <c r="A164" s="9"/>
      <c r="B164" s="187" t="s">
        <v>374</v>
      </c>
      <c r="C164" s="279">
        <v>20000</v>
      </c>
      <c r="D164" s="131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</row>
    <row r="165" spans="1:23" ht="25.5" customHeight="1">
      <c r="A165" s="9"/>
      <c r="B165" s="187" t="s">
        <v>375</v>
      </c>
      <c r="C165" s="279">
        <v>20000</v>
      </c>
      <c r="D165" s="131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</row>
    <row r="166" spans="1:23" ht="25.5" customHeight="1">
      <c r="A166" s="9"/>
      <c r="B166" s="187" t="s">
        <v>376</v>
      </c>
      <c r="C166" s="279">
        <v>25000</v>
      </c>
      <c r="D166" s="131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</row>
    <row r="167" spans="1:23" ht="25.5" customHeight="1">
      <c r="A167" s="9"/>
      <c r="B167" s="187" t="s">
        <v>377</v>
      </c>
      <c r="C167" s="279">
        <v>20000</v>
      </c>
      <c r="D167" s="131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</row>
    <row r="168" spans="1:23" ht="25.5" customHeight="1">
      <c r="A168" s="9"/>
      <c r="B168" s="187" t="s">
        <v>267</v>
      </c>
      <c r="C168" s="279">
        <v>15000</v>
      </c>
      <c r="D168" s="131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</row>
    <row r="169" spans="1:23" ht="25.5" customHeight="1">
      <c r="A169" s="9"/>
      <c r="B169" s="187" t="s">
        <v>215</v>
      </c>
      <c r="C169" s="279">
        <v>10000</v>
      </c>
      <c r="D169" s="131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</row>
    <row r="170" spans="1:23" ht="25.5" customHeight="1">
      <c r="A170" s="9"/>
      <c r="B170" s="187" t="s">
        <v>268</v>
      </c>
      <c r="C170" s="279">
        <v>5000</v>
      </c>
      <c r="D170" s="131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>
        <v>4715</v>
      </c>
    </row>
    <row r="171" spans="1:23" ht="25.5" customHeight="1">
      <c r="A171" s="9"/>
      <c r="B171" s="187"/>
      <c r="C171" s="279"/>
      <c r="D171" s="131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</row>
    <row r="172" spans="1:23" ht="25.5" customHeight="1">
      <c r="A172" s="9"/>
      <c r="B172" s="187"/>
      <c r="C172" s="279"/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</row>
    <row r="173" spans="1:23" ht="25.5" customHeight="1">
      <c r="A173" s="9"/>
      <c r="B173" s="187"/>
      <c r="C173" s="279"/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</row>
    <row r="174" spans="1:23" ht="25.5" customHeight="1">
      <c r="A174" s="9"/>
      <c r="B174" s="187"/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3" ht="25.5" customHeight="1">
      <c r="A175" s="9"/>
      <c r="B175" s="187"/>
      <c r="C175" s="279"/>
      <c r="D175" s="131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</row>
    <row r="176" spans="1:23" ht="25.5" customHeight="1" thickBot="1">
      <c r="A176" s="15"/>
      <c r="B176" s="14" t="s">
        <v>5</v>
      </c>
      <c r="C176" s="170">
        <f>SUM(C51:C175)</f>
        <v>5945800</v>
      </c>
      <c r="D176" s="255">
        <f>SUM(D51:D175)</f>
        <v>0</v>
      </c>
      <c r="E176" s="254">
        <f>SUM(E51:E175)</f>
        <v>225550</v>
      </c>
      <c r="F176" s="254">
        <f>SUM(F51:F175)</f>
        <v>14500</v>
      </c>
      <c r="G176" s="254">
        <f t="shared" ref="G176:V176" si="4">SUM(G51:G175)</f>
        <v>53210</v>
      </c>
      <c r="H176" s="254">
        <f>SUM(H51:H175)</f>
        <v>59500</v>
      </c>
      <c r="I176" s="255">
        <f>SUM(I51:I175)</f>
        <v>242400</v>
      </c>
      <c r="J176" s="255">
        <f t="shared" si="4"/>
        <v>0</v>
      </c>
      <c r="K176" s="255">
        <f t="shared" si="4"/>
        <v>0</v>
      </c>
      <c r="L176" s="255">
        <f t="shared" si="4"/>
        <v>0</v>
      </c>
      <c r="M176" s="254">
        <f>SUM(M51:M175)</f>
        <v>29500</v>
      </c>
      <c r="N176" s="255">
        <f t="shared" si="4"/>
        <v>0</v>
      </c>
      <c r="O176" s="255">
        <f t="shared" si="4"/>
        <v>0</v>
      </c>
      <c r="P176" s="255">
        <f t="shared" si="4"/>
        <v>0</v>
      </c>
      <c r="Q176" s="255">
        <f>SUM(Q51:Q175)</f>
        <v>0</v>
      </c>
      <c r="R176" s="255">
        <f t="shared" si="4"/>
        <v>8450</v>
      </c>
      <c r="S176" s="255">
        <f>SUM(S51:S175)</f>
        <v>4980</v>
      </c>
      <c r="T176" s="255"/>
      <c r="U176" s="255">
        <f t="shared" si="4"/>
        <v>0</v>
      </c>
      <c r="V176" s="255">
        <f t="shared" si="4"/>
        <v>4715</v>
      </c>
      <c r="W176" s="314">
        <f>SUM(D176:V176)</f>
        <v>642805</v>
      </c>
    </row>
    <row r="177" spans="1:23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3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3" ht="25.5" customHeight="1">
      <c r="A178" s="9"/>
      <c r="B178" s="130" t="s">
        <v>111</v>
      </c>
      <c r="C178" s="216">
        <f>50000+25000+5000+25000+10000</f>
        <v>115000</v>
      </c>
      <c r="D178" s="131"/>
      <c r="E178" s="267">
        <v>15767.8</v>
      </c>
      <c r="F178" s="267">
        <v>14965</v>
      </c>
      <c r="G178" s="267"/>
      <c r="H178" s="267">
        <v>6440</v>
      </c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</row>
    <row r="179" spans="1:23" s="67" customFormat="1" ht="25.5" customHeight="1">
      <c r="A179" s="9"/>
      <c r="B179" s="130" t="s">
        <v>302</v>
      </c>
      <c r="C179" s="216">
        <v>10000</v>
      </c>
      <c r="D179" s="131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312"/>
    </row>
    <row r="180" spans="1:23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/>
      <c r="F180" s="267"/>
      <c r="G180" s="267"/>
      <c r="H180" s="267">
        <v>980</v>
      </c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312"/>
    </row>
    <row r="181" spans="1:23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/>
      <c r="F181" s="267"/>
      <c r="G181" s="267"/>
      <c r="H181" s="267">
        <v>1520</v>
      </c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312"/>
    </row>
    <row r="182" spans="1:23" ht="25.5" customHeight="1">
      <c r="A182" s="9"/>
      <c r="B182" s="130" t="s">
        <v>17</v>
      </c>
      <c r="C182" s="216">
        <f>15000+25000+20000</f>
        <v>60000</v>
      </c>
      <c r="D182" s="133"/>
      <c r="E182" s="267"/>
      <c r="F182" s="267"/>
      <c r="G182" s="267"/>
      <c r="H182" s="267">
        <v>4780</v>
      </c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</row>
    <row r="183" spans="1:23" ht="25.5" customHeight="1">
      <c r="A183" s="9"/>
      <c r="B183" s="130" t="s">
        <v>13</v>
      </c>
      <c r="C183" s="216">
        <v>15000</v>
      </c>
      <c r="D183" s="131"/>
      <c r="E183" s="267"/>
      <c r="F183" s="267"/>
      <c r="G183" s="267"/>
      <c r="H183" s="267"/>
      <c r="I183" s="267"/>
      <c r="J183" s="267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</row>
    <row r="184" spans="1:23" ht="25.5" customHeight="1">
      <c r="A184" s="9"/>
      <c r="B184" s="130" t="s">
        <v>14</v>
      </c>
      <c r="C184" s="216">
        <f>240000+5000+20000</f>
        <v>265000</v>
      </c>
      <c r="D184" s="133"/>
      <c r="E184" s="267">
        <v>20738</v>
      </c>
      <c r="F184" s="267">
        <v>61.4</v>
      </c>
      <c r="G184" s="267"/>
      <c r="H184" s="267"/>
      <c r="I184" s="267"/>
      <c r="J184" s="267"/>
      <c r="K184" s="267"/>
      <c r="L184" s="267"/>
      <c r="M184" s="267">
        <v>722.7</v>
      </c>
      <c r="N184" s="267"/>
      <c r="O184" s="267"/>
      <c r="P184" s="267"/>
      <c r="Q184" s="267"/>
      <c r="R184" s="267"/>
      <c r="S184" s="267"/>
      <c r="T184" s="267"/>
      <c r="U184" s="267"/>
      <c r="V184" s="267"/>
    </row>
    <row r="185" spans="1:23" ht="25.5" customHeight="1">
      <c r="A185" s="9"/>
      <c r="B185" s="130" t="s">
        <v>112</v>
      </c>
      <c r="C185" s="216">
        <f>5000+5000+5000</f>
        <v>15000</v>
      </c>
      <c r="D185" s="133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</row>
    <row r="186" spans="1:23" ht="25.5" customHeight="1">
      <c r="A186" s="9"/>
      <c r="B186" s="130" t="s">
        <v>208</v>
      </c>
      <c r="C186" s="216">
        <v>5000</v>
      </c>
      <c r="D186" s="133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</row>
    <row r="187" spans="1:23" ht="25.5" customHeight="1">
      <c r="A187" s="9"/>
      <c r="B187" s="130" t="s">
        <v>15</v>
      </c>
      <c r="C187" s="216">
        <f>40000+15000+15000+40000</f>
        <v>110000</v>
      </c>
      <c r="D187" s="195"/>
      <c r="E187" s="267"/>
      <c r="F187" s="267">
        <v>4380</v>
      </c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</row>
    <row r="188" spans="1:23" ht="25.5" customHeight="1">
      <c r="A188" s="9"/>
      <c r="B188" s="130" t="s">
        <v>303</v>
      </c>
      <c r="C188" s="216">
        <v>10000</v>
      </c>
      <c r="D188" s="195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</row>
    <row r="189" spans="1:23" ht="25.5" customHeight="1">
      <c r="A189" s="9"/>
      <c r="B189" s="130" t="s">
        <v>304</v>
      </c>
      <c r="C189" s="216">
        <f>5000+20000</f>
        <v>25000</v>
      </c>
      <c r="D189" s="195"/>
      <c r="E189" s="267"/>
      <c r="F189" s="267"/>
      <c r="G189" s="267"/>
      <c r="H189" s="267">
        <v>720</v>
      </c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</row>
    <row r="190" spans="1:23" ht="25.5" customHeight="1">
      <c r="A190" s="9"/>
      <c r="B190" s="130" t="s">
        <v>332</v>
      </c>
      <c r="C190" s="216">
        <v>10000</v>
      </c>
      <c r="D190" s="195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</row>
    <row r="191" spans="1:23" ht="25.5" customHeight="1">
      <c r="A191" s="9"/>
      <c r="B191" s="130" t="s">
        <v>46</v>
      </c>
      <c r="C191" s="216">
        <v>80000</v>
      </c>
      <c r="D191" s="195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</row>
    <row r="192" spans="1:23" ht="25.5" customHeight="1">
      <c r="A192" s="9"/>
      <c r="B192" s="130" t="s">
        <v>316</v>
      </c>
      <c r="C192" s="216">
        <f>413900+525039+277849</f>
        <v>1216788</v>
      </c>
      <c r="D192" s="131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</row>
    <row r="193" spans="1:23" ht="25.5" customHeight="1">
      <c r="A193" s="9"/>
      <c r="B193" s="130" t="s">
        <v>317</v>
      </c>
      <c r="C193" s="290"/>
      <c r="D193" s="133"/>
      <c r="E193" s="267"/>
      <c r="F193" s="267"/>
      <c r="G193" s="267"/>
      <c r="H193" s="267"/>
      <c r="I193" s="267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</row>
    <row r="194" spans="1:23" ht="25.5" customHeight="1">
      <c r="A194" s="9"/>
      <c r="B194" s="130" t="s">
        <v>318</v>
      </c>
      <c r="C194" s="216"/>
      <c r="D194" s="133"/>
      <c r="E194" s="267"/>
      <c r="F194" s="267"/>
      <c r="G194" s="267"/>
      <c r="H194" s="267"/>
      <c r="I194" s="324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</row>
    <row r="195" spans="1:23" ht="25.5" customHeight="1">
      <c r="A195" s="9"/>
      <c r="B195" s="185" t="s">
        <v>319</v>
      </c>
      <c r="C195" s="216">
        <v>153296</v>
      </c>
      <c r="D195" s="133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</row>
    <row r="196" spans="1:23" ht="25.5" customHeight="1">
      <c r="A196" s="9"/>
      <c r="B196" s="185" t="s">
        <v>320</v>
      </c>
      <c r="C196" s="216">
        <v>78565</v>
      </c>
      <c r="D196" s="133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</row>
    <row r="197" spans="1:23" ht="25.5" customHeight="1">
      <c r="A197" s="9"/>
      <c r="B197" s="185" t="s">
        <v>321</v>
      </c>
      <c r="C197" s="216">
        <v>90062</v>
      </c>
      <c r="D197" s="133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</row>
    <row r="198" spans="1:23" ht="25.5" customHeight="1">
      <c r="A198" s="165"/>
      <c r="B198" s="185" t="s">
        <v>322</v>
      </c>
      <c r="C198" s="216">
        <v>67067</v>
      </c>
      <c r="D198" s="133"/>
      <c r="E198" s="267"/>
      <c r="F198" s="267"/>
      <c r="G198" s="267"/>
      <c r="H198" s="267"/>
      <c r="I198" s="267"/>
      <c r="J198" s="267"/>
      <c r="K198" s="267"/>
      <c r="L198" s="267"/>
      <c r="M198" s="267"/>
      <c r="N198" s="267"/>
      <c r="O198" s="267"/>
      <c r="P198" s="267"/>
      <c r="Q198" s="267"/>
      <c r="R198" s="267"/>
      <c r="S198" s="267"/>
      <c r="T198" s="267"/>
      <c r="U198" s="267"/>
      <c r="V198" s="267"/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85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9"/>
      <c r="B202" s="130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>
      <c r="A203" s="197"/>
      <c r="B203" s="198"/>
      <c r="C203" s="216"/>
      <c r="D203" s="133"/>
      <c r="E203" s="269"/>
      <c r="F203" s="136"/>
      <c r="G203" s="136"/>
      <c r="H203" s="136"/>
      <c r="I203" s="133"/>
      <c r="J203" s="133"/>
      <c r="K203" s="133"/>
      <c r="L203" s="133"/>
      <c r="M203" s="136"/>
      <c r="N203" s="133"/>
      <c r="O203" s="133"/>
      <c r="P203" s="133"/>
      <c r="Q203" s="133"/>
      <c r="R203" s="217"/>
      <c r="S203" s="219"/>
      <c r="T203" s="219"/>
      <c r="U203" s="217"/>
      <c r="V203" s="217"/>
    </row>
    <row r="204" spans="1:23" ht="25.5" customHeight="1" thickBot="1">
      <c r="A204" s="46"/>
      <c r="B204" s="47" t="s">
        <v>5</v>
      </c>
      <c r="C204" s="170">
        <f>SUM(C178:C203)</f>
        <v>2563778</v>
      </c>
      <c r="D204" s="255">
        <f>SUM(D178:D203)</f>
        <v>0</v>
      </c>
      <c r="E204" s="254">
        <f>SUM(E178:E203)</f>
        <v>36505.800000000003</v>
      </c>
      <c r="F204" s="254">
        <f>SUM(F178:F203)</f>
        <v>19406.400000000001</v>
      </c>
      <c r="G204" s="254">
        <f t="shared" ref="G204:V204" si="5">SUM(G178:G203)</f>
        <v>0</v>
      </c>
      <c r="H204" s="254">
        <f>SUM(H178:H203)</f>
        <v>14440</v>
      </c>
      <c r="I204" s="255">
        <f t="shared" si="5"/>
        <v>0</v>
      </c>
      <c r="J204" s="255">
        <f t="shared" si="5"/>
        <v>0</v>
      </c>
      <c r="K204" s="255">
        <f t="shared" si="5"/>
        <v>0</v>
      </c>
      <c r="L204" s="255">
        <f t="shared" si="5"/>
        <v>0</v>
      </c>
      <c r="M204" s="254">
        <f>SUM(M178:M203)</f>
        <v>722.7</v>
      </c>
      <c r="N204" s="255">
        <f t="shared" si="5"/>
        <v>0</v>
      </c>
      <c r="O204" s="255">
        <f t="shared" si="5"/>
        <v>0</v>
      </c>
      <c r="P204" s="255">
        <f t="shared" si="5"/>
        <v>0</v>
      </c>
      <c r="Q204" s="255">
        <f t="shared" si="5"/>
        <v>0</v>
      </c>
      <c r="R204" s="255">
        <f t="shared" si="5"/>
        <v>0</v>
      </c>
      <c r="S204" s="255">
        <f t="shared" si="5"/>
        <v>0</v>
      </c>
      <c r="T204" s="255"/>
      <c r="U204" s="255">
        <f t="shared" si="5"/>
        <v>0</v>
      </c>
      <c r="V204" s="255">
        <f t="shared" si="5"/>
        <v>0</v>
      </c>
      <c r="W204" s="314">
        <f>SUM(D204:V204)</f>
        <v>71074.900000000009</v>
      </c>
    </row>
    <row r="205" spans="1:23" ht="25.5" customHeight="1" thickTop="1">
      <c r="A205" s="5" t="s">
        <v>114</v>
      </c>
      <c r="B205" s="6"/>
      <c r="C205" s="190"/>
      <c r="D205" s="133"/>
      <c r="E205" s="269"/>
      <c r="F205" s="136"/>
      <c r="G205" s="136"/>
      <c r="H205" s="136"/>
      <c r="I205" s="133"/>
      <c r="J205" s="133"/>
      <c r="K205" s="133"/>
      <c r="L205" s="133"/>
      <c r="M205" s="136"/>
      <c r="N205" s="133"/>
      <c r="O205" s="133"/>
      <c r="P205" s="133"/>
      <c r="Q205" s="133"/>
      <c r="R205" s="258"/>
      <c r="S205" s="259"/>
      <c r="T205" s="259"/>
      <c r="U205" s="258"/>
      <c r="V205" s="258"/>
    </row>
    <row r="206" spans="1:23" ht="25.5" customHeight="1">
      <c r="A206" s="9"/>
      <c r="B206" s="130" t="s">
        <v>20</v>
      </c>
      <c r="C206" s="216">
        <f>240000+35000</f>
        <v>275000</v>
      </c>
      <c r="D206" s="261"/>
      <c r="E206" s="269">
        <v>17231.849999999999</v>
      </c>
      <c r="F206" s="269"/>
      <c r="G206" s="269"/>
      <c r="H206" s="269">
        <v>3206.84</v>
      </c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</row>
    <row r="207" spans="1:23" ht="25.5" customHeight="1">
      <c r="A207" s="9"/>
      <c r="B207" s="130" t="s">
        <v>283</v>
      </c>
      <c r="C207" s="216">
        <f>100000+12000</f>
        <v>112000</v>
      </c>
      <c r="D207" s="261"/>
      <c r="E207" s="269">
        <v>7327.87</v>
      </c>
      <c r="F207" s="269"/>
      <c r="G207" s="269"/>
      <c r="H207" s="269">
        <v>1000</v>
      </c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</row>
    <row r="208" spans="1:23" ht="25.5" customHeight="1">
      <c r="A208" s="9"/>
      <c r="B208" s="130" t="s">
        <v>284</v>
      </c>
      <c r="C208" s="216">
        <v>15000</v>
      </c>
      <c r="D208" s="131"/>
      <c r="E208" s="269">
        <v>1181</v>
      </c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</row>
    <row r="209" spans="1:23" ht="25.5" customHeight="1">
      <c r="A209" s="9"/>
      <c r="B209" s="130" t="s">
        <v>285</v>
      </c>
      <c r="C209" s="216">
        <f>72000+32000</f>
        <v>104000</v>
      </c>
      <c r="D209" s="131"/>
      <c r="E209" s="269">
        <v>5911.75</v>
      </c>
      <c r="F209" s="269"/>
      <c r="G209" s="269"/>
      <c r="H209" s="269">
        <v>2632.2</v>
      </c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</row>
    <row r="210" spans="1:23" ht="25.5" customHeight="1" thickBot="1">
      <c r="A210" s="15"/>
      <c r="B210" s="14" t="s">
        <v>5</v>
      </c>
      <c r="C210" s="170">
        <f>SUM(C206:C209)</f>
        <v>506000</v>
      </c>
      <c r="D210" s="132"/>
      <c r="E210" s="268">
        <f>SUM(E206:E209)</f>
        <v>31652.469999999998</v>
      </c>
      <c r="F210" s="137"/>
      <c r="G210" s="137"/>
      <c r="H210" s="137">
        <f>SUM(H206:H209)</f>
        <v>6839.04</v>
      </c>
      <c r="I210" s="132"/>
      <c r="J210" s="132"/>
      <c r="K210" s="132"/>
      <c r="L210" s="132"/>
      <c r="M210" s="137"/>
      <c r="N210" s="132"/>
      <c r="O210" s="132"/>
      <c r="P210" s="132"/>
      <c r="Q210" s="132"/>
      <c r="R210" s="307"/>
      <c r="S210" s="308"/>
      <c r="T210" s="308"/>
      <c r="U210" s="307"/>
      <c r="V210" s="307"/>
      <c r="W210" s="318">
        <f>SUM(D210:V210)</f>
        <v>38491.509999999995</v>
      </c>
    </row>
    <row r="211" spans="1:23" ht="25.5" customHeight="1" thickTop="1">
      <c r="A211" s="3" t="s">
        <v>122</v>
      </c>
      <c r="B211" s="4"/>
      <c r="C211" s="287"/>
      <c r="D211" s="133"/>
      <c r="E211" s="305"/>
      <c r="F211" s="306"/>
      <c r="G211" s="306"/>
      <c r="H211" s="306"/>
      <c r="I211" s="133"/>
      <c r="J211" s="133"/>
      <c r="K211" s="133"/>
      <c r="L211" s="133"/>
      <c r="M211" s="136"/>
      <c r="N211" s="133"/>
      <c r="O211" s="133"/>
      <c r="P211" s="133"/>
      <c r="Q211" s="133"/>
      <c r="R211" s="258"/>
      <c r="S211" s="259"/>
      <c r="T211" s="259"/>
      <c r="U211" s="258"/>
      <c r="V211" s="258"/>
    </row>
    <row r="212" spans="1:23" ht="25.5" customHeight="1">
      <c r="A212" s="169"/>
      <c r="B212" s="185" t="s">
        <v>323</v>
      </c>
      <c r="C212" s="190">
        <v>864000</v>
      </c>
      <c r="D212" s="131"/>
      <c r="E212" s="267"/>
      <c r="F212" s="267"/>
      <c r="G212" s="267"/>
      <c r="H212" s="267"/>
      <c r="I212" s="267">
        <v>236000</v>
      </c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</row>
    <row r="213" spans="1:23" ht="25.5" customHeight="1">
      <c r="A213" s="169"/>
      <c r="B213" s="185" t="s">
        <v>324</v>
      </c>
      <c r="C213" s="190">
        <v>1096000</v>
      </c>
      <c r="D213" s="131"/>
      <c r="E213" s="267"/>
      <c r="F213" s="267"/>
      <c r="G213" s="267"/>
      <c r="H213" s="267"/>
      <c r="I213" s="267">
        <v>282000</v>
      </c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</row>
    <row r="214" spans="1:23" ht="25.5" customHeight="1">
      <c r="A214" s="169"/>
      <c r="B214" s="185" t="s">
        <v>325</v>
      </c>
      <c r="C214" s="190">
        <v>580000</v>
      </c>
      <c r="D214" s="133"/>
      <c r="E214" s="267"/>
      <c r="F214" s="267"/>
      <c r="G214" s="267"/>
      <c r="H214" s="267"/>
      <c r="I214" s="267">
        <v>140000</v>
      </c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</row>
    <row r="215" spans="1:23" ht="25.5" customHeight="1">
      <c r="A215" s="169"/>
      <c r="B215" s="185" t="s">
        <v>351</v>
      </c>
      <c r="C215" s="190">
        <v>223000</v>
      </c>
      <c r="D215" s="133"/>
      <c r="E215" s="267"/>
      <c r="F215" s="267"/>
      <c r="G215" s="267"/>
      <c r="H215" s="267"/>
      <c r="I215" s="267"/>
      <c r="J215" s="267"/>
      <c r="K215" s="267"/>
      <c r="L215" s="267"/>
      <c r="M215" s="267"/>
      <c r="N215" s="267"/>
      <c r="O215" s="267"/>
      <c r="P215" s="267"/>
      <c r="Q215" s="267"/>
      <c r="R215" s="267"/>
      <c r="S215" s="267"/>
      <c r="T215" s="267"/>
      <c r="U215" s="267"/>
      <c r="V215" s="267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3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</row>
    <row r="220" spans="1:23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1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</row>
    <row r="221" spans="1:23" ht="25.5" customHeight="1" thickBot="1">
      <c r="A221" s="15"/>
      <c r="B221" s="14" t="s">
        <v>5</v>
      </c>
      <c r="C221" s="170">
        <f>SUM(C212:C220)</f>
        <v>2763000</v>
      </c>
      <c r="D221" s="255">
        <f>SUM(D212:D220)</f>
        <v>0</v>
      </c>
      <c r="E221" s="254">
        <f t="shared" ref="E221:V221" si="6">SUM(E212:E220)</f>
        <v>0</v>
      </c>
      <c r="F221" s="254">
        <f t="shared" si="6"/>
        <v>0</v>
      </c>
      <c r="G221" s="254">
        <f t="shared" si="6"/>
        <v>0</v>
      </c>
      <c r="H221" s="254">
        <f t="shared" si="6"/>
        <v>0</v>
      </c>
      <c r="I221" s="255">
        <f>SUM(I212:I220)</f>
        <v>658000</v>
      </c>
      <c r="J221" s="255">
        <f t="shared" si="6"/>
        <v>0</v>
      </c>
      <c r="K221" s="255">
        <f t="shared" si="6"/>
        <v>0</v>
      </c>
      <c r="L221" s="255">
        <f t="shared" si="6"/>
        <v>0</v>
      </c>
      <c r="M221" s="254">
        <f t="shared" si="6"/>
        <v>0</v>
      </c>
      <c r="N221" s="255">
        <f t="shared" si="6"/>
        <v>0</v>
      </c>
      <c r="O221" s="255">
        <f t="shared" si="6"/>
        <v>0</v>
      </c>
      <c r="P221" s="255">
        <f t="shared" si="6"/>
        <v>0</v>
      </c>
      <c r="Q221" s="255">
        <f t="shared" si="6"/>
        <v>0</v>
      </c>
      <c r="R221" s="255">
        <f t="shared" si="6"/>
        <v>0</v>
      </c>
      <c r="S221" s="255">
        <f t="shared" si="6"/>
        <v>0</v>
      </c>
      <c r="T221" s="255"/>
      <c r="U221" s="255">
        <f t="shared" si="6"/>
        <v>0</v>
      </c>
      <c r="V221" s="255">
        <f t="shared" si="6"/>
        <v>0</v>
      </c>
      <c r="W221" s="314">
        <f>SUM(D221:V221)</f>
        <v>658000</v>
      </c>
    </row>
    <row r="222" spans="1:23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3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</row>
    <row r="223" spans="1:23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1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</row>
    <row r="224" spans="1:23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5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</row>
    <row r="225" spans="1:22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3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</row>
    <row r="226" spans="1:22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1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2" ht="25.5" customHeight="1">
      <c r="A227" s="20"/>
      <c r="B227" s="186" t="s">
        <v>286</v>
      </c>
      <c r="C227" s="294">
        <v>10000</v>
      </c>
      <c r="D227" s="131"/>
      <c r="E227" s="267">
        <f>+'ต.ค. '!E227+พ.ย.!E227+ธ.ค.!E227</f>
        <v>0</v>
      </c>
      <c r="F227" s="267">
        <f>+'ต.ค. '!F227+พ.ย.!F227+ธ.ค.!F227</f>
        <v>0</v>
      </c>
      <c r="G227" s="267">
        <f>+'ต.ค. '!G227+พ.ย.!G227+ธ.ค.!G227</f>
        <v>0</v>
      </c>
      <c r="H227" s="267">
        <f>+'ต.ค. '!H227+พ.ย.!H227+ธ.ค.!H227</f>
        <v>0</v>
      </c>
      <c r="I227" s="267">
        <f>+'ต.ค. '!I227+พ.ย.!I227+ธ.ค.!I227</f>
        <v>0</v>
      </c>
      <c r="J227" s="267">
        <f>+'ต.ค. '!J227+พ.ย.!J227+ธ.ค.!J227</f>
        <v>0</v>
      </c>
      <c r="K227" s="267">
        <f>+'ต.ค. '!K227+พ.ย.!K227+ธ.ค.!K227</f>
        <v>0</v>
      </c>
      <c r="L227" s="267">
        <f>+'ต.ค. '!L227+พ.ย.!L227+ธ.ค.!L227</f>
        <v>0</v>
      </c>
      <c r="M227" s="267">
        <f>+'ต.ค. '!M227+พ.ย.!M227+ธ.ค.!M227</f>
        <v>0</v>
      </c>
      <c r="N227" s="267">
        <f>+'ต.ค. '!N227+พ.ย.!N227+ธ.ค.!N227</f>
        <v>0</v>
      </c>
      <c r="O227" s="267">
        <f>+'ต.ค. '!O227+พ.ย.!O227+ธ.ค.!O227</f>
        <v>0</v>
      </c>
      <c r="P227" s="267">
        <f>+'ต.ค. '!P227+พ.ย.!P227+ธ.ค.!P227</f>
        <v>0</v>
      </c>
      <c r="Q227" s="267">
        <f>+'ต.ค. '!Q227+พ.ย.!Q227+ธ.ค.!Q227</f>
        <v>0</v>
      </c>
      <c r="R227" s="267">
        <f>+'ต.ค. '!R227+พ.ย.!R227+ธ.ค.!R227</f>
        <v>0</v>
      </c>
      <c r="S227" s="267">
        <f>+'ต.ค. '!S227+พ.ย.!S227+ธ.ค.!S227</f>
        <v>0</v>
      </c>
      <c r="T227" s="267"/>
      <c r="U227" s="267">
        <f>+'ต.ค. '!U227+พ.ย.!U227+ธ.ค.!U227</f>
        <v>0</v>
      </c>
      <c r="V227" s="267">
        <f>+'ต.ค. '!V227+พ.ย.!V227+ธ.ค.!V227</f>
        <v>0</v>
      </c>
    </row>
    <row r="228" spans="1:22" ht="25.5" customHeight="1">
      <c r="A228" s="20"/>
      <c r="B228" s="186" t="s">
        <v>287</v>
      </c>
      <c r="C228" s="294">
        <v>4500</v>
      </c>
      <c r="D228" s="131"/>
      <c r="E228" s="267">
        <f>+'ต.ค. '!E228+พ.ย.!E228+ธ.ค.!E228</f>
        <v>0</v>
      </c>
      <c r="F228" s="267">
        <f>+'ต.ค. '!F228+พ.ย.!F228+ธ.ค.!F228</f>
        <v>0</v>
      </c>
      <c r="G228" s="267">
        <f>+'ต.ค. '!G228+พ.ย.!G228+ธ.ค.!G228</f>
        <v>0</v>
      </c>
      <c r="H228" s="267">
        <f>+'ต.ค. '!H228+พ.ย.!H228+ธ.ค.!H228</f>
        <v>0</v>
      </c>
      <c r="I228" s="267">
        <f>+'ต.ค. '!I228+พ.ย.!I228+ธ.ค.!I228</f>
        <v>0</v>
      </c>
      <c r="J228" s="267">
        <f>+'ต.ค. '!J228+พ.ย.!J228+ธ.ค.!J228</f>
        <v>0</v>
      </c>
      <c r="K228" s="267">
        <f>+'ต.ค. '!K228+พ.ย.!K228+ธ.ค.!K228</f>
        <v>0</v>
      </c>
      <c r="L228" s="267">
        <f>+'ต.ค. '!L228+พ.ย.!L228+ธ.ค.!L228</f>
        <v>0</v>
      </c>
      <c r="M228" s="267">
        <f>+'ต.ค. '!M228+พ.ย.!M228+ธ.ค.!M228</f>
        <v>0</v>
      </c>
      <c r="N228" s="267">
        <f>+'ต.ค. '!N228+พ.ย.!N228+ธ.ค.!N228</f>
        <v>0</v>
      </c>
      <c r="O228" s="267">
        <f>+'ต.ค. '!O228+พ.ย.!O228+ธ.ค.!O228</f>
        <v>0</v>
      </c>
      <c r="P228" s="267">
        <f>+'ต.ค. '!P228+พ.ย.!P228+ธ.ค.!P228</f>
        <v>0</v>
      </c>
      <c r="Q228" s="267">
        <f>+'ต.ค. '!Q228+พ.ย.!Q228+ธ.ค.!Q228</f>
        <v>0</v>
      </c>
      <c r="R228" s="267">
        <f>+'ต.ค. '!R228+พ.ย.!R228+ธ.ค.!R228</f>
        <v>0</v>
      </c>
      <c r="S228" s="267">
        <f>+'ต.ค. '!S228+พ.ย.!S228+ธ.ค.!S228</f>
        <v>0</v>
      </c>
      <c r="T228" s="267"/>
      <c r="U228" s="267">
        <f>+'ต.ค. '!U228+พ.ย.!U228+ธ.ค.!U228</f>
        <v>0</v>
      </c>
      <c r="V228" s="267">
        <f>+'ต.ค. '!V228+พ.ย.!V228+ธ.ค.!V228</f>
        <v>0</v>
      </c>
    </row>
    <row r="229" spans="1:22" ht="25.5" customHeight="1">
      <c r="A229" s="20"/>
      <c r="B229" s="186" t="s">
        <v>288</v>
      </c>
      <c r="C229" s="294">
        <v>3000</v>
      </c>
      <c r="D229" s="131"/>
      <c r="E229" s="267">
        <f>+'ต.ค. '!E229+พ.ย.!E229+ธ.ค.!E229</f>
        <v>0</v>
      </c>
      <c r="F229" s="267">
        <f>+'ต.ค. '!F229+พ.ย.!F229+ธ.ค.!F229</f>
        <v>0</v>
      </c>
      <c r="G229" s="267">
        <f>+'ต.ค. '!G229+พ.ย.!G229+ธ.ค.!G229</f>
        <v>0</v>
      </c>
      <c r="H229" s="267">
        <f>+'ต.ค. '!H229+พ.ย.!H229+ธ.ค.!H229</f>
        <v>0</v>
      </c>
      <c r="I229" s="267">
        <f>+'ต.ค. '!I229+พ.ย.!I229+ธ.ค.!I229</f>
        <v>0</v>
      </c>
      <c r="J229" s="267">
        <f>+'ต.ค. '!J229+พ.ย.!J229+ธ.ค.!J229</f>
        <v>0</v>
      </c>
      <c r="K229" s="267">
        <f>+'ต.ค. '!K229+พ.ย.!K229+ธ.ค.!K229</f>
        <v>0</v>
      </c>
      <c r="L229" s="267">
        <f>+'ต.ค. '!L229+พ.ย.!L229+ธ.ค.!L229</f>
        <v>0</v>
      </c>
      <c r="M229" s="267">
        <f>+'ต.ค. '!M229+พ.ย.!M229+ธ.ค.!M229</f>
        <v>0</v>
      </c>
      <c r="N229" s="267">
        <f>+'ต.ค. '!N229+พ.ย.!N229+ธ.ค.!N229</f>
        <v>0</v>
      </c>
      <c r="O229" s="267">
        <f>+'ต.ค. '!O229+พ.ย.!O229+ธ.ค.!O229</f>
        <v>0</v>
      </c>
      <c r="P229" s="267">
        <f>+'ต.ค. '!P229+พ.ย.!P229+ธ.ค.!P229</f>
        <v>0</v>
      </c>
      <c r="Q229" s="267">
        <f>+'ต.ค. '!Q229+พ.ย.!Q229+ธ.ค.!Q229</f>
        <v>0</v>
      </c>
      <c r="R229" s="267">
        <f>+'ต.ค. '!R229+พ.ย.!R229+ธ.ค.!R229</f>
        <v>0</v>
      </c>
      <c r="S229" s="267">
        <f>+'ต.ค. '!S229+พ.ย.!S229+ธ.ค.!S229</f>
        <v>0</v>
      </c>
      <c r="T229" s="267"/>
      <c r="U229" s="267">
        <f>+'ต.ค. '!U229+พ.ย.!U229+ธ.ค.!U229</f>
        <v>0</v>
      </c>
      <c r="V229" s="267">
        <f>+'ต.ค. '!V229+พ.ย.!V229+ธ.ค.!V229</f>
        <v>0</v>
      </c>
    </row>
    <row r="230" spans="1:22" ht="25.5" customHeight="1">
      <c r="A230" s="20"/>
      <c r="B230" s="186" t="s">
        <v>289</v>
      </c>
      <c r="C230" s="294">
        <v>20000</v>
      </c>
      <c r="D230" s="131"/>
      <c r="E230" s="267">
        <f>+'ต.ค. '!E230+พ.ย.!E230+ธ.ค.!E230</f>
        <v>0</v>
      </c>
      <c r="F230" s="267">
        <f>+'ต.ค. '!F230+พ.ย.!F230+ธ.ค.!F230</f>
        <v>0</v>
      </c>
      <c r="G230" s="267">
        <f>+'ต.ค. '!G230+พ.ย.!G230+ธ.ค.!G230</f>
        <v>0</v>
      </c>
      <c r="H230" s="267">
        <f>+'ต.ค. '!H230+พ.ย.!H230+ธ.ค.!H230</f>
        <v>0</v>
      </c>
      <c r="I230" s="267">
        <f>+'ต.ค. '!I230+พ.ย.!I230+ธ.ค.!I230</f>
        <v>0</v>
      </c>
      <c r="J230" s="267">
        <f>+'ต.ค. '!J230+พ.ย.!J230+ธ.ค.!J230</f>
        <v>0</v>
      </c>
      <c r="K230" s="267">
        <f>+'ต.ค. '!K230+พ.ย.!K230+ธ.ค.!K230</f>
        <v>0</v>
      </c>
      <c r="L230" s="267">
        <f>+'ต.ค. '!L230+พ.ย.!L230+ธ.ค.!L230</f>
        <v>0</v>
      </c>
      <c r="M230" s="267">
        <f>+'ต.ค. '!M230+พ.ย.!M230+ธ.ค.!M230</f>
        <v>0</v>
      </c>
      <c r="N230" s="267">
        <f>+'ต.ค. '!N230+พ.ย.!N230+ธ.ค.!N230</f>
        <v>0</v>
      </c>
      <c r="O230" s="267">
        <f>+'ต.ค. '!O230+พ.ย.!O230+ธ.ค.!O230</f>
        <v>0</v>
      </c>
      <c r="P230" s="267">
        <f>+'ต.ค. '!P230+พ.ย.!P230+ธ.ค.!P230</f>
        <v>0</v>
      </c>
      <c r="Q230" s="267">
        <f>+'ต.ค. '!Q230+พ.ย.!Q230+ธ.ค.!Q230</f>
        <v>0</v>
      </c>
      <c r="R230" s="267">
        <f>+'ต.ค. '!R230+พ.ย.!R230+ธ.ค.!R230</f>
        <v>0</v>
      </c>
      <c r="S230" s="267">
        <f>+'ต.ค. '!S230+พ.ย.!S230+ธ.ค.!S230</f>
        <v>0</v>
      </c>
      <c r="T230" s="267"/>
      <c r="U230" s="267">
        <f>+'ต.ค. '!U230+พ.ย.!U230+ธ.ค.!U230</f>
        <v>0</v>
      </c>
      <c r="V230" s="267">
        <f>+'ต.ค. '!V230+พ.ย.!V230+ธ.ค.!V230</f>
        <v>0</v>
      </c>
    </row>
    <row r="231" spans="1:22" ht="25.5" customHeight="1">
      <c r="A231" s="20"/>
      <c r="B231" s="186" t="s">
        <v>290</v>
      </c>
      <c r="C231" s="295">
        <f>5500+5500</f>
        <v>11000</v>
      </c>
      <c r="D231" s="131"/>
      <c r="E231" s="267">
        <f>+'ต.ค. '!E231+พ.ย.!E231+ธ.ค.!E231</f>
        <v>0</v>
      </c>
      <c r="F231" s="267">
        <f>+'ต.ค. '!F231+พ.ย.!F231+ธ.ค.!F231</f>
        <v>0</v>
      </c>
      <c r="G231" s="267">
        <f>+'ต.ค. '!G231+พ.ย.!G231+ธ.ค.!G231</f>
        <v>0</v>
      </c>
      <c r="H231" s="267">
        <f>+'ต.ค. '!H231+พ.ย.!H231+ธ.ค.!H231</f>
        <v>0</v>
      </c>
      <c r="I231" s="267">
        <f>+'ต.ค. '!I231+พ.ย.!I231+ธ.ค.!I231</f>
        <v>0</v>
      </c>
      <c r="J231" s="267">
        <f>+'ต.ค. '!J231+พ.ย.!J231+ธ.ค.!J231</f>
        <v>0</v>
      </c>
      <c r="K231" s="267">
        <f>+'ต.ค. '!K231+พ.ย.!K231+ธ.ค.!K231</f>
        <v>0</v>
      </c>
      <c r="L231" s="267">
        <f>+'ต.ค. '!L231+พ.ย.!L231+ธ.ค.!L231</f>
        <v>0</v>
      </c>
      <c r="M231" s="267">
        <f>+'ต.ค. '!M231+พ.ย.!M231+ธ.ค.!M231</f>
        <v>0</v>
      </c>
      <c r="N231" s="267">
        <f>+'ต.ค. '!N231+พ.ย.!N231+ธ.ค.!N231</f>
        <v>0</v>
      </c>
      <c r="O231" s="267">
        <f>+'ต.ค. '!O231+พ.ย.!O231+ธ.ค.!O231</f>
        <v>0</v>
      </c>
      <c r="P231" s="267">
        <f>+'ต.ค. '!P231+พ.ย.!P231+ธ.ค.!P231</f>
        <v>0</v>
      </c>
      <c r="Q231" s="267">
        <f>+'ต.ค. '!Q231+พ.ย.!Q231+ธ.ค.!Q231</f>
        <v>0</v>
      </c>
      <c r="R231" s="267">
        <f>+'ต.ค. '!R231+พ.ย.!R231+ธ.ค.!R231</f>
        <v>0</v>
      </c>
      <c r="S231" s="267">
        <f>+'ต.ค. '!S231+พ.ย.!S231+ธ.ค.!S231</f>
        <v>0</v>
      </c>
      <c r="T231" s="267"/>
      <c r="U231" s="267">
        <f>+'ต.ค. '!U231+พ.ย.!U231+ธ.ค.!U231</f>
        <v>0</v>
      </c>
      <c r="V231" s="267">
        <f>+'ต.ค. '!V231+พ.ย.!V231+ธ.ค.!V231</f>
        <v>0</v>
      </c>
    </row>
    <row r="232" spans="1:22" ht="25.5" customHeight="1">
      <c r="A232" s="20"/>
      <c r="B232" s="186" t="s">
        <v>305</v>
      </c>
      <c r="C232" s="295">
        <v>16000</v>
      </c>
      <c r="D232" s="131"/>
      <c r="E232" s="267">
        <f>+'ต.ค. '!E232+พ.ย.!E232+ธ.ค.!E232</f>
        <v>0</v>
      </c>
      <c r="F232" s="267">
        <f>+'ต.ค. '!F232+พ.ย.!F232+ธ.ค.!F232</f>
        <v>0</v>
      </c>
      <c r="G232" s="267">
        <f>+'ต.ค. '!G232+พ.ย.!G232+ธ.ค.!G232</f>
        <v>0</v>
      </c>
      <c r="H232" s="267">
        <f>+'ต.ค. '!H232+พ.ย.!H232+ธ.ค.!H232</f>
        <v>0</v>
      </c>
      <c r="I232" s="267">
        <f>+'ต.ค. '!I232+พ.ย.!I232+ธ.ค.!I232</f>
        <v>0</v>
      </c>
      <c r="J232" s="267">
        <f>+'ต.ค. '!J232+พ.ย.!J232+ธ.ค.!J232</f>
        <v>0</v>
      </c>
      <c r="K232" s="267">
        <f>+'ต.ค. '!K232+พ.ย.!K232+ธ.ค.!K232</f>
        <v>0</v>
      </c>
      <c r="L232" s="267">
        <f>+'ต.ค. '!L232+พ.ย.!L232+ธ.ค.!L232</f>
        <v>0</v>
      </c>
      <c r="M232" s="267">
        <f>+'ต.ค. '!M232+พ.ย.!M232+ธ.ค.!M232</f>
        <v>0</v>
      </c>
      <c r="N232" s="267">
        <f>+'ต.ค. '!N232+พ.ย.!N232+ธ.ค.!N232</f>
        <v>0</v>
      </c>
      <c r="O232" s="267">
        <f>+'ต.ค. '!O232+พ.ย.!O232+ธ.ค.!O232</f>
        <v>0</v>
      </c>
      <c r="P232" s="267">
        <f>+'ต.ค. '!P232+พ.ย.!P232+ธ.ค.!P232</f>
        <v>0</v>
      </c>
      <c r="Q232" s="267">
        <f>+'ต.ค. '!Q232+พ.ย.!Q232+ธ.ค.!Q232</f>
        <v>0</v>
      </c>
      <c r="R232" s="267">
        <f>+'ต.ค. '!R232+พ.ย.!R232+ธ.ค.!R232</f>
        <v>0</v>
      </c>
      <c r="S232" s="267">
        <f>+'ต.ค. '!S232+พ.ย.!S232+ธ.ค.!S232</f>
        <v>0</v>
      </c>
      <c r="T232" s="267"/>
      <c r="U232" s="267">
        <f>+'ต.ค. '!U232+พ.ย.!U232+ธ.ค.!U232</f>
        <v>0</v>
      </c>
      <c r="V232" s="267">
        <f>+'ต.ค. '!V232+พ.ย.!V232+ธ.ค.!V232</f>
        <v>0</v>
      </c>
    </row>
    <row r="233" spans="1:22" ht="25.5" customHeight="1">
      <c r="A233" s="20"/>
      <c r="B233" s="186" t="s">
        <v>334</v>
      </c>
      <c r="C233" s="295">
        <v>4500</v>
      </c>
      <c r="D233" s="131"/>
      <c r="E233" s="267">
        <f>+'ต.ค. '!E233+พ.ย.!E233+ธ.ค.!E233</f>
        <v>0</v>
      </c>
      <c r="F233" s="267">
        <f>+'ต.ค. '!F233+พ.ย.!F233+ธ.ค.!F233</f>
        <v>0</v>
      </c>
      <c r="G233" s="267">
        <f>+'ต.ค. '!G233+พ.ย.!G233+ธ.ค.!G233</f>
        <v>0</v>
      </c>
      <c r="H233" s="267">
        <f>+'ต.ค. '!H233+พ.ย.!H233+ธ.ค.!H233</f>
        <v>0</v>
      </c>
      <c r="I233" s="267">
        <f>+'ต.ค. '!I233+พ.ย.!I233+ธ.ค.!I233</f>
        <v>0</v>
      </c>
      <c r="J233" s="267">
        <f>+'ต.ค. '!J233+พ.ย.!J233+ธ.ค.!J233</f>
        <v>0</v>
      </c>
      <c r="K233" s="267">
        <f>+'ต.ค. '!K233+พ.ย.!K233+ธ.ค.!K233</f>
        <v>0</v>
      </c>
      <c r="L233" s="267">
        <f>+'ต.ค. '!L233+พ.ย.!L233+ธ.ค.!L233</f>
        <v>0</v>
      </c>
      <c r="M233" s="267">
        <f>+'ต.ค. '!M233+พ.ย.!M233+ธ.ค.!M233</f>
        <v>0</v>
      </c>
      <c r="N233" s="267">
        <f>+'ต.ค. '!N233+พ.ย.!N233+ธ.ค.!N233</f>
        <v>0</v>
      </c>
      <c r="O233" s="267">
        <f>+'ต.ค. '!O233+พ.ย.!O233+ธ.ค.!O233</f>
        <v>0</v>
      </c>
      <c r="P233" s="267">
        <f>+'ต.ค. '!P233+พ.ย.!P233+ธ.ค.!P233</f>
        <v>0</v>
      </c>
      <c r="Q233" s="267">
        <f>+'ต.ค. '!Q233+พ.ย.!Q233+ธ.ค.!Q233</f>
        <v>0</v>
      </c>
      <c r="R233" s="267">
        <f>+'ต.ค. '!R233+พ.ย.!R233+ธ.ค.!R233</f>
        <v>0</v>
      </c>
      <c r="S233" s="267">
        <f>+'ต.ค. '!S233+พ.ย.!S233+ธ.ค.!S233</f>
        <v>0</v>
      </c>
      <c r="T233" s="267"/>
      <c r="U233" s="267">
        <f>+'ต.ค. '!U233+พ.ย.!U233+ธ.ค.!U233</f>
        <v>0</v>
      </c>
      <c r="V233" s="267">
        <f>+'ต.ค. '!V233+พ.ย.!V233+ธ.ค.!V233</f>
        <v>0</v>
      </c>
    </row>
    <row r="234" spans="1:22" ht="25.5" customHeight="1">
      <c r="A234" s="20"/>
      <c r="B234" s="186" t="s">
        <v>335</v>
      </c>
      <c r="C234" s="295">
        <v>4500</v>
      </c>
      <c r="D234" s="131"/>
      <c r="E234" s="267">
        <f>+'ต.ค. '!E234+พ.ย.!E234+ธ.ค.!E234</f>
        <v>0</v>
      </c>
      <c r="F234" s="267">
        <f>+'ต.ค. '!F234+พ.ย.!F234+ธ.ค.!F234</f>
        <v>0</v>
      </c>
      <c r="G234" s="267">
        <f>+'ต.ค. '!G234+พ.ย.!G234+ธ.ค.!G234</f>
        <v>0</v>
      </c>
      <c r="H234" s="267">
        <f>+'ต.ค. '!H234+พ.ย.!H234+ธ.ค.!H234</f>
        <v>0</v>
      </c>
      <c r="I234" s="267">
        <f>+'ต.ค. '!I234+พ.ย.!I234+ธ.ค.!I234</f>
        <v>0</v>
      </c>
      <c r="J234" s="267">
        <f>+'ต.ค. '!J234+พ.ย.!J234+ธ.ค.!J234</f>
        <v>0</v>
      </c>
      <c r="K234" s="267">
        <f>+'ต.ค. '!K234+พ.ย.!K234+ธ.ค.!K234</f>
        <v>0</v>
      </c>
      <c r="L234" s="267">
        <f>+'ต.ค. '!L234+พ.ย.!L234+ธ.ค.!L234</f>
        <v>0</v>
      </c>
      <c r="M234" s="267">
        <f>+'ต.ค. '!M234+พ.ย.!M234+ธ.ค.!M234</f>
        <v>0</v>
      </c>
      <c r="N234" s="267">
        <f>+'ต.ค. '!N234+พ.ย.!N234+ธ.ค.!N234</f>
        <v>0</v>
      </c>
      <c r="O234" s="267">
        <f>+'ต.ค. '!O234+พ.ย.!O234+ธ.ค.!O234</f>
        <v>0</v>
      </c>
      <c r="P234" s="267">
        <f>+'ต.ค. '!P234+พ.ย.!P234+ธ.ค.!P234</f>
        <v>0</v>
      </c>
      <c r="Q234" s="267">
        <f>+'ต.ค. '!Q234+พ.ย.!Q234+ธ.ค.!Q234</f>
        <v>0</v>
      </c>
      <c r="R234" s="267">
        <f>+'ต.ค. '!R234+พ.ย.!R234+ธ.ค.!R234</f>
        <v>0</v>
      </c>
      <c r="S234" s="267">
        <f>+'ต.ค. '!S234+พ.ย.!S234+ธ.ค.!S234</f>
        <v>0</v>
      </c>
      <c r="T234" s="267"/>
      <c r="U234" s="267">
        <f>+'ต.ค. '!U234+พ.ย.!U234+ธ.ค.!U234</f>
        <v>0</v>
      </c>
      <c r="V234" s="267">
        <f>+'ต.ค. '!V234+พ.ย.!V234+ธ.ค.!V234</f>
        <v>0</v>
      </c>
    </row>
    <row r="235" spans="1:22" ht="25.5" customHeight="1">
      <c r="A235" s="20"/>
      <c r="B235" s="252" t="s">
        <v>292</v>
      </c>
      <c r="C235" s="295"/>
      <c r="D235" s="131"/>
      <c r="E235" s="267"/>
      <c r="F235" s="135"/>
      <c r="G235" s="135"/>
      <c r="H235" s="135"/>
      <c r="I235" s="131"/>
      <c r="J235" s="131"/>
      <c r="K235" s="131"/>
      <c r="L235" s="131"/>
      <c r="M235" s="135"/>
      <c r="N235" s="131"/>
      <c r="O235" s="131"/>
      <c r="P235" s="131"/>
      <c r="Q235" s="131"/>
      <c r="R235" s="217"/>
      <c r="S235" s="219"/>
      <c r="T235" s="219"/>
      <c r="U235" s="217"/>
      <c r="V235" s="217"/>
    </row>
    <row r="236" spans="1:22" ht="25.5" customHeight="1">
      <c r="A236" s="20"/>
      <c r="B236" s="186" t="s">
        <v>293</v>
      </c>
      <c r="C236" s="295">
        <v>32000</v>
      </c>
      <c r="D236" s="131"/>
      <c r="E236" s="267">
        <f>+'ต.ค. '!E237+พ.ย.!E236+ธ.ค.!E236</f>
        <v>0</v>
      </c>
      <c r="F236" s="267">
        <f>+'ต.ค. '!F237+พ.ย.!F236+ธ.ค.!F236</f>
        <v>0</v>
      </c>
      <c r="G236" s="267">
        <f>+'ต.ค. '!G237+พ.ย.!G236+ธ.ค.!G236</f>
        <v>0</v>
      </c>
      <c r="H236" s="267">
        <f>+'ต.ค. '!H237+พ.ย.!H236+ธ.ค.!H236</f>
        <v>0</v>
      </c>
      <c r="I236" s="267">
        <f>+'ต.ค. '!I237+พ.ย.!I236+ธ.ค.!I236</f>
        <v>0</v>
      </c>
      <c r="J236" s="267">
        <f>+'ต.ค. '!J237+พ.ย.!J236+ธ.ค.!J236</f>
        <v>0</v>
      </c>
      <c r="K236" s="267">
        <f>+'ต.ค. '!K237+พ.ย.!K236+ธ.ค.!K236</f>
        <v>0</v>
      </c>
      <c r="L236" s="267">
        <f>+'ต.ค. '!L237+พ.ย.!L236+ธ.ค.!L236</f>
        <v>0</v>
      </c>
      <c r="M236" s="267">
        <f>+'ต.ค. '!M237+พ.ย.!M236+ธ.ค.!M236</f>
        <v>0</v>
      </c>
      <c r="N236" s="267">
        <f>+'ต.ค. '!N237+พ.ย.!N236+ธ.ค.!N236</f>
        <v>0</v>
      </c>
      <c r="O236" s="267">
        <f>+'ต.ค. '!O237+พ.ย.!O236+ธ.ค.!O236</f>
        <v>0</v>
      </c>
      <c r="P236" s="267">
        <f>+'ต.ค. '!P237+พ.ย.!P236+ธ.ค.!P236</f>
        <v>0</v>
      </c>
      <c r="Q236" s="267">
        <f>+'ต.ค. '!Q237+พ.ย.!Q236+ธ.ค.!Q236</f>
        <v>0</v>
      </c>
      <c r="R236" s="267">
        <f>+'ต.ค. '!R237+พ.ย.!R236+ธ.ค.!R236</f>
        <v>0</v>
      </c>
      <c r="S236" s="267">
        <f>+'ต.ค. '!S237+พ.ย.!S236+ธ.ค.!S236</f>
        <v>0</v>
      </c>
      <c r="T236" s="267"/>
      <c r="U236" s="267">
        <f>+'ต.ค. '!U237+พ.ย.!U236+ธ.ค.!U236</f>
        <v>0</v>
      </c>
      <c r="V236" s="267">
        <f>+'ต.ค. '!V237+พ.ย.!V236+ธ.ค.!V236</f>
        <v>0</v>
      </c>
    </row>
    <row r="237" spans="1:22" ht="25.5" customHeight="1">
      <c r="A237" s="20"/>
      <c r="B237" s="186" t="s">
        <v>125</v>
      </c>
      <c r="C237" s="295">
        <f>2800+2800+2300</f>
        <v>7900</v>
      </c>
      <c r="D237" s="131"/>
      <c r="E237" s="267">
        <f>+'ต.ค. '!E238+พ.ย.!E237+ธ.ค.!E237</f>
        <v>0</v>
      </c>
      <c r="F237" s="267">
        <v>2800</v>
      </c>
      <c r="G237" s="267">
        <f>+'ต.ค. '!G238+พ.ย.!G237+ธ.ค.!G237</f>
        <v>0</v>
      </c>
      <c r="H237" s="267">
        <f>+'ต.ค. '!H238+พ.ย.!H237+ธ.ค.!H237</f>
        <v>0</v>
      </c>
      <c r="I237" s="267">
        <f>+'ต.ค. '!I238+พ.ย.!I237+ธ.ค.!I237</f>
        <v>0</v>
      </c>
      <c r="J237" s="267">
        <f>+'ต.ค. '!J238+พ.ย.!J237+ธ.ค.!J237</f>
        <v>0</v>
      </c>
      <c r="K237" s="267">
        <f>+'ต.ค. '!K238+พ.ย.!K237+ธ.ค.!K237</f>
        <v>0</v>
      </c>
      <c r="L237" s="267">
        <f>+'ต.ค. '!L238+พ.ย.!L237+ธ.ค.!L237</f>
        <v>0</v>
      </c>
      <c r="M237" s="267">
        <f>+'ต.ค. '!M238+พ.ย.!M237+ธ.ค.!M237</f>
        <v>0</v>
      </c>
      <c r="N237" s="267">
        <f>+'ต.ค. '!N238+พ.ย.!N237+ธ.ค.!N237</f>
        <v>0</v>
      </c>
      <c r="O237" s="267">
        <f>+'ต.ค. '!O238+พ.ย.!O237+ธ.ค.!O237</f>
        <v>0</v>
      </c>
      <c r="P237" s="267">
        <f>+'ต.ค. '!P238+พ.ย.!P237+ธ.ค.!P237</f>
        <v>0</v>
      </c>
      <c r="Q237" s="267">
        <f>+'ต.ค. '!Q238+พ.ย.!Q237+ธ.ค.!Q237</f>
        <v>0</v>
      </c>
      <c r="R237" s="267">
        <f>+'ต.ค. '!R238+พ.ย.!R237+ธ.ค.!R237</f>
        <v>0</v>
      </c>
      <c r="S237" s="267">
        <f>+'ต.ค. '!S238+พ.ย.!S237+ธ.ค.!S237</f>
        <v>0</v>
      </c>
      <c r="T237" s="267"/>
      <c r="U237" s="267">
        <f>+'ต.ค. '!U238+พ.ย.!U237+ธ.ค.!U237</f>
        <v>0</v>
      </c>
      <c r="V237" s="267">
        <f>+'ต.ค. '!V238+พ.ย.!V237+ธ.ค.!V237</f>
        <v>0</v>
      </c>
    </row>
    <row r="238" spans="1:22" ht="25.5" customHeight="1">
      <c r="A238" s="20"/>
      <c r="B238" s="186" t="s">
        <v>294</v>
      </c>
      <c r="C238" s="295">
        <v>21000</v>
      </c>
      <c r="D238" s="131"/>
      <c r="E238" s="267">
        <f>+'ต.ค. '!E239+พ.ย.!E238+ธ.ค.!E238</f>
        <v>0</v>
      </c>
      <c r="F238" s="267">
        <v>21000</v>
      </c>
      <c r="G238" s="267">
        <f>+'ต.ค. '!G239+พ.ย.!G238+ธ.ค.!G238</f>
        <v>0</v>
      </c>
      <c r="H238" s="267">
        <f>+'ต.ค. '!H239+พ.ย.!H238+ธ.ค.!H238</f>
        <v>0</v>
      </c>
      <c r="I238" s="267">
        <f>+'ต.ค. '!I239+พ.ย.!I238+ธ.ค.!I238</f>
        <v>0</v>
      </c>
      <c r="J238" s="267">
        <f>+'ต.ค. '!J239+พ.ย.!J238+ธ.ค.!J238</f>
        <v>0</v>
      </c>
      <c r="K238" s="267">
        <f>+'ต.ค. '!K239+พ.ย.!K238+ธ.ค.!K238</f>
        <v>0</v>
      </c>
      <c r="L238" s="267">
        <f>+'ต.ค. '!L239+พ.ย.!L238+ธ.ค.!L238</f>
        <v>0</v>
      </c>
      <c r="M238" s="267">
        <f>+'ต.ค. '!M239+พ.ย.!M238+ธ.ค.!M238</f>
        <v>0</v>
      </c>
      <c r="N238" s="267">
        <f>+'ต.ค. '!N239+พ.ย.!N238+ธ.ค.!N238</f>
        <v>0</v>
      </c>
      <c r="O238" s="267">
        <f>+'ต.ค. '!O239+พ.ย.!O238+ธ.ค.!O238</f>
        <v>0</v>
      </c>
      <c r="P238" s="267">
        <f>+'ต.ค. '!P239+พ.ย.!P238+ธ.ค.!P238</f>
        <v>0</v>
      </c>
      <c r="Q238" s="267">
        <f>+'ต.ค. '!Q239+พ.ย.!Q238+ธ.ค.!Q238</f>
        <v>0</v>
      </c>
      <c r="R238" s="267">
        <f>+'ต.ค. '!R239+พ.ย.!R238+ธ.ค.!R238</f>
        <v>0</v>
      </c>
      <c r="S238" s="267">
        <f>+'ต.ค. '!S239+พ.ย.!S238+ธ.ค.!S238</f>
        <v>0</v>
      </c>
      <c r="T238" s="267"/>
      <c r="U238" s="267">
        <f>+'ต.ค. '!U239+พ.ย.!U238+ธ.ค.!U238</f>
        <v>0</v>
      </c>
      <c r="V238" s="267">
        <f>+'ต.ค. '!V239+พ.ย.!V238+ธ.ค.!V238</f>
        <v>0</v>
      </c>
    </row>
    <row r="239" spans="1:22" ht="25.5" customHeight="1">
      <c r="A239" s="20"/>
      <c r="B239" s="186" t="s">
        <v>293</v>
      </c>
      <c r="C239" s="295">
        <v>16000</v>
      </c>
      <c r="D239" s="131"/>
      <c r="E239" s="267">
        <f>+'ต.ค. '!E240+พ.ย.!E239+ธ.ค.!E239</f>
        <v>0</v>
      </c>
      <c r="F239" s="267">
        <f>+'ต.ค. '!F240+พ.ย.!F239+ธ.ค.!F239</f>
        <v>0</v>
      </c>
      <c r="G239" s="267">
        <f>+'ต.ค. '!G240+พ.ย.!G239+ธ.ค.!G239</f>
        <v>0</v>
      </c>
      <c r="H239" s="267">
        <f>+'ต.ค. '!H240+พ.ย.!H239+ธ.ค.!H239</f>
        <v>0</v>
      </c>
      <c r="I239" s="267">
        <f>+'ต.ค. '!I240+พ.ย.!I239+ธ.ค.!I239</f>
        <v>0</v>
      </c>
      <c r="J239" s="267">
        <f>+'ต.ค. '!J240+พ.ย.!J239+ธ.ค.!J239</f>
        <v>0</v>
      </c>
      <c r="K239" s="267">
        <f>+'ต.ค. '!K240+พ.ย.!K239+ธ.ค.!K239</f>
        <v>0</v>
      </c>
      <c r="L239" s="267">
        <f>+'ต.ค. '!L240+พ.ย.!L239+ธ.ค.!L239</f>
        <v>0</v>
      </c>
      <c r="M239" s="267">
        <f>+'ต.ค. '!M240+พ.ย.!M239+ธ.ค.!M239</f>
        <v>0</v>
      </c>
      <c r="N239" s="267">
        <f>+'ต.ค. '!N240+พ.ย.!N239+ธ.ค.!N239</f>
        <v>0</v>
      </c>
      <c r="O239" s="267">
        <f>+'ต.ค. '!O240+พ.ย.!O239+ธ.ค.!O239</f>
        <v>0</v>
      </c>
      <c r="P239" s="267">
        <f>+'ต.ค. '!P240+พ.ย.!P239+ธ.ค.!P239</f>
        <v>0</v>
      </c>
      <c r="Q239" s="267">
        <f>+'ต.ค. '!Q240+พ.ย.!Q239+ธ.ค.!Q239</f>
        <v>0</v>
      </c>
      <c r="R239" s="267">
        <f>+'ต.ค. '!R240+พ.ย.!R239+ธ.ค.!R239</f>
        <v>0</v>
      </c>
      <c r="S239" s="267">
        <f>+'ต.ค. '!S240+พ.ย.!S239+ธ.ค.!S239</f>
        <v>0</v>
      </c>
      <c r="T239" s="267"/>
      <c r="U239" s="267">
        <f>+'ต.ค. '!U240+พ.ย.!U239+ธ.ค.!U239</f>
        <v>0</v>
      </c>
      <c r="V239" s="267">
        <f>+'ต.ค. '!V240+พ.ย.!V239+ธ.ค.!V239</f>
        <v>0</v>
      </c>
    </row>
    <row r="240" spans="1:22" ht="25.5" customHeight="1">
      <c r="A240" s="20"/>
      <c r="B240" s="186" t="s">
        <v>306</v>
      </c>
      <c r="C240" s="295">
        <v>7700</v>
      </c>
      <c r="D240" s="131"/>
      <c r="E240" s="267">
        <f>+'ต.ค. '!E241+พ.ย.!E240+ธ.ค.!E240</f>
        <v>0</v>
      </c>
      <c r="F240" s="267">
        <f>+'ต.ค. '!F241+พ.ย.!F240+ธ.ค.!F240</f>
        <v>0</v>
      </c>
      <c r="G240" s="267">
        <f>+'ต.ค. '!G241+พ.ย.!G240+ธ.ค.!G240</f>
        <v>0</v>
      </c>
      <c r="H240" s="267">
        <f>+'ต.ค. '!H241+พ.ย.!H240+ธ.ค.!H240</f>
        <v>0</v>
      </c>
      <c r="I240" s="267">
        <f>+'ต.ค. '!I241+พ.ย.!I240+ธ.ค.!I240</f>
        <v>0</v>
      </c>
      <c r="J240" s="267">
        <f>+'ต.ค. '!J241+พ.ย.!J240+ธ.ค.!J240</f>
        <v>0</v>
      </c>
      <c r="K240" s="267">
        <f>+'ต.ค. '!K241+พ.ย.!K240+ธ.ค.!K240</f>
        <v>0</v>
      </c>
      <c r="L240" s="267">
        <f>+'ต.ค. '!L241+พ.ย.!L240+ธ.ค.!L240</f>
        <v>0</v>
      </c>
      <c r="M240" s="267">
        <f>+'ต.ค. '!M241+พ.ย.!M240+ธ.ค.!M240</f>
        <v>0</v>
      </c>
      <c r="N240" s="267">
        <f>+'ต.ค. '!N241+พ.ย.!N240+ธ.ค.!N240</f>
        <v>0</v>
      </c>
      <c r="O240" s="267">
        <f>+'ต.ค. '!O241+พ.ย.!O240+ธ.ค.!O240</f>
        <v>0</v>
      </c>
      <c r="P240" s="267">
        <f>+'ต.ค. '!P241+พ.ย.!P240+ธ.ค.!P240</f>
        <v>0</v>
      </c>
      <c r="Q240" s="267">
        <f>+'ต.ค. '!Q241+พ.ย.!Q240+ธ.ค.!Q240</f>
        <v>0</v>
      </c>
      <c r="R240" s="267">
        <f>+'ต.ค. '!R241+พ.ย.!R240+ธ.ค.!R240</f>
        <v>0</v>
      </c>
      <c r="S240" s="267">
        <f>+'ต.ค. '!S241+พ.ย.!S240+ธ.ค.!S240</f>
        <v>0</v>
      </c>
      <c r="T240" s="267"/>
      <c r="U240" s="267">
        <f>+'ต.ค. '!U241+พ.ย.!U240+ธ.ค.!U240</f>
        <v>0</v>
      </c>
      <c r="V240" s="267">
        <f>+'ต.ค. '!V241+พ.ย.!V240+ธ.ค.!V240</f>
        <v>0</v>
      </c>
    </row>
    <row r="241" spans="1:22" ht="25.5" customHeight="1">
      <c r="A241" s="20"/>
      <c r="B241" s="252" t="s">
        <v>336</v>
      </c>
      <c r="C241" s="295"/>
      <c r="D241" s="131"/>
      <c r="E241" s="267"/>
      <c r="F241" s="135"/>
      <c r="G241" s="135"/>
      <c r="H241" s="135"/>
      <c r="I241" s="131"/>
      <c r="J241" s="131"/>
      <c r="K241" s="131"/>
      <c r="L241" s="131"/>
      <c r="M241" s="135"/>
      <c r="N241" s="131"/>
      <c r="O241" s="131"/>
      <c r="P241" s="131"/>
      <c r="Q241" s="131"/>
      <c r="R241" s="217"/>
      <c r="S241" s="219"/>
      <c r="T241" s="219"/>
      <c r="U241" s="217"/>
      <c r="V241" s="217"/>
    </row>
    <row r="242" spans="1:22" ht="25.5" customHeight="1">
      <c r="A242" s="20"/>
      <c r="B242" s="186" t="s">
        <v>337</v>
      </c>
      <c r="C242" s="295">
        <v>9000</v>
      </c>
      <c r="D242" s="131"/>
      <c r="E242" s="267">
        <f>+'ต.ค. '!E244+พ.ย.!E242+ธ.ค.!E242</f>
        <v>0</v>
      </c>
      <c r="F242" s="267">
        <f>+'ต.ค. '!F244+พ.ย.!F242+ธ.ค.!F242</f>
        <v>0</v>
      </c>
      <c r="G242" s="267">
        <f>+'ต.ค. '!G244+พ.ย.!G242+ธ.ค.!G242</f>
        <v>0</v>
      </c>
      <c r="H242" s="267">
        <f>+'ต.ค. '!H244+พ.ย.!H242+ธ.ค.!H242</f>
        <v>0</v>
      </c>
      <c r="I242" s="267">
        <f>+'ต.ค. '!I244+พ.ย.!I242+ธ.ค.!I242</f>
        <v>0</v>
      </c>
      <c r="J242" s="267">
        <f>+'ต.ค. '!J244+พ.ย.!J242+ธ.ค.!J242</f>
        <v>0</v>
      </c>
      <c r="K242" s="267">
        <f>+'ต.ค. '!K244+พ.ย.!K242+ธ.ค.!K242</f>
        <v>0</v>
      </c>
      <c r="L242" s="267">
        <f>+'ต.ค. '!L244+พ.ย.!L242+ธ.ค.!L242</f>
        <v>0</v>
      </c>
      <c r="M242" s="267">
        <f>+'ต.ค. '!M244+พ.ย.!M242+ธ.ค.!M242</f>
        <v>0</v>
      </c>
      <c r="N242" s="267">
        <f>+'ต.ค. '!N244+พ.ย.!N242+ธ.ค.!N242</f>
        <v>0</v>
      </c>
      <c r="O242" s="267">
        <f>+'ต.ค. '!O244+พ.ย.!O242+ธ.ค.!O242</f>
        <v>0</v>
      </c>
      <c r="P242" s="267">
        <f>+'ต.ค. '!P244+พ.ย.!P242+ธ.ค.!P242</f>
        <v>0</v>
      </c>
      <c r="Q242" s="267">
        <f>+'ต.ค. '!Q244+พ.ย.!Q242+ธ.ค.!Q242</f>
        <v>0</v>
      </c>
      <c r="R242" s="267">
        <f>+'ต.ค. '!R244+พ.ย.!R242+ธ.ค.!R242</f>
        <v>0</v>
      </c>
      <c r="S242" s="267">
        <f>+'ต.ค. '!S244+พ.ย.!S242+ธ.ค.!S242</f>
        <v>0</v>
      </c>
      <c r="T242" s="267"/>
      <c r="U242" s="267">
        <f>+'ต.ค. '!U244+พ.ย.!U242+ธ.ค.!U242</f>
        <v>0</v>
      </c>
      <c r="V242" s="267">
        <f>+'ต.ค. '!V244+พ.ย.!V242+ธ.ค.!V242</f>
        <v>0</v>
      </c>
    </row>
    <row r="243" spans="1:22" ht="25.5" customHeight="1">
      <c r="A243" s="20"/>
      <c r="B243" s="252" t="s">
        <v>338</v>
      </c>
      <c r="C243" s="295"/>
      <c r="D243" s="131"/>
      <c r="E243" s="267"/>
      <c r="F243" s="135"/>
      <c r="G243" s="135"/>
      <c r="H243" s="135"/>
      <c r="I243" s="131"/>
      <c r="J243" s="131"/>
      <c r="K243" s="131"/>
      <c r="L243" s="131"/>
      <c r="M243" s="135"/>
      <c r="N243" s="131"/>
      <c r="O243" s="131"/>
      <c r="P243" s="131"/>
      <c r="Q243" s="131"/>
      <c r="R243" s="217"/>
      <c r="S243" s="219"/>
      <c r="T243" s="219"/>
      <c r="U243" s="217"/>
      <c r="V243" s="217"/>
    </row>
    <row r="244" spans="1:22" ht="25.5" customHeight="1">
      <c r="A244" s="20"/>
      <c r="B244" s="186" t="s">
        <v>339</v>
      </c>
      <c r="C244" s="295">
        <v>8000</v>
      </c>
      <c r="D244" s="131"/>
      <c r="E244" s="267">
        <f>+'ต.ค. '!E247+พ.ย.!E244+ธ.ค.!E244</f>
        <v>0</v>
      </c>
      <c r="F244" s="267">
        <f>+'ต.ค. '!F247+พ.ย.!F244+ธ.ค.!F244</f>
        <v>0</v>
      </c>
      <c r="G244" s="267">
        <f>+'ต.ค. '!G247+พ.ย.!G244+ธ.ค.!G244</f>
        <v>0</v>
      </c>
      <c r="H244" s="267">
        <f>+'ต.ค. '!H247+พ.ย.!H244+ธ.ค.!H244</f>
        <v>0</v>
      </c>
      <c r="I244" s="267">
        <f>+'ต.ค. '!I247+พ.ย.!I244+ธ.ค.!I244</f>
        <v>0</v>
      </c>
      <c r="J244" s="267">
        <f>+'ต.ค. '!J247+พ.ย.!J244+ธ.ค.!J244</f>
        <v>0</v>
      </c>
      <c r="K244" s="267">
        <f>+'ต.ค. '!K247+พ.ย.!K244+ธ.ค.!K244</f>
        <v>0</v>
      </c>
      <c r="L244" s="267">
        <f>+'ต.ค. '!L247+พ.ย.!L244+ธ.ค.!L244</f>
        <v>0</v>
      </c>
      <c r="M244" s="267">
        <f>+'ต.ค. '!M247+พ.ย.!M244+ธ.ค.!M244</f>
        <v>0</v>
      </c>
      <c r="N244" s="267">
        <f>+'ต.ค. '!N247+พ.ย.!N244+ธ.ค.!N244</f>
        <v>0</v>
      </c>
      <c r="O244" s="267">
        <f>+'ต.ค. '!O247+พ.ย.!O244+ธ.ค.!O244</f>
        <v>0</v>
      </c>
      <c r="P244" s="267">
        <f>+'ต.ค. '!P247+พ.ย.!P244+ธ.ค.!P244</f>
        <v>0</v>
      </c>
      <c r="Q244" s="267">
        <f>+'ต.ค. '!Q247+พ.ย.!Q244+ธ.ค.!Q244</f>
        <v>0</v>
      </c>
      <c r="R244" s="267">
        <f>+'ต.ค. '!R247+พ.ย.!R244+ธ.ค.!R244</f>
        <v>0</v>
      </c>
      <c r="S244" s="267">
        <f>+'ต.ค. '!S247+พ.ย.!S244+ธ.ค.!S244</f>
        <v>0</v>
      </c>
      <c r="T244" s="267"/>
      <c r="U244" s="267">
        <f>+'ต.ค. '!U247+พ.ย.!U244+ธ.ค.!U244</f>
        <v>0</v>
      </c>
      <c r="V244" s="267">
        <f>+'ต.ค. '!V247+พ.ย.!V244+ธ.ค.!V244</f>
        <v>0</v>
      </c>
    </row>
    <row r="245" spans="1:22" ht="25.5" customHeight="1">
      <c r="A245" s="20"/>
      <c r="B245" s="186" t="s">
        <v>340</v>
      </c>
      <c r="C245" s="295">
        <v>6000</v>
      </c>
      <c r="D245" s="131"/>
      <c r="E245" s="267">
        <f>+'ต.ค. '!E248+พ.ย.!E245+ธ.ค.!E245</f>
        <v>0</v>
      </c>
      <c r="F245" s="267">
        <f>+'ต.ค. '!F248+พ.ย.!F245+ธ.ค.!F245</f>
        <v>0</v>
      </c>
      <c r="G245" s="267">
        <f>+'ต.ค. '!G248+พ.ย.!G245+ธ.ค.!G245</f>
        <v>0</v>
      </c>
      <c r="H245" s="267">
        <f>+'ต.ค. '!H248+พ.ย.!H245+ธ.ค.!H245</f>
        <v>0</v>
      </c>
      <c r="I245" s="267">
        <f>+'ต.ค. '!I248+พ.ย.!I245+ธ.ค.!I245</f>
        <v>0</v>
      </c>
      <c r="J245" s="267">
        <f>+'ต.ค. '!J248+พ.ย.!J245+ธ.ค.!J245</f>
        <v>0</v>
      </c>
      <c r="K245" s="267">
        <f>+'ต.ค. '!K248+พ.ย.!K245+ธ.ค.!K245</f>
        <v>0</v>
      </c>
      <c r="L245" s="267">
        <f>+'ต.ค. '!L248+พ.ย.!L245+ธ.ค.!L245</f>
        <v>0</v>
      </c>
      <c r="M245" s="267">
        <f>+'ต.ค. '!M248+พ.ย.!M245+ธ.ค.!M245</f>
        <v>0</v>
      </c>
      <c r="N245" s="267">
        <f>+'ต.ค. '!N248+พ.ย.!N245+ธ.ค.!N245</f>
        <v>0</v>
      </c>
      <c r="O245" s="267">
        <f>+'ต.ค. '!O248+พ.ย.!O245+ธ.ค.!O245</f>
        <v>0</v>
      </c>
      <c r="P245" s="267">
        <f>+'ต.ค. '!P248+พ.ย.!P245+ธ.ค.!P245</f>
        <v>0</v>
      </c>
      <c r="Q245" s="267">
        <f>+'ต.ค. '!Q248+พ.ย.!Q245+ธ.ค.!Q245</f>
        <v>0</v>
      </c>
      <c r="R245" s="267">
        <f>+'ต.ค. '!R248+พ.ย.!R245+ธ.ค.!R245</f>
        <v>0</v>
      </c>
      <c r="S245" s="267">
        <f>+'ต.ค. '!S248+พ.ย.!S245+ธ.ค.!S245</f>
        <v>0</v>
      </c>
      <c r="T245" s="267"/>
      <c r="U245" s="267">
        <f>+'ต.ค. '!U248+พ.ย.!U245+ธ.ค.!U245</f>
        <v>0</v>
      </c>
      <c r="V245" s="267">
        <f>+'ต.ค. '!V248+พ.ย.!V245+ธ.ค.!V245</f>
        <v>0</v>
      </c>
    </row>
    <row r="246" spans="1:22" ht="25.5" customHeight="1">
      <c r="A246" s="20"/>
      <c r="B246" s="252" t="s">
        <v>341</v>
      </c>
      <c r="C246" s="295"/>
      <c r="D246" s="131"/>
      <c r="E246" s="267"/>
      <c r="F246" s="135"/>
      <c r="G246" s="135"/>
      <c r="H246" s="135"/>
      <c r="I246" s="131"/>
      <c r="J246" s="131"/>
      <c r="K246" s="131"/>
      <c r="L246" s="131"/>
      <c r="M246" s="135"/>
      <c r="N246" s="131"/>
      <c r="O246" s="131"/>
      <c r="P246" s="131"/>
      <c r="Q246" s="131"/>
      <c r="R246" s="217"/>
      <c r="S246" s="219"/>
      <c r="T246" s="219"/>
      <c r="U246" s="217"/>
      <c r="V246" s="217"/>
    </row>
    <row r="247" spans="1:22" ht="25.5" customHeight="1">
      <c r="A247" s="20"/>
      <c r="B247" s="186" t="s">
        <v>342</v>
      </c>
      <c r="C247" s="295">
        <v>45300</v>
      </c>
      <c r="D247" s="131"/>
      <c r="E247" s="267">
        <f>+'ต.ค. '!E251+พ.ย.!E247+ธ.ค.!E247</f>
        <v>0</v>
      </c>
      <c r="F247" s="267">
        <f>+'ต.ค. '!F251+พ.ย.!F247+ธ.ค.!F247</f>
        <v>0</v>
      </c>
      <c r="G247" s="267">
        <f>+'ต.ค. '!G251+พ.ย.!G247+ธ.ค.!G247</f>
        <v>0</v>
      </c>
      <c r="H247" s="267">
        <f>+'ต.ค. '!H251+พ.ย.!H247+ธ.ค.!H247</f>
        <v>0</v>
      </c>
      <c r="I247" s="267">
        <f>+'ต.ค. '!I251+พ.ย.!I247+ธ.ค.!I247</f>
        <v>0</v>
      </c>
      <c r="J247" s="267">
        <f>+'ต.ค. '!J251+พ.ย.!J247+ธ.ค.!J247</f>
        <v>0</v>
      </c>
      <c r="K247" s="267">
        <f>+'ต.ค. '!K251+พ.ย.!K247+ธ.ค.!K247</f>
        <v>0</v>
      </c>
      <c r="L247" s="267">
        <f>+'ต.ค. '!L251+พ.ย.!L247+ธ.ค.!L247</f>
        <v>0</v>
      </c>
      <c r="M247" s="267">
        <f>+'ต.ค. '!M251+พ.ย.!M247+ธ.ค.!M247</f>
        <v>0</v>
      </c>
      <c r="N247" s="267">
        <f>+'ต.ค. '!N251+พ.ย.!N247+ธ.ค.!N247</f>
        <v>0</v>
      </c>
      <c r="O247" s="267">
        <f>+'ต.ค. '!O251+พ.ย.!O247+ธ.ค.!O247</f>
        <v>0</v>
      </c>
      <c r="P247" s="267">
        <f>+'ต.ค. '!P251+พ.ย.!P247+ธ.ค.!P247</f>
        <v>0</v>
      </c>
      <c r="Q247" s="267">
        <f>+'ต.ค. '!Q251+พ.ย.!Q247+ธ.ค.!Q247</f>
        <v>0</v>
      </c>
      <c r="R247" s="267">
        <f>+'ต.ค. '!R251+พ.ย.!R247+ธ.ค.!R247</f>
        <v>0</v>
      </c>
      <c r="S247" s="267">
        <f>+'ต.ค. '!S251+พ.ย.!S247+ธ.ค.!S247</f>
        <v>0</v>
      </c>
      <c r="T247" s="267"/>
      <c r="U247" s="267">
        <f>+'ต.ค. '!U251+พ.ย.!U247+ธ.ค.!U247</f>
        <v>0</v>
      </c>
      <c r="V247" s="267">
        <f>+'ต.ค. '!V251+พ.ย.!V247+ธ.ค.!V247</f>
        <v>0</v>
      </c>
    </row>
    <row r="248" spans="1:22" ht="25.5" customHeight="1">
      <c r="A248" s="20"/>
      <c r="B248" s="186" t="s">
        <v>343</v>
      </c>
      <c r="C248" s="295">
        <v>128000</v>
      </c>
      <c r="D248" s="131"/>
      <c r="E248" s="267">
        <f>+'ต.ค. '!E252+พ.ย.!E248+ธ.ค.!E248</f>
        <v>0</v>
      </c>
      <c r="F248" s="267">
        <f>+'ต.ค. '!F252+พ.ย.!F248+ธ.ค.!F248</f>
        <v>0</v>
      </c>
      <c r="G248" s="267">
        <f>+'ต.ค. '!G252+พ.ย.!G248+ธ.ค.!G248</f>
        <v>0</v>
      </c>
      <c r="H248" s="267">
        <f>+'ต.ค. '!H252+พ.ย.!H248+ธ.ค.!H248</f>
        <v>0</v>
      </c>
      <c r="I248" s="267">
        <f>+'ต.ค. '!I252+พ.ย.!I248+ธ.ค.!I248</f>
        <v>0</v>
      </c>
      <c r="J248" s="267">
        <f>+'ต.ค. '!J252+พ.ย.!J248+ธ.ค.!J248</f>
        <v>0</v>
      </c>
      <c r="K248" s="267">
        <f>+'ต.ค. '!K252+พ.ย.!K248+ธ.ค.!K248</f>
        <v>0</v>
      </c>
      <c r="L248" s="267">
        <f>+'ต.ค. '!L252+พ.ย.!L248+ธ.ค.!L248</f>
        <v>0</v>
      </c>
      <c r="M248" s="267">
        <f>+'ต.ค. '!M252+พ.ย.!M248+ธ.ค.!M248</f>
        <v>0</v>
      </c>
      <c r="N248" s="267">
        <f>+'ต.ค. '!N252+พ.ย.!N248+ธ.ค.!N248</f>
        <v>0</v>
      </c>
      <c r="O248" s="267">
        <f>+'ต.ค. '!O252+พ.ย.!O248+ธ.ค.!O248</f>
        <v>0</v>
      </c>
      <c r="P248" s="267">
        <f>+'ต.ค. '!P252+พ.ย.!P248+ธ.ค.!P248</f>
        <v>0</v>
      </c>
      <c r="Q248" s="267">
        <f>+'ต.ค. '!Q252+พ.ย.!Q248+ธ.ค.!Q248</f>
        <v>0</v>
      </c>
      <c r="R248" s="267">
        <f>+'ต.ค. '!R252+พ.ย.!R248+ธ.ค.!R248</f>
        <v>0</v>
      </c>
      <c r="S248" s="267">
        <f>+'ต.ค. '!S252+พ.ย.!S248+ธ.ค.!S248</f>
        <v>0</v>
      </c>
      <c r="T248" s="267"/>
      <c r="U248" s="267">
        <f>+'ต.ค. '!U252+พ.ย.!U248+ธ.ค.!U248</f>
        <v>0</v>
      </c>
      <c r="V248" s="267">
        <f>+'ต.ค. '!V252+พ.ย.!V248+ธ.ค.!V248</f>
        <v>0</v>
      </c>
    </row>
    <row r="249" spans="1:22" ht="25.5" customHeight="1">
      <c r="A249" s="20"/>
      <c r="B249" s="186" t="s">
        <v>264</v>
      </c>
      <c r="C249" s="295">
        <v>204000</v>
      </c>
      <c r="D249" s="131"/>
      <c r="E249" s="267">
        <f>+'ต.ค. '!E253+พ.ย.!E249+ธ.ค.!E249</f>
        <v>0</v>
      </c>
      <c r="F249" s="267">
        <f>+'ต.ค. '!F253+พ.ย.!F249+ธ.ค.!F249</f>
        <v>0</v>
      </c>
      <c r="G249" s="267">
        <f>+'ต.ค. '!G253+พ.ย.!G249+ธ.ค.!G249</f>
        <v>0</v>
      </c>
      <c r="H249" s="267">
        <f>+'ต.ค. '!H253+พ.ย.!H249+ธ.ค.!H249</f>
        <v>0</v>
      </c>
      <c r="I249" s="267">
        <f>+'ต.ค. '!I253+พ.ย.!I249+ธ.ค.!I249</f>
        <v>0</v>
      </c>
      <c r="J249" s="267">
        <f>+'ต.ค. '!J253+พ.ย.!J249+ธ.ค.!J249</f>
        <v>0</v>
      </c>
      <c r="K249" s="267">
        <f>+'ต.ค. '!K253+พ.ย.!K249+ธ.ค.!K249</f>
        <v>0</v>
      </c>
      <c r="L249" s="267">
        <f>+'ต.ค. '!L253+พ.ย.!L249+ธ.ค.!L249</f>
        <v>0</v>
      </c>
      <c r="M249" s="267">
        <f>+'ต.ค. '!M253+พ.ย.!M249+ธ.ค.!M249</f>
        <v>0</v>
      </c>
      <c r="N249" s="267">
        <f>+'ต.ค. '!N253+พ.ย.!N249+ธ.ค.!N249</f>
        <v>0</v>
      </c>
      <c r="O249" s="267">
        <f>+'ต.ค. '!O253+พ.ย.!O249+ธ.ค.!O249</f>
        <v>0</v>
      </c>
      <c r="P249" s="267">
        <f>+'ต.ค. '!P253+พ.ย.!P249+ธ.ค.!P249</f>
        <v>0</v>
      </c>
      <c r="Q249" s="267">
        <f>+'ต.ค. '!Q253+พ.ย.!Q249+ธ.ค.!Q249</f>
        <v>0</v>
      </c>
      <c r="R249" s="267">
        <f>+'ต.ค. '!R253+พ.ย.!R249+ธ.ค.!R249</f>
        <v>0</v>
      </c>
      <c r="S249" s="267">
        <f>+'ต.ค. '!S253+พ.ย.!S249+ธ.ค.!S249</f>
        <v>0</v>
      </c>
      <c r="T249" s="267"/>
      <c r="U249" s="267">
        <f>+'ต.ค. '!U253+พ.ย.!U249+ธ.ค.!U249</f>
        <v>0</v>
      </c>
      <c r="V249" s="267">
        <f>+'ต.ค. '!V253+พ.ย.!V249+ธ.ค.!V249</f>
        <v>0</v>
      </c>
    </row>
    <row r="250" spans="1:22" ht="25.5" customHeight="1">
      <c r="A250" s="20"/>
      <c r="B250" s="186" t="s">
        <v>381</v>
      </c>
      <c r="C250" s="295">
        <v>204000</v>
      </c>
      <c r="D250" s="131"/>
      <c r="E250" s="267">
        <f>+'ต.ค. '!E254+พ.ย.!E250+ธ.ค.!E250</f>
        <v>0</v>
      </c>
      <c r="F250" s="267">
        <f>+'ต.ค. '!F254+พ.ย.!F250+ธ.ค.!F250</f>
        <v>0</v>
      </c>
      <c r="G250" s="267">
        <f>+'ต.ค. '!G254+พ.ย.!G250+ธ.ค.!G250</f>
        <v>0</v>
      </c>
      <c r="H250" s="267">
        <f>+'ต.ค. '!H254+พ.ย.!H250+ธ.ค.!H250</f>
        <v>0</v>
      </c>
      <c r="I250" s="267">
        <f>+'ต.ค. '!I254+พ.ย.!I250+ธ.ค.!I250</f>
        <v>0</v>
      </c>
      <c r="J250" s="267">
        <f>+'ต.ค. '!J254+พ.ย.!J250+ธ.ค.!J250</f>
        <v>0</v>
      </c>
      <c r="K250" s="267">
        <f>+'ต.ค. '!K254+พ.ย.!K250+ธ.ค.!K250</f>
        <v>0</v>
      </c>
      <c r="L250" s="267">
        <f>+'ต.ค. '!L254+พ.ย.!L250+ธ.ค.!L250</f>
        <v>0</v>
      </c>
      <c r="M250" s="267">
        <f>+'ต.ค. '!M254+พ.ย.!M250+ธ.ค.!M250</f>
        <v>0</v>
      </c>
      <c r="N250" s="267">
        <f>+'ต.ค. '!N254+พ.ย.!N250+ธ.ค.!N250</f>
        <v>0</v>
      </c>
      <c r="O250" s="267">
        <f>+'ต.ค. '!O254+พ.ย.!O250+ธ.ค.!O250</f>
        <v>0</v>
      </c>
      <c r="P250" s="267">
        <f>+'ต.ค. '!P254+พ.ย.!P250+ธ.ค.!P250</f>
        <v>0</v>
      </c>
      <c r="Q250" s="267">
        <f>+'ต.ค. '!Q254+พ.ย.!Q250+ธ.ค.!Q250</f>
        <v>0</v>
      </c>
      <c r="R250" s="267">
        <f>+'ต.ค. '!R254+พ.ย.!R250+ธ.ค.!R250</f>
        <v>0</v>
      </c>
      <c r="S250" s="267">
        <f>+'ต.ค. '!S254+พ.ย.!S250+ธ.ค.!S250</f>
        <v>0</v>
      </c>
      <c r="T250" s="267"/>
      <c r="U250" s="267">
        <f>+'ต.ค. '!U254+พ.ย.!U250+ธ.ค.!U250</f>
        <v>0</v>
      </c>
      <c r="V250" s="267">
        <f>+'ต.ค. '!V254+พ.ย.!V250+ธ.ค.!V250</f>
        <v>0</v>
      </c>
    </row>
    <row r="251" spans="1:22" ht="25.5" customHeight="1">
      <c r="A251" s="20"/>
      <c r="B251" s="186" t="s">
        <v>344</v>
      </c>
      <c r="C251" s="295">
        <v>204000</v>
      </c>
      <c r="D251" s="131"/>
      <c r="E251" s="267">
        <f>+'ต.ค. '!E255+พ.ย.!E251+ธ.ค.!E251</f>
        <v>0</v>
      </c>
      <c r="F251" s="267">
        <f>+'ต.ค. '!F255+พ.ย.!F251+ธ.ค.!F251</f>
        <v>0</v>
      </c>
      <c r="G251" s="267">
        <f>+'ต.ค. '!G255+พ.ย.!G251+ธ.ค.!G251</f>
        <v>0</v>
      </c>
      <c r="H251" s="267">
        <f>+'ต.ค. '!H255+พ.ย.!H251+ธ.ค.!H251</f>
        <v>0</v>
      </c>
      <c r="I251" s="267">
        <f>+'ต.ค. '!I255+พ.ย.!I251+ธ.ค.!I251</f>
        <v>0</v>
      </c>
      <c r="J251" s="267">
        <f>+'ต.ค. '!J255+พ.ย.!J251+ธ.ค.!J251</f>
        <v>0</v>
      </c>
      <c r="K251" s="267">
        <f>+'ต.ค. '!K255+พ.ย.!K251+ธ.ค.!K251</f>
        <v>0</v>
      </c>
      <c r="L251" s="267">
        <f>+'ต.ค. '!L255+พ.ย.!L251+ธ.ค.!L251</f>
        <v>0</v>
      </c>
      <c r="M251" s="267">
        <f>+'ต.ค. '!M255+พ.ย.!M251+ธ.ค.!M251</f>
        <v>0</v>
      </c>
      <c r="N251" s="267">
        <f>+'ต.ค. '!N255+พ.ย.!N251+ธ.ค.!N251</f>
        <v>0</v>
      </c>
      <c r="O251" s="267">
        <f>+'ต.ค. '!O255+พ.ย.!O251+ธ.ค.!O251</f>
        <v>0</v>
      </c>
      <c r="P251" s="267">
        <f>+'ต.ค. '!P255+พ.ย.!P251+ธ.ค.!P251</f>
        <v>0</v>
      </c>
      <c r="Q251" s="267">
        <f>+'ต.ค. '!Q255+พ.ย.!Q251+ธ.ค.!Q251</f>
        <v>0</v>
      </c>
      <c r="R251" s="267">
        <f>+'ต.ค. '!R255+พ.ย.!R251+ธ.ค.!R251</f>
        <v>0</v>
      </c>
      <c r="S251" s="267">
        <f>+'ต.ค. '!S255+พ.ย.!S251+ธ.ค.!S251</f>
        <v>0</v>
      </c>
      <c r="T251" s="267"/>
      <c r="U251" s="267">
        <f>+'ต.ค. '!U255+พ.ย.!U251+ธ.ค.!U251</f>
        <v>0</v>
      </c>
      <c r="V251" s="267">
        <f>+'ต.ค. '!V255+พ.ย.!V251+ธ.ค.!V251</f>
        <v>0</v>
      </c>
    </row>
    <row r="252" spans="1:22" ht="25.5" customHeight="1">
      <c r="A252" s="20"/>
      <c r="B252" s="186" t="s">
        <v>345</v>
      </c>
      <c r="C252" s="295">
        <v>217000</v>
      </c>
      <c r="D252" s="131"/>
      <c r="E252" s="267">
        <f>+'ต.ค. '!E256+พ.ย.!E252+ธ.ค.!E252</f>
        <v>0</v>
      </c>
      <c r="F252" s="267">
        <f>+'ต.ค. '!F256+พ.ย.!F252+ธ.ค.!F252</f>
        <v>0</v>
      </c>
      <c r="G252" s="267">
        <f>+'ต.ค. '!G256+พ.ย.!G252+ธ.ค.!G252</f>
        <v>0</v>
      </c>
      <c r="H252" s="267">
        <f>+'ต.ค. '!H256+พ.ย.!H252+ธ.ค.!H252</f>
        <v>0</v>
      </c>
      <c r="I252" s="267">
        <f>+'ต.ค. '!I256+พ.ย.!I252+ธ.ค.!I252</f>
        <v>0</v>
      </c>
      <c r="J252" s="267">
        <f>+'ต.ค. '!J256+พ.ย.!J252+ธ.ค.!J252</f>
        <v>0</v>
      </c>
      <c r="K252" s="267">
        <f>+'ต.ค. '!K256+พ.ย.!K252+ธ.ค.!K252</f>
        <v>0</v>
      </c>
      <c r="L252" s="267">
        <f>+'ต.ค. '!L256+พ.ย.!L252+ธ.ค.!L252</f>
        <v>0</v>
      </c>
      <c r="M252" s="267">
        <f>+'ต.ค. '!M256+พ.ย.!M252+ธ.ค.!M252</f>
        <v>0</v>
      </c>
      <c r="N252" s="267">
        <f>+'ต.ค. '!N256+พ.ย.!N252+ธ.ค.!N252</f>
        <v>0</v>
      </c>
      <c r="O252" s="267">
        <f>+'ต.ค. '!O256+พ.ย.!O252+ธ.ค.!O252</f>
        <v>0</v>
      </c>
      <c r="P252" s="267">
        <f>+'ต.ค. '!P256+พ.ย.!P252+ธ.ค.!P252</f>
        <v>0</v>
      </c>
      <c r="Q252" s="267">
        <f>+'ต.ค. '!Q256+พ.ย.!Q252+ธ.ค.!Q252</f>
        <v>0</v>
      </c>
      <c r="R252" s="267">
        <f>+'ต.ค. '!R256+พ.ย.!R252+ธ.ค.!R252</f>
        <v>0</v>
      </c>
      <c r="S252" s="267">
        <f>+'ต.ค. '!S256+พ.ย.!S252+ธ.ค.!S252</f>
        <v>0</v>
      </c>
      <c r="T252" s="267"/>
      <c r="U252" s="267">
        <f>+'ต.ค. '!U256+พ.ย.!U252+ธ.ค.!U252</f>
        <v>0</v>
      </c>
      <c r="V252" s="267">
        <f>+'ต.ค. '!V256+พ.ย.!V252+ธ.ค.!V252</f>
        <v>0</v>
      </c>
    </row>
    <row r="253" spans="1:22" ht="25.5" customHeight="1">
      <c r="A253" s="20"/>
      <c r="B253" s="186" t="s">
        <v>346</v>
      </c>
      <c r="C253" s="295">
        <v>27000</v>
      </c>
      <c r="D253" s="131"/>
      <c r="E253" s="267">
        <f>+'ต.ค. '!E257+พ.ย.!E253+ธ.ค.!E253</f>
        <v>0</v>
      </c>
      <c r="F253" s="267">
        <f>+'ต.ค. '!F257+พ.ย.!F253+ธ.ค.!F253</f>
        <v>0</v>
      </c>
      <c r="G253" s="267">
        <f>+'ต.ค. '!G257+พ.ย.!G253+ธ.ค.!G253</f>
        <v>0</v>
      </c>
      <c r="H253" s="267">
        <f>+'ต.ค. '!H257+พ.ย.!H253+ธ.ค.!H253</f>
        <v>0</v>
      </c>
      <c r="I253" s="267">
        <f>+'ต.ค. '!I257+พ.ย.!I253+ธ.ค.!I253</f>
        <v>0</v>
      </c>
      <c r="J253" s="267">
        <f>+'ต.ค. '!J257+พ.ย.!J253+ธ.ค.!J253</f>
        <v>0</v>
      </c>
      <c r="K253" s="267">
        <f>+'ต.ค. '!K257+พ.ย.!K253+ธ.ค.!K253</f>
        <v>0</v>
      </c>
      <c r="L253" s="267">
        <f>+'ต.ค. '!L257+พ.ย.!L253+ธ.ค.!L253</f>
        <v>0</v>
      </c>
      <c r="M253" s="267">
        <f>+'ต.ค. '!M257+พ.ย.!M253+ธ.ค.!M253</f>
        <v>0</v>
      </c>
      <c r="N253" s="267">
        <f>+'ต.ค. '!N257+พ.ย.!N253+ธ.ค.!N253</f>
        <v>0</v>
      </c>
      <c r="O253" s="267">
        <f>+'ต.ค. '!O257+พ.ย.!O253+ธ.ค.!O253</f>
        <v>0</v>
      </c>
      <c r="P253" s="267">
        <f>+'ต.ค. '!P257+พ.ย.!P253+ธ.ค.!P253</f>
        <v>0</v>
      </c>
      <c r="Q253" s="267">
        <f>+'ต.ค. '!Q257+พ.ย.!Q253+ธ.ค.!Q253</f>
        <v>0</v>
      </c>
      <c r="R253" s="267">
        <f>+'ต.ค. '!R257+พ.ย.!R253+ธ.ค.!R253</f>
        <v>0</v>
      </c>
      <c r="S253" s="267">
        <f>+'ต.ค. '!S257+พ.ย.!S253+ธ.ค.!S253</f>
        <v>0</v>
      </c>
      <c r="T253" s="267"/>
      <c r="U253" s="267">
        <f>+'ต.ค. '!U257+พ.ย.!U253+ธ.ค.!U253</f>
        <v>0</v>
      </c>
      <c r="V253" s="267">
        <f>+'ต.ค. '!V257+พ.ย.!V253+ธ.ค.!V253</f>
        <v>0</v>
      </c>
    </row>
    <row r="254" spans="1:22" ht="25.5" customHeight="1">
      <c r="A254" s="20"/>
      <c r="B254" s="186" t="s">
        <v>347</v>
      </c>
      <c r="C254" s="295">
        <v>211000</v>
      </c>
      <c r="D254" s="131"/>
      <c r="E254" s="267">
        <f>+'ต.ค. '!E258+พ.ย.!E254+ธ.ค.!E254</f>
        <v>0</v>
      </c>
      <c r="F254" s="267">
        <f>+'ต.ค. '!F258+พ.ย.!F254+ธ.ค.!F254</f>
        <v>0</v>
      </c>
      <c r="G254" s="267">
        <f>+'ต.ค. '!G258+พ.ย.!G254+ธ.ค.!G254</f>
        <v>0</v>
      </c>
      <c r="H254" s="267">
        <f>+'ต.ค. '!H258+พ.ย.!H254+ธ.ค.!H254</f>
        <v>0</v>
      </c>
      <c r="I254" s="267">
        <f>+'ต.ค. '!I258+พ.ย.!I254+ธ.ค.!I254</f>
        <v>0</v>
      </c>
      <c r="J254" s="267">
        <f>+'ต.ค. '!J258+พ.ย.!J254+ธ.ค.!J254</f>
        <v>0</v>
      </c>
      <c r="K254" s="267">
        <f>+'ต.ค. '!K258+พ.ย.!K254+ธ.ค.!K254</f>
        <v>0</v>
      </c>
      <c r="L254" s="267">
        <f>+'ต.ค. '!L258+พ.ย.!L254+ธ.ค.!L254</f>
        <v>0</v>
      </c>
      <c r="M254" s="267">
        <f>+'ต.ค. '!M258+พ.ย.!M254+ธ.ค.!M254</f>
        <v>0</v>
      </c>
      <c r="N254" s="267">
        <f>+'ต.ค. '!N258+พ.ย.!N254+ธ.ค.!N254</f>
        <v>0</v>
      </c>
      <c r="O254" s="267">
        <f>+'ต.ค. '!O258+พ.ย.!O254+ธ.ค.!O254</f>
        <v>0</v>
      </c>
      <c r="P254" s="267">
        <f>+'ต.ค. '!P258+พ.ย.!P254+ธ.ค.!P254</f>
        <v>0</v>
      </c>
      <c r="Q254" s="267">
        <f>+'ต.ค. '!Q258+พ.ย.!Q254+ธ.ค.!Q254</f>
        <v>0</v>
      </c>
      <c r="R254" s="267">
        <f>+'ต.ค. '!R258+พ.ย.!R254+ธ.ค.!R254</f>
        <v>0</v>
      </c>
      <c r="S254" s="267">
        <f>+'ต.ค. '!S258+พ.ย.!S254+ธ.ค.!S254</f>
        <v>0</v>
      </c>
      <c r="T254" s="267"/>
      <c r="U254" s="267">
        <f>+'ต.ค. '!U258+พ.ย.!U254+ธ.ค.!U254</f>
        <v>0</v>
      </c>
      <c r="V254" s="267">
        <f>+'ต.ค. '!V258+พ.ย.!V254+ธ.ค.!V254</f>
        <v>0</v>
      </c>
    </row>
    <row r="255" spans="1:22" ht="25.5" customHeight="1">
      <c r="A255" s="20"/>
      <c r="B255" s="186" t="s">
        <v>348</v>
      </c>
      <c r="C255" s="295">
        <v>211000</v>
      </c>
      <c r="D255" s="131"/>
      <c r="E255" s="267">
        <f>+'ต.ค. '!E259+พ.ย.!E255+ธ.ค.!E255</f>
        <v>0</v>
      </c>
      <c r="F255" s="267">
        <f>+'ต.ค. '!F259+พ.ย.!F255+ธ.ค.!F255</f>
        <v>0</v>
      </c>
      <c r="G255" s="267">
        <f>+'ต.ค. '!G259+พ.ย.!G255+ธ.ค.!G255</f>
        <v>0</v>
      </c>
      <c r="H255" s="267">
        <f>+'ต.ค. '!H259+พ.ย.!H255+ธ.ค.!H255</f>
        <v>0</v>
      </c>
      <c r="I255" s="267">
        <f>+'ต.ค. '!I259+พ.ย.!I255+ธ.ค.!I255</f>
        <v>0</v>
      </c>
      <c r="J255" s="267">
        <f>+'ต.ค. '!J259+พ.ย.!J255+ธ.ค.!J255</f>
        <v>0</v>
      </c>
      <c r="K255" s="267">
        <f>+'ต.ค. '!K259+พ.ย.!K255+ธ.ค.!K255</f>
        <v>0</v>
      </c>
      <c r="L255" s="267">
        <f>+'ต.ค. '!L259+พ.ย.!L255+ธ.ค.!L255</f>
        <v>0</v>
      </c>
      <c r="M255" s="267">
        <f>+'ต.ค. '!M259+พ.ย.!M255+ธ.ค.!M255</f>
        <v>0</v>
      </c>
      <c r="N255" s="267">
        <f>+'ต.ค. '!N259+พ.ย.!N255+ธ.ค.!N255</f>
        <v>0</v>
      </c>
      <c r="O255" s="267">
        <f>+'ต.ค. '!O259+พ.ย.!O255+ธ.ค.!O255</f>
        <v>0</v>
      </c>
      <c r="P255" s="267">
        <f>+'ต.ค. '!P259+พ.ย.!P255+ธ.ค.!P255</f>
        <v>0</v>
      </c>
      <c r="Q255" s="267">
        <f>+'ต.ค. '!Q259+พ.ย.!Q255+ธ.ค.!Q255</f>
        <v>0</v>
      </c>
      <c r="R255" s="267">
        <f>+'ต.ค. '!R259+พ.ย.!R255+ธ.ค.!R255</f>
        <v>0</v>
      </c>
      <c r="S255" s="267">
        <f>+'ต.ค. '!S259+พ.ย.!S255+ธ.ค.!S255</f>
        <v>0</v>
      </c>
      <c r="T255" s="267"/>
      <c r="U255" s="267">
        <f>+'ต.ค. '!U259+พ.ย.!U255+ธ.ค.!U255</f>
        <v>0</v>
      </c>
      <c r="V255" s="267">
        <f>+'ต.ค. '!V259+พ.ย.!V255+ธ.ค.!V255</f>
        <v>0</v>
      </c>
    </row>
    <row r="256" spans="1:22" ht="25.5" customHeight="1">
      <c r="A256" s="20"/>
      <c r="B256" s="186" t="s">
        <v>349</v>
      </c>
      <c r="C256" s="296">
        <v>688700</v>
      </c>
      <c r="D256" s="131"/>
      <c r="E256" s="267">
        <f>+'ต.ค. '!E260+พ.ย.!E256+ธ.ค.!E256</f>
        <v>0</v>
      </c>
      <c r="F256" s="267">
        <f>+'ต.ค. '!F260+พ.ย.!F256+ธ.ค.!F256</f>
        <v>0</v>
      </c>
      <c r="G256" s="267">
        <f>+'ต.ค. '!G260+พ.ย.!G256+ธ.ค.!G256</f>
        <v>0</v>
      </c>
      <c r="H256" s="267">
        <f>+'ต.ค. '!H260+พ.ย.!H256+ธ.ค.!H256</f>
        <v>0</v>
      </c>
      <c r="I256" s="267">
        <f>+'ต.ค. '!I260+พ.ย.!I256+ธ.ค.!I256</f>
        <v>0</v>
      </c>
      <c r="J256" s="267">
        <f>+'ต.ค. '!J260+พ.ย.!J256+ธ.ค.!J256</f>
        <v>0</v>
      </c>
      <c r="K256" s="267">
        <f>+'ต.ค. '!K260+พ.ย.!K256+ธ.ค.!K256</f>
        <v>0</v>
      </c>
      <c r="L256" s="267">
        <f>+'ต.ค. '!L260+พ.ย.!L256+ธ.ค.!L256</f>
        <v>0</v>
      </c>
      <c r="M256" s="267">
        <f>+'ต.ค. '!M260+พ.ย.!M256+ธ.ค.!M256</f>
        <v>0</v>
      </c>
      <c r="N256" s="267">
        <f>+'ต.ค. '!N260+พ.ย.!N256+ธ.ค.!N256</f>
        <v>0</v>
      </c>
      <c r="O256" s="267">
        <f>+'ต.ค. '!O260+พ.ย.!O256+ธ.ค.!O256</f>
        <v>0</v>
      </c>
      <c r="P256" s="267">
        <f>+'ต.ค. '!P260+พ.ย.!P256+ธ.ค.!P256</f>
        <v>0</v>
      </c>
      <c r="Q256" s="267">
        <f>+'ต.ค. '!Q260+พ.ย.!Q256+ธ.ค.!Q256</f>
        <v>0</v>
      </c>
      <c r="R256" s="267">
        <f>+'ต.ค. '!R260+พ.ย.!R256+ธ.ค.!R256</f>
        <v>0</v>
      </c>
      <c r="S256" s="267">
        <f>+'ต.ค. '!S260+พ.ย.!S256+ธ.ค.!S256</f>
        <v>0</v>
      </c>
      <c r="T256" s="267"/>
      <c r="U256" s="267">
        <f>+'ต.ค. '!U260+พ.ย.!U256+ธ.ค.!U256</f>
        <v>0</v>
      </c>
      <c r="V256" s="267">
        <f>+'ต.ค. '!V260+พ.ย.!V256+ธ.ค.!V256</f>
        <v>0</v>
      </c>
    </row>
    <row r="257" spans="1:23" ht="25.5" customHeight="1">
      <c r="A257" s="20"/>
      <c r="B257" s="186" t="s">
        <v>350</v>
      </c>
      <c r="C257" s="297">
        <v>62000</v>
      </c>
      <c r="D257" s="131"/>
      <c r="E257" s="267">
        <f>+'ต.ค. '!E261+พ.ย.!E257+ธ.ค.!E257</f>
        <v>0</v>
      </c>
      <c r="F257" s="267">
        <f>+'ต.ค. '!F261+พ.ย.!F257+ธ.ค.!F257</f>
        <v>0</v>
      </c>
      <c r="G257" s="267">
        <f>+'ต.ค. '!G261+พ.ย.!G257+ธ.ค.!G257</f>
        <v>0</v>
      </c>
      <c r="H257" s="267">
        <f>+'ต.ค. '!H261+พ.ย.!H257+ธ.ค.!H257</f>
        <v>0</v>
      </c>
      <c r="I257" s="267">
        <f>+'ต.ค. '!I261+พ.ย.!I257+ธ.ค.!I257</f>
        <v>0</v>
      </c>
      <c r="J257" s="267">
        <f>+'ต.ค. '!J261+พ.ย.!J257+ธ.ค.!J257</f>
        <v>0</v>
      </c>
      <c r="K257" s="267">
        <f>+'ต.ค. '!K261+พ.ย.!K257+ธ.ค.!K257</f>
        <v>0</v>
      </c>
      <c r="L257" s="267">
        <f>+'ต.ค. '!L261+พ.ย.!L257+ธ.ค.!L257</f>
        <v>0</v>
      </c>
      <c r="M257" s="267">
        <f>+'ต.ค. '!M261+พ.ย.!M257+ธ.ค.!M257</f>
        <v>0</v>
      </c>
      <c r="N257" s="267">
        <f>+'ต.ค. '!N261+พ.ย.!N257+ธ.ค.!N257</f>
        <v>0</v>
      </c>
      <c r="O257" s="267">
        <f>+'ต.ค. '!O261+พ.ย.!O257+ธ.ค.!O257</f>
        <v>0</v>
      </c>
      <c r="P257" s="267">
        <f>+'ต.ค. '!P261+พ.ย.!P257+ธ.ค.!P257</f>
        <v>0</v>
      </c>
      <c r="Q257" s="267">
        <f>+'ต.ค. '!Q261+พ.ย.!Q257+ธ.ค.!Q257</f>
        <v>0</v>
      </c>
      <c r="R257" s="267">
        <f>+'ต.ค. '!R261+พ.ย.!R257+ธ.ค.!R257</f>
        <v>0</v>
      </c>
      <c r="S257" s="267">
        <f>+'ต.ค. '!S261+พ.ย.!S257+ธ.ค.!S257</f>
        <v>0</v>
      </c>
      <c r="T257" s="267"/>
      <c r="U257" s="267">
        <f>+'ต.ค. '!U261+พ.ย.!U257+ธ.ค.!U257</f>
        <v>0</v>
      </c>
      <c r="V257" s="267">
        <f>+'ต.ค. '!V261+พ.ย.!V257+ธ.ค.!V257</f>
        <v>0</v>
      </c>
    </row>
    <row r="258" spans="1:23" ht="25.5" customHeight="1" thickBot="1">
      <c r="A258" s="24"/>
      <c r="B258" s="45" t="s">
        <v>5</v>
      </c>
      <c r="C258" s="170">
        <f>SUM(C227:C257)</f>
        <v>2383100</v>
      </c>
      <c r="D258" s="255">
        <f>SUM(D227:D257)</f>
        <v>0</v>
      </c>
      <c r="E258" s="254">
        <f t="shared" ref="E258:V258" si="7">SUM(E227:E257)</f>
        <v>0</v>
      </c>
      <c r="F258" s="254">
        <f t="shared" si="7"/>
        <v>23800</v>
      </c>
      <c r="G258" s="254">
        <f t="shared" si="7"/>
        <v>0</v>
      </c>
      <c r="H258" s="254">
        <f t="shared" si="7"/>
        <v>0</v>
      </c>
      <c r="I258" s="255">
        <f t="shared" si="7"/>
        <v>0</v>
      </c>
      <c r="J258" s="255">
        <f t="shared" si="7"/>
        <v>0</v>
      </c>
      <c r="K258" s="255">
        <f t="shared" si="7"/>
        <v>0</v>
      </c>
      <c r="L258" s="255">
        <f t="shared" si="7"/>
        <v>0</v>
      </c>
      <c r="M258" s="254">
        <f t="shared" si="7"/>
        <v>0</v>
      </c>
      <c r="N258" s="255">
        <f t="shared" si="7"/>
        <v>0</v>
      </c>
      <c r="O258" s="255">
        <f t="shared" si="7"/>
        <v>0</v>
      </c>
      <c r="P258" s="255">
        <f t="shared" si="7"/>
        <v>0</v>
      </c>
      <c r="Q258" s="255">
        <f t="shared" si="7"/>
        <v>0</v>
      </c>
      <c r="R258" s="255">
        <f t="shared" si="7"/>
        <v>0</v>
      </c>
      <c r="S258" s="255">
        <f t="shared" si="7"/>
        <v>0</v>
      </c>
      <c r="T258" s="255"/>
      <c r="U258" s="255">
        <f t="shared" si="7"/>
        <v>0</v>
      </c>
      <c r="V258" s="255">
        <f t="shared" si="7"/>
        <v>0</v>
      </c>
      <c r="W258" s="314">
        <f>SUM(D258:V258)</f>
        <v>23800</v>
      </c>
    </row>
    <row r="259" spans="1:23" ht="25.5" customHeight="1" thickTop="1">
      <c r="A259" s="50" t="s">
        <v>149</v>
      </c>
      <c r="B259" s="4"/>
      <c r="C259" s="193"/>
      <c r="D259" s="133"/>
      <c r="E259" s="269"/>
      <c r="F259" s="136"/>
      <c r="G259" s="136"/>
      <c r="H259" s="136"/>
      <c r="I259" s="133"/>
      <c r="J259" s="133"/>
      <c r="K259" s="133"/>
      <c r="L259" s="133"/>
      <c r="M259" s="136"/>
      <c r="N259" s="133"/>
      <c r="O259" s="133"/>
      <c r="P259" s="133"/>
      <c r="Q259" s="133"/>
      <c r="R259" s="258"/>
      <c r="S259" s="259"/>
      <c r="T259" s="259"/>
      <c r="U259" s="258"/>
      <c r="V259" s="258"/>
    </row>
    <row r="260" spans="1:23" ht="25.5" customHeight="1">
      <c r="A260" s="9"/>
      <c r="B260" s="186"/>
      <c r="C260" s="296"/>
      <c r="D260" s="133"/>
      <c r="E260" s="269"/>
      <c r="F260" s="136"/>
      <c r="G260" s="136"/>
      <c r="H260" s="136"/>
      <c r="I260" s="133"/>
      <c r="J260" s="133"/>
      <c r="K260" s="133"/>
      <c r="L260" s="133"/>
      <c r="M260" s="136"/>
      <c r="N260" s="133"/>
      <c r="O260" s="133"/>
      <c r="P260" s="133"/>
      <c r="Q260" s="133"/>
      <c r="R260" s="258"/>
      <c r="S260" s="259"/>
      <c r="T260" s="259"/>
      <c r="U260" s="258"/>
      <c r="V260" s="258"/>
    </row>
    <row r="261" spans="1:23" ht="25.5" customHeight="1">
      <c r="A261" s="9"/>
      <c r="B261" s="186"/>
      <c r="C261" s="296"/>
      <c r="D261" s="133"/>
      <c r="E261" s="269"/>
      <c r="F261" s="136"/>
      <c r="G261" s="136"/>
      <c r="H261" s="136"/>
      <c r="I261" s="133"/>
      <c r="J261" s="133"/>
      <c r="K261" s="133"/>
      <c r="L261" s="133"/>
      <c r="M261" s="136"/>
      <c r="N261" s="133"/>
      <c r="O261" s="133"/>
      <c r="P261" s="133"/>
      <c r="Q261" s="133"/>
      <c r="R261" s="258"/>
      <c r="S261" s="259"/>
      <c r="T261" s="259"/>
      <c r="U261" s="258"/>
      <c r="V261" s="258"/>
    </row>
    <row r="262" spans="1:23" ht="25.5" customHeight="1">
      <c r="A262" s="9"/>
      <c r="B262" s="186"/>
      <c r="C262" s="296"/>
      <c r="D262" s="133"/>
      <c r="E262" s="269"/>
      <c r="F262" s="136"/>
      <c r="G262" s="136"/>
      <c r="H262" s="136"/>
      <c r="I262" s="133"/>
      <c r="J262" s="133"/>
      <c r="K262" s="133"/>
      <c r="L262" s="133"/>
      <c r="M262" s="136"/>
      <c r="N262" s="133"/>
      <c r="O262" s="133"/>
      <c r="P262" s="133"/>
      <c r="Q262" s="133"/>
      <c r="R262" s="258"/>
      <c r="S262" s="259"/>
      <c r="T262" s="259"/>
      <c r="U262" s="258"/>
      <c r="V262" s="258"/>
    </row>
    <row r="263" spans="1:23" ht="25.5" customHeight="1">
      <c r="A263" s="9"/>
      <c r="B263" s="186"/>
      <c r="C263" s="296"/>
      <c r="D263" s="131"/>
      <c r="E263" s="267"/>
      <c r="F263" s="135"/>
      <c r="G263" s="135"/>
      <c r="H263" s="135"/>
      <c r="I263" s="131"/>
      <c r="J263" s="131"/>
      <c r="K263" s="131"/>
      <c r="L263" s="131"/>
      <c r="M263" s="135"/>
      <c r="N263" s="131"/>
      <c r="O263" s="131"/>
      <c r="P263" s="131"/>
      <c r="Q263" s="131"/>
      <c r="R263" s="217"/>
      <c r="S263" s="219"/>
      <c r="T263" s="219"/>
      <c r="U263" s="217"/>
      <c r="V263" s="217"/>
    </row>
    <row r="264" spans="1:23" ht="25.5" customHeight="1">
      <c r="A264" s="9"/>
      <c r="B264" s="186"/>
      <c r="C264" s="296"/>
      <c r="D264" s="131"/>
      <c r="E264" s="267"/>
      <c r="F264" s="135"/>
      <c r="G264" s="135"/>
      <c r="H264" s="135"/>
      <c r="I264" s="131"/>
      <c r="J264" s="131"/>
      <c r="K264" s="131"/>
      <c r="L264" s="131"/>
      <c r="M264" s="135"/>
      <c r="N264" s="131"/>
      <c r="O264" s="131"/>
      <c r="P264" s="131"/>
      <c r="Q264" s="131"/>
      <c r="R264" s="217"/>
      <c r="S264" s="219"/>
      <c r="T264" s="219"/>
      <c r="U264" s="217"/>
      <c r="V264" s="217"/>
    </row>
    <row r="265" spans="1:23" ht="25.5" customHeight="1">
      <c r="A265" s="9"/>
      <c r="B265" s="186"/>
      <c r="C265" s="296"/>
      <c r="D265" s="131"/>
      <c r="E265" s="267"/>
      <c r="F265" s="135"/>
      <c r="G265" s="135"/>
      <c r="H265" s="135"/>
      <c r="I265" s="131"/>
      <c r="J265" s="131"/>
      <c r="K265" s="131"/>
      <c r="L265" s="131"/>
      <c r="M265" s="135"/>
      <c r="N265" s="131"/>
      <c r="O265" s="131"/>
      <c r="P265" s="131"/>
      <c r="Q265" s="131"/>
      <c r="R265" s="217"/>
      <c r="S265" s="219"/>
      <c r="T265" s="219"/>
      <c r="U265" s="217"/>
      <c r="V265" s="217"/>
    </row>
    <row r="266" spans="1:23" ht="25.5" customHeight="1">
      <c r="A266" s="9"/>
      <c r="B266" s="186"/>
      <c r="C266" s="296"/>
      <c r="D266" s="131"/>
      <c r="E266" s="267"/>
      <c r="F266" s="135"/>
      <c r="G266" s="135"/>
      <c r="H266" s="135"/>
      <c r="I266" s="131"/>
      <c r="J266" s="131"/>
      <c r="K266" s="131"/>
      <c r="L266" s="131"/>
      <c r="M266" s="135"/>
      <c r="N266" s="131"/>
      <c r="O266" s="131"/>
      <c r="P266" s="131"/>
      <c r="Q266" s="131"/>
      <c r="R266" s="217"/>
      <c r="S266" s="219"/>
      <c r="T266" s="219"/>
      <c r="U266" s="217"/>
      <c r="V266" s="217"/>
    </row>
    <row r="267" spans="1:23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1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</row>
    <row r="268" spans="1:23" ht="25.5" customHeight="1" thickBot="1">
      <c r="A268" s="15"/>
      <c r="B268" s="14" t="s">
        <v>5</v>
      </c>
      <c r="C268" s="170">
        <f>SUM(C260:C267)</f>
        <v>0</v>
      </c>
      <c r="D268" s="255">
        <f>SUM(D260:D267)</f>
        <v>0</v>
      </c>
      <c r="E268" s="254">
        <f t="shared" ref="E268:V268" si="8">SUM(E260:E267)</f>
        <v>0</v>
      </c>
      <c r="F268" s="254">
        <f t="shared" si="8"/>
        <v>0</v>
      </c>
      <c r="G268" s="254">
        <f t="shared" si="8"/>
        <v>0</v>
      </c>
      <c r="H268" s="254">
        <f t="shared" si="8"/>
        <v>0</v>
      </c>
      <c r="I268" s="255">
        <f t="shared" si="8"/>
        <v>0</v>
      </c>
      <c r="J268" s="255">
        <f t="shared" si="8"/>
        <v>0</v>
      </c>
      <c r="K268" s="255">
        <f t="shared" si="8"/>
        <v>0</v>
      </c>
      <c r="L268" s="255">
        <f t="shared" si="8"/>
        <v>0</v>
      </c>
      <c r="M268" s="254">
        <f t="shared" si="8"/>
        <v>0</v>
      </c>
      <c r="N268" s="255">
        <f t="shared" si="8"/>
        <v>0</v>
      </c>
      <c r="O268" s="255">
        <f t="shared" si="8"/>
        <v>0</v>
      </c>
      <c r="P268" s="255">
        <f t="shared" si="8"/>
        <v>0</v>
      </c>
      <c r="Q268" s="255">
        <f t="shared" si="8"/>
        <v>0</v>
      </c>
      <c r="R268" s="255">
        <f t="shared" si="8"/>
        <v>0</v>
      </c>
      <c r="S268" s="255">
        <f t="shared" si="8"/>
        <v>0</v>
      </c>
      <c r="T268" s="255"/>
      <c r="U268" s="255">
        <f t="shared" si="8"/>
        <v>0</v>
      </c>
      <c r="V268" s="255">
        <f t="shared" si="8"/>
        <v>0</v>
      </c>
      <c r="W268" s="314">
        <f>SUM(D268:V268)</f>
        <v>0</v>
      </c>
    </row>
    <row r="269" spans="1:23" ht="25.5" customHeight="1" thickTop="1">
      <c r="A269" s="20" t="s">
        <v>24</v>
      </c>
      <c r="B269" s="23"/>
      <c r="C269" s="190"/>
      <c r="D269" s="133"/>
      <c r="E269" s="269"/>
      <c r="F269" s="136"/>
      <c r="G269" s="136"/>
      <c r="H269" s="136"/>
      <c r="I269" s="133"/>
      <c r="J269" s="133"/>
      <c r="K269" s="133"/>
      <c r="L269" s="133"/>
      <c r="M269" s="136"/>
      <c r="N269" s="133"/>
      <c r="O269" s="133"/>
      <c r="P269" s="133"/>
      <c r="Q269" s="133"/>
      <c r="R269" s="258"/>
      <c r="S269" s="259"/>
      <c r="T269" s="259"/>
      <c r="U269" s="258"/>
      <c r="V269" s="258"/>
    </row>
    <row r="270" spans="1:23" ht="25.5" customHeight="1">
      <c r="A270" s="20"/>
      <c r="B270" s="130" t="s">
        <v>406</v>
      </c>
      <c r="C270" s="192">
        <v>121500</v>
      </c>
      <c r="D270" s="131">
        <v>121500</v>
      </c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>
      <c r="A271" s="20"/>
      <c r="B271" s="130" t="s">
        <v>405</v>
      </c>
      <c r="C271" s="192">
        <v>105000</v>
      </c>
      <c r="D271" s="131">
        <v>105000</v>
      </c>
      <c r="E271" s="267"/>
      <c r="F271" s="135"/>
      <c r="G271" s="135"/>
      <c r="H271" s="135"/>
      <c r="I271" s="131"/>
      <c r="J271" s="131"/>
      <c r="K271" s="131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</row>
    <row r="272" spans="1:23" ht="25.5" customHeight="1" thickBot="1">
      <c r="A272" s="15"/>
      <c r="B272" s="14" t="s">
        <v>5</v>
      </c>
      <c r="C272" s="298">
        <f>SUM(C270:C271)</f>
        <v>226500</v>
      </c>
      <c r="D272" s="255">
        <f>SUM(D270:D271)</f>
        <v>226500</v>
      </c>
      <c r="E272" s="254">
        <f t="shared" ref="E272:V272" si="9">SUM(E270:E271)</f>
        <v>0</v>
      </c>
      <c r="F272" s="254">
        <f t="shared" si="9"/>
        <v>0</v>
      </c>
      <c r="G272" s="254">
        <f t="shared" si="9"/>
        <v>0</v>
      </c>
      <c r="H272" s="254">
        <f t="shared" si="9"/>
        <v>0</v>
      </c>
      <c r="I272" s="255">
        <f t="shared" si="9"/>
        <v>0</v>
      </c>
      <c r="J272" s="255">
        <f t="shared" si="9"/>
        <v>0</v>
      </c>
      <c r="K272" s="255">
        <f t="shared" si="9"/>
        <v>0</v>
      </c>
      <c r="L272" s="255">
        <f t="shared" si="9"/>
        <v>0</v>
      </c>
      <c r="M272" s="254">
        <f t="shared" si="9"/>
        <v>0</v>
      </c>
      <c r="N272" s="255">
        <f t="shared" si="9"/>
        <v>0</v>
      </c>
      <c r="O272" s="255">
        <f t="shared" si="9"/>
        <v>0</v>
      </c>
      <c r="P272" s="255">
        <f t="shared" si="9"/>
        <v>0</v>
      </c>
      <c r="Q272" s="255">
        <f t="shared" si="9"/>
        <v>0</v>
      </c>
      <c r="R272" s="255">
        <f t="shared" si="9"/>
        <v>0</v>
      </c>
      <c r="S272" s="255">
        <f t="shared" si="9"/>
        <v>0</v>
      </c>
      <c r="T272" s="255"/>
      <c r="U272" s="255">
        <f t="shared" si="9"/>
        <v>0</v>
      </c>
      <c r="V272" s="255">
        <f t="shared" si="9"/>
        <v>0</v>
      </c>
      <c r="W272" s="314">
        <f>SUM(D272:V272)</f>
        <v>226500</v>
      </c>
    </row>
    <row r="273" spans="1:23" ht="25.5" customHeight="1" thickTop="1">
      <c r="A273" s="20" t="s">
        <v>44</v>
      </c>
      <c r="B273" s="23"/>
      <c r="C273" s="193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85"/>
      <c r="C274" s="192"/>
      <c r="D274" s="133"/>
      <c r="E274" s="269"/>
      <c r="F274" s="136"/>
      <c r="G274" s="136"/>
      <c r="H274" s="136"/>
      <c r="I274" s="133"/>
      <c r="J274" s="133"/>
      <c r="K274" s="133"/>
      <c r="L274" s="133"/>
      <c r="M274" s="136"/>
      <c r="N274" s="133"/>
      <c r="O274" s="133"/>
      <c r="P274" s="133"/>
      <c r="Q274" s="133"/>
      <c r="R274" s="258"/>
      <c r="S274" s="259"/>
      <c r="T274" s="259"/>
      <c r="U274" s="258"/>
      <c r="V274" s="258"/>
    </row>
    <row r="275" spans="1:23" ht="25.5" customHeight="1">
      <c r="A275" s="20"/>
      <c r="B275" s="185"/>
      <c r="C275" s="190"/>
      <c r="D275" s="133"/>
      <c r="E275" s="269"/>
      <c r="F275" s="136"/>
      <c r="G275" s="136"/>
      <c r="H275" s="136"/>
      <c r="I275" s="133"/>
      <c r="J275" s="133"/>
      <c r="K275" s="133"/>
      <c r="L275" s="133"/>
      <c r="M275" s="136"/>
      <c r="N275" s="133"/>
      <c r="O275" s="133"/>
      <c r="P275" s="133"/>
      <c r="Q275" s="133"/>
      <c r="R275" s="258"/>
      <c r="S275" s="259"/>
      <c r="T275" s="259"/>
      <c r="U275" s="258"/>
      <c r="V275" s="258"/>
    </row>
    <row r="276" spans="1:23" ht="25.5" customHeight="1" thickBot="1">
      <c r="A276" s="15"/>
      <c r="B276" s="53" t="s">
        <v>5</v>
      </c>
      <c r="C276" s="105">
        <f>SUM(C274:C275)</f>
        <v>0</v>
      </c>
      <c r="D276" s="255">
        <f>SUM(D274:D275)</f>
        <v>0</v>
      </c>
      <c r="E276" s="254">
        <f t="shared" ref="E276:V276" si="10">SUM(E274:E275)</f>
        <v>0</v>
      </c>
      <c r="F276" s="254">
        <f t="shared" si="10"/>
        <v>0</v>
      </c>
      <c r="G276" s="254">
        <f t="shared" si="10"/>
        <v>0</v>
      </c>
      <c r="H276" s="254">
        <f t="shared" si="10"/>
        <v>0</v>
      </c>
      <c r="I276" s="255">
        <f t="shared" si="10"/>
        <v>0</v>
      </c>
      <c r="J276" s="255">
        <f t="shared" si="10"/>
        <v>0</v>
      </c>
      <c r="K276" s="255">
        <f t="shared" si="10"/>
        <v>0</v>
      </c>
      <c r="L276" s="255">
        <f t="shared" si="10"/>
        <v>0</v>
      </c>
      <c r="M276" s="254">
        <f t="shared" si="10"/>
        <v>0</v>
      </c>
      <c r="N276" s="255">
        <f t="shared" si="10"/>
        <v>0</v>
      </c>
      <c r="O276" s="255">
        <f t="shared" si="10"/>
        <v>0</v>
      </c>
      <c r="P276" s="255">
        <f t="shared" si="10"/>
        <v>0</v>
      </c>
      <c r="Q276" s="255">
        <f t="shared" si="10"/>
        <v>0</v>
      </c>
      <c r="R276" s="255">
        <f t="shared" si="10"/>
        <v>0</v>
      </c>
      <c r="S276" s="255">
        <f t="shared" si="10"/>
        <v>0</v>
      </c>
      <c r="T276" s="255"/>
      <c r="U276" s="255">
        <f t="shared" si="10"/>
        <v>0</v>
      </c>
      <c r="V276" s="255">
        <f t="shared" si="10"/>
        <v>0</v>
      </c>
      <c r="W276" s="314">
        <f>SUM(D276:V276)</f>
        <v>0</v>
      </c>
    </row>
    <row r="277" spans="1:23" ht="25.5" customHeight="1" thickTop="1">
      <c r="A277" s="20" t="s">
        <v>276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</row>
    <row r="278" spans="1:23" ht="25.5" customHeight="1">
      <c r="A278" s="20"/>
      <c r="B278" s="185" t="s">
        <v>226</v>
      </c>
      <c r="C278" s="192">
        <f>+E278+M278+F278+H278</f>
        <v>0</v>
      </c>
      <c r="D278" s="133"/>
      <c r="E278" s="136"/>
      <c r="F278" s="136"/>
      <c r="G278" s="136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133"/>
      <c r="S278" s="133"/>
      <c r="T278" s="133"/>
      <c r="U278" s="133"/>
      <c r="V278" s="133"/>
    </row>
    <row r="279" spans="1:23" ht="25.5" customHeight="1">
      <c r="A279" s="20"/>
      <c r="B279" s="185" t="s">
        <v>233</v>
      </c>
      <c r="C279" s="299">
        <v>7500</v>
      </c>
      <c r="D279" s="133"/>
      <c r="E279" s="136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133"/>
      <c r="S279" s="133"/>
      <c r="T279" s="133"/>
      <c r="U279" s="133"/>
      <c r="V279" s="133"/>
    </row>
    <row r="280" spans="1:23" ht="25.5" customHeight="1">
      <c r="A280" s="20"/>
      <c r="B280" s="274" t="s">
        <v>378</v>
      </c>
      <c r="C280" s="299">
        <v>37500</v>
      </c>
      <c r="D280" s="133"/>
      <c r="E280" s="136"/>
      <c r="F280" s="136"/>
      <c r="G280" s="136"/>
      <c r="H280" s="136"/>
      <c r="I280" s="133"/>
      <c r="J280" s="133"/>
      <c r="K280" s="133"/>
      <c r="L280" s="133"/>
      <c r="M280" s="136"/>
      <c r="N280" s="133"/>
      <c r="O280" s="133"/>
      <c r="P280" s="133"/>
      <c r="Q280" s="133"/>
      <c r="R280" s="133"/>
      <c r="S280" s="133"/>
      <c r="T280" s="133"/>
      <c r="U280" s="133"/>
      <c r="V280" s="133"/>
    </row>
    <row r="281" spans="1:23" ht="25.5" customHeight="1">
      <c r="A281" s="20"/>
      <c r="B281" s="185" t="s">
        <v>379</v>
      </c>
      <c r="C281" s="299">
        <v>10000</v>
      </c>
      <c r="D281" s="133"/>
      <c r="E281" s="136"/>
      <c r="F281" s="136"/>
      <c r="G281" s="136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133"/>
      <c r="S281" s="133"/>
      <c r="T281" s="133"/>
      <c r="U281" s="133"/>
      <c r="V281" s="133"/>
    </row>
    <row r="282" spans="1:23" ht="25.5" customHeight="1">
      <c r="A282" s="20"/>
      <c r="B282" s="185" t="s">
        <v>382</v>
      </c>
      <c r="C282" s="299">
        <v>1950</v>
      </c>
      <c r="D282" s="133"/>
      <c r="E282" s="136"/>
      <c r="F282" s="136"/>
      <c r="G282" s="136"/>
      <c r="H282" s="136"/>
      <c r="I282" s="133"/>
      <c r="J282" s="133"/>
      <c r="K282" s="133"/>
      <c r="L282" s="133"/>
      <c r="M282" s="136"/>
      <c r="N282" s="133"/>
      <c r="O282" s="133"/>
      <c r="P282" s="133"/>
      <c r="Q282" s="133"/>
      <c r="R282" s="133"/>
      <c r="S282" s="133"/>
      <c r="T282" s="133"/>
      <c r="U282" s="133"/>
      <c r="V282" s="133"/>
    </row>
    <row r="283" spans="1:23" ht="25.5" customHeight="1">
      <c r="A283" s="20"/>
      <c r="B283" s="185" t="s">
        <v>380</v>
      </c>
      <c r="C283" s="299">
        <f>4550+8575</f>
        <v>13125</v>
      </c>
      <c r="D283" s="133"/>
      <c r="E283" s="136"/>
      <c r="F283" s="136"/>
      <c r="G283" s="136"/>
      <c r="H283" s="136"/>
      <c r="I283" s="133"/>
      <c r="J283" s="133"/>
      <c r="K283" s="133"/>
      <c r="L283" s="133"/>
      <c r="M283" s="136"/>
      <c r="N283" s="133"/>
      <c r="O283" s="133"/>
      <c r="P283" s="133"/>
      <c r="Q283" s="133"/>
      <c r="R283" s="133"/>
      <c r="S283" s="133"/>
      <c r="T283" s="133"/>
      <c r="U283" s="133"/>
      <c r="V283" s="133"/>
    </row>
    <row r="284" spans="1:23" ht="25.5" customHeight="1">
      <c r="A284" s="20"/>
      <c r="B284" s="185" t="s">
        <v>386</v>
      </c>
      <c r="C284" s="192">
        <v>409940.96</v>
      </c>
      <c r="D284" s="133"/>
      <c r="E284" s="136"/>
      <c r="F284" s="136"/>
      <c r="G284" s="136"/>
      <c r="H284" s="136"/>
      <c r="I284" s="133"/>
      <c r="J284" s="133"/>
      <c r="K284" s="133"/>
      <c r="L284" s="133"/>
      <c r="M284" s="136"/>
      <c r="N284" s="133"/>
      <c r="O284" s="133"/>
      <c r="P284" s="133"/>
      <c r="Q284" s="133"/>
      <c r="R284" s="133"/>
      <c r="S284" s="133"/>
      <c r="T284" s="133"/>
      <c r="U284" s="133"/>
      <c r="V284" s="133"/>
    </row>
    <row r="285" spans="1:23" ht="25.5" customHeight="1">
      <c r="A285" s="20"/>
      <c r="B285" s="185" t="s">
        <v>387</v>
      </c>
      <c r="C285" s="192">
        <v>40000</v>
      </c>
      <c r="D285" s="133"/>
      <c r="E285" s="136"/>
      <c r="F285" s="136"/>
      <c r="G285" s="136"/>
      <c r="H285" s="136"/>
      <c r="I285" s="133"/>
      <c r="J285" s="133"/>
      <c r="K285" s="133"/>
      <c r="L285" s="133"/>
      <c r="M285" s="136"/>
      <c r="N285" s="133"/>
      <c r="O285" s="133"/>
      <c r="P285" s="133"/>
      <c r="Q285" s="133"/>
      <c r="R285" s="133"/>
      <c r="S285" s="133"/>
      <c r="T285" s="133"/>
      <c r="U285" s="133"/>
      <c r="V285" s="133"/>
    </row>
    <row r="286" spans="1:23" ht="25.5" customHeight="1">
      <c r="A286" s="20"/>
      <c r="B286" s="23"/>
      <c r="C286" s="290"/>
      <c r="D286" s="345"/>
      <c r="E286" s="346"/>
      <c r="F286" s="346"/>
      <c r="G286" s="346"/>
      <c r="H286" s="346"/>
      <c r="I286" s="345"/>
      <c r="J286" s="345"/>
      <c r="K286" s="345"/>
      <c r="L286" s="345"/>
      <c r="M286" s="346"/>
      <c r="N286" s="345"/>
      <c r="O286" s="345"/>
      <c r="P286" s="345"/>
      <c r="Q286" s="345"/>
      <c r="R286" s="345"/>
      <c r="S286" s="345"/>
      <c r="T286" s="345"/>
      <c r="U286" s="345"/>
      <c r="V286" s="345"/>
    </row>
    <row r="287" spans="1:23" ht="25.5" customHeight="1">
      <c r="A287" s="20"/>
      <c r="B287" s="23"/>
      <c r="C287" s="290"/>
      <c r="D287" s="345"/>
      <c r="E287" s="346"/>
      <c r="F287" s="346"/>
      <c r="G287" s="346"/>
      <c r="H287" s="346"/>
      <c r="I287" s="345"/>
      <c r="J287" s="345"/>
      <c r="K287" s="345"/>
      <c r="L287" s="345"/>
      <c r="M287" s="346"/>
      <c r="N287" s="345"/>
      <c r="O287" s="345"/>
      <c r="P287" s="345"/>
      <c r="Q287" s="345"/>
      <c r="R287" s="345"/>
      <c r="S287" s="345"/>
      <c r="T287" s="345"/>
      <c r="U287" s="345"/>
      <c r="V287" s="345"/>
    </row>
    <row r="288" spans="1:23" ht="25.5" customHeight="1" thickBot="1">
      <c r="A288" s="15"/>
      <c r="B288" s="53" t="s">
        <v>5</v>
      </c>
      <c r="C288" s="105">
        <f>SUM(C278:C285)</f>
        <v>520015.96</v>
      </c>
      <c r="D288" s="132">
        <f>SUM(D278:D285)</f>
        <v>0</v>
      </c>
      <c r="E288" s="137">
        <f>SUM(E278:E285)</f>
        <v>0</v>
      </c>
      <c r="F288" s="137">
        <f>SUM(F278:F285)</f>
        <v>0</v>
      </c>
      <c r="G288" s="137">
        <f t="shared" ref="G288:V288" si="11">SUM(G278:G285)</f>
        <v>0</v>
      </c>
      <c r="H288" s="137">
        <f>SUM(H278:H285)</f>
        <v>0</v>
      </c>
      <c r="I288" s="132">
        <f>SUM(I278:I285)</f>
        <v>0</v>
      </c>
      <c r="J288" s="132">
        <f t="shared" si="11"/>
        <v>0</v>
      </c>
      <c r="K288" s="132">
        <f t="shared" si="11"/>
        <v>0</v>
      </c>
      <c r="L288" s="132">
        <f t="shared" si="11"/>
        <v>0</v>
      </c>
      <c r="M288" s="137">
        <f>SUM(M278:M285)</f>
        <v>0</v>
      </c>
      <c r="N288" s="132">
        <f t="shared" si="11"/>
        <v>0</v>
      </c>
      <c r="O288" s="132">
        <f t="shared" si="11"/>
        <v>0</v>
      </c>
      <c r="P288" s="132">
        <f t="shared" si="11"/>
        <v>0</v>
      </c>
      <c r="Q288" s="132">
        <f t="shared" si="11"/>
        <v>0</v>
      </c>
      <c r="R288" s="132">
        <f t="shared" si="11"/>
        <v>0</v>
      </c>
      <c r="S288" s="132">
        <f t="shared" si="11"/>
        <v>0</v>
      </c>
      <c r="T288" s="132"/>
      <c r="U288" s="132">
        <f t="shared" si="11"/>
        <v>0</v>
      </c>
      <c r="V288" s="132">
        <f t="shared" si="11"/>
        <v>0</v>
      </c>
      <c r="W288" s="318">
        <f>SUM(D288:V288)</f>
        <v>0</v>
      </c>
    </row>
    <row r="289" spans="1:23" ht="25.5" customHeight="1" thickTop="1" thickBot="1">
      <c r="A289" s="16"/>
      <c r="B289" s="52" t="s">
        <v>49</v>
      </c>
      <c r="C289" s="229">
        <f>+C268+C258+C221+C210+C204++C49+C38+C21+C176+C28+C224</f>
        <v>39148280</v>
      </c>
      <c r="D289" s="229">
        <f>+D268+D258+D221+D210+D204++D49+D38+D21+D176+D28+D224</f>
        <v>891836</v>
      </c>
      <c r="E289" s="229">
        <f t="shared" ref="E289:V289" si="12">+E268+E258+E221+E210+E204++E49+E38+E21+E176+E28+E224</f>
        <v>816942.27</v>
      </c>
      <c r="F289" s="229">
        <f t="shared" si="12"/>
        <v>195665.4</v>
      </c>
      <c r="G289" s="229">
        <f t="shared" si="12"/>
        <v>53210</v>
      </c>
      <c r="H289" s="229">
        <f t="shared" si="12"/>
        <v>434657.04</v>
      </c>
      <c r="I289" s="229">
        <f t="shared" si="12"/>
        <v>900400</v>
      </c>
      <c r="J289" s="229">
        <f t="shared" si="12"/>
        <v>0</v>
      </c>
      <c r="K289" s="229">
        <f t="shared" si="12"/>
        <v>0</v>
      </c>
      <c r="L289" s="229">
        <f t="shared" si="12"/>
        <v>0</v>
      </c>
      <c r="M289" s="229">
        <f t="shared" si="12"/>
        <v>177452.7</v>
      </c>
      <c r="N289" s="229">
        <f t="shared" si="12"/>
        <v>0</v>
      </c>
      <c r="O289" s="229">
        <f t="shared" si="12"/>
        <v>0</v>
      </c>
      <c r="P289" s="229">
        <f t="shared" si="12"/>
        <v>0</v>
      </c>
      <c r="Q289" s="229">
        <f t="shared" si="12"/>
        <v>0</v>
      </c>
      <c r="R289" s="229">
        <f t="shared" si="12"/>
        <v>8450</v>
      </c>
      <c r="S289" s="229">
        <f t="shared" si="12"/>
        <v>4980</v>
      </c>
      <c r="T289" s="229"/>
      <c r="U289" s="229">
        <f t="shared" si="12"/>
        <v>0</v>
      </c>
      <c r="V289" s="51">
        <f t="shared" si="12"/>
        <v>4715</v>
      </c>
      <c r="W289" s="314">
        <f>SUM(D289:V289)</f>
        <v>3488308.41</v>
      </c>
    </row>
    <row r="290" spans="1:23" ht="25.5" customHeight="1" thickTop="1" thickBot="1">
      <c r="A290" s="16"/>
      <c r="B290" s="41" t="s">
        <v>25</v>
      </c>
      <c r="C290" s="260">
        <f>+C288+C276+C272+C268+C258+C224+C221+C210+C176+C49+C28+C21+C38++C204</f>
        <v>39894795.960000001</v>
      </c>
      <c r="D290" s="260">
        <f>+D288+D276+D272+D268+D258+D224+D221+D210+D176+D49+D28+D21+D38++D204</f>
        <v>1118336</v>
      </c>
      <c r="E290" s="260">
        <f>+E288+E276+E272+E268+E258+E224+E221+E210+E176+E49+E28+E21+E38++E204</f>
        <v>816942.27</v>
      </c>
      <c r="F290" s="260">
        <f>+F288+F276+F272+F268+F258+F224+F221+F210+F176+F49+F28+F21+F38++F204</f>
        <v>195665.4</v>
      </c>
      <c r="G290" s="260">
        <f t="shared" ref="G290:V290" si="13">+G288+G276+G272+G268+G258+G224+G221+G210+G176+G49+G28+G21+G38++G204</f>
        <v>53210</v>
      </c>
      <c r="H290" s="260">
        <f>+H288+H276+H272+H268+H258+H224+H221+H210+H176+H49+H28+H21+H38++H204</f>
        <v>434657.04</v>
      </c>
      <c r="I290" s="260">
        <f t="shared" si="13"/>
        <v>900400</v>
      </c>
      <c r="J290" s="260">
        <f t="shared" si="13"/>
        <v>0</v>
      </c>
      <c r="K290" s="260">
        <f t="shared" si="13"/>
        <v>0</v>
      </c>
      <c r="L290" s="260">
        <f t="shared" si="13"/>
        <v>0</v>
      </c>
      <c r="M290" s="260">
        <f>+M288+M276+M272+M268+M258+M224+M221+M210+M176+M49+M28+M21+M38++M204</f>
        <v>177452.7</v>
      </c>
      <c r="N290" s="260">
        <f t="shared" si="13"/>
        <v>0</v>
      </c>
      <c r="O290" s="260">
        <f t="shared" si="13"/>
        <v>0</v>
      </c>
      <c r="P290" s="260">
        <f t="shared" si="13"/>
        <v>0</v>
      </c>
      <c r="Q290" s="260">
        <f t="shared" si="13"/>
        <v>0</v>
      </c>
      <c r="R290" s="260">
        <f t="shared" si="13"/>
        <v>8450</v>
      </c>
      <c r="S290" s="260">
        <f t="shared" si="13"/>
        <v>4980</v>
      </c>
      <c r="T290" s="260"/>
      <c r="U290" s="260">
        <f t="shared" si="13"/>
        <v>0</v>
      </c>
      <c r="V290" s="309">
        <f t="shared" si="13"/>
        <v>4715</v>
      </c>
      <c r="W290" s="319">
        <f>SUM(D290:V290)</f>
        <v>3714808.41</v>
      </c>
    </row>
    <row r="291" spans="1:23" ht="25.5" customHeight="1" thickTop="1">
      <c r="B291" s="246" t="s">
        <v>407</v>
      </c>
      <c r="C291" s="249"/>
      <c r="D291" s="300"/>
      <c r="E291" s="301"/>
      <c r="F291" s="302"/>
      <c r="G291" s="302"/>
      <c r="H291" s="302"/>
      <c r="I291" s="300"/>
      <c r="J291" s="300"/>
      <c r="K291" s="300"/>
      <c r="L291" s="300"/>
      <c r="M291" s="302"/>
      <c r="N291" s="300"/>
      <c r="O291" s="300"/>
      <c r="P291" s="300"/>
      <c r="Q291" s="300"/>
      <c r="R291" s="303"/>
      <c r="S291" s="304"/>
      <c r="T291" s="304"/>
      <c r="U291" s="303"/>
      <c r="V291" s="303"/>
      <c r="W291" s="246" t="s">
        <v>384</v>
      </c>
    </row>
    <row r="292" spans="1:23" ht="25.5" customHeight="1">
      <c r="C292" s="249"/>
      <c r="D292" s="35"/>
      <c r="E292" s="266"/>
      <c r="F292" s="134"/>
      <c r="G292" s="134"/>
      <c r="H292" s="134"/>
      <c r="I292" s="35"/>
      <c r="J292" s="35"/>
      <c r="K292" s="35"/>
      <c r="L292" s="35"/>
      <c r="M292" s="134"/>
      <c r="N292" s="35"/>
      <c r="O292" s="35"/>
      <c r="P292" s="35"/>
      <c r="Q292" s="35"/>
      <c r="R292" s="34"/>
      <c r="S292" s="171"/>
      <c r="T292" s="171"/>
      <c r="U292" s="34"/>
      <c r="V292" s="34"/>
      <c r="W292"/>
    </row>
    <row r="293" spans="1:23" ht="25.5" customHeight="1">
      <c r="B293" s="344">
        <f>39148280-C289</f>
        <v>0</v>
      </c>
      <c r="C293" s="249"/>
      <c r="D293" s="35"/>
      <c r="E293" s="266"/>
      <c r="F293" s="134"/>
      <c r="G293" s="134"/>
      <c r="H293" s="134"/>
      <c r="I293" s="35"/>
      <c r="J293" s="35"/>
      <c r="K293" s="35"/>
      <c r="L293" s="35"/>
      <c r="M293" s="134"/>
      <c r="N293" s="35"/>
      <c r="O293" s="35"/>
      <c r="P293" s="35"/>
      <c r="Q293" s="35"/>
      <c r="R293" s="34"/>
      <c r="S293" s="171"/>
      <c r="T293" s="171"/>
      <c r="U293" s="34"/>
      <c r="V293" s="34"/>
      <c r="W293" s="253">
        <f>39148280-C289</f>
        <v>0</v>
      </c>
    </row>
    <row r="294" spans="1:23" ht="25.5" customHeight="1">
      <c r="C294" s="182"/>
      <c r="D294" s="181"/>
      <c r="E294" s="272"/>
      <c r="F294" s="265"/>
      <c r="G294" s="265"/>
      <c r="H294" s="265"/>
      <c r="I294" s="181"/>
      <c r="J294" s="181"/>
      <c r="K294" s="181"/>
      <c r="L294" s="181"/>
      <c r="M294" s="265"/>
      <c r="N294" s="181"/>
      <c r="O294" s="181"/>
      <c r="P294" s="181"/>
      <c r="Q294" s="181"/>
      <c r="R294" s="221"/>
      <c r="S294" s="234"/>
      <c r="T294" s="234"/>
      <c r="U294" s="221"/>
      <c r="V294" s="221"/>
      <c r="W294" s="322">
        <v>3481053.41</v>
      </c>
    </row>
    <row r="295" spans="1:23" ht="25.5" customHeight="1">
      <c r="C295" s="182"/>
      <c r="D295" s="181"/>
      <c r="E295" s="272"/>
      <c r="F295" s="265"/>
      <c r="G295" s="265"/>
      <c r="H295" s="265"/>
      <c r="I295" s="181"/>
      <c r="J295" s="181"/>
      <c r="K295" s="181"/>
      <c r="L295" s="181"/>
      <c r="M295" s="265"/>
      <c r="N295" s="181"/>
      <c r="O295" s="181"/>
      <c r="P295" s="181"/>
      <c r="Q295" s="181"/>
      <c r="R295" s="221"/>
      <c r="S295" s="234"/>
      <c r="T295" s="234"/>
      <c r="U295" s="221"/>
      <c r="V295" s="221"/>
      <c r="W295" s="328">
        <v>3707553.41</v>
      </c>
    </row>
    <row r="296" spans="1:23" ht="25.5" customHeight="1">
      <c r="C296" s="182"/>
      <c r="D296" s="181"/>
      <c r="E296" s="272"/>
      <c r="F296" s="265"/>
      <c r="G296" s="265"/>
      <c r="H296" s="265"/>
      <c r="I296" s="181"/>
      <c r="J296" s="181"/>
      <c r="K296" s="181"/>
      <c r="L296" s="181"/>
      <c r="M296" s="265"/>
      <c r="N296" s="181"/>
      <c r="O296" s="181"/>
      <c r="P296" s="181"/>
      <c r="Q296" s="181"/>
      <c r="R296" s="221"/>
      <c r="S296" s="234"/>
      <c r="T296" s="234"/>
      <c r="U296" s="221"/>
      <c r="V296" s="221"/>
      <c r="W296" s="321"/>
    </row>
    <row r="297" spans="1:23" ht="25.5" customHeight="1">
      <c r="D297" s="181"/>
      <c r="E297" s="272"/>
      <c r="F297" s="265"/>
      <c r="G297" s="265"/>
      <c r="H297" s="265"/>
      <c r="I297" s="181"/>
      <c r="J297" s="181"/>
      <c r="K297" s="181"/>
      <c r="L297" s="181"/>
      <c r="M297" s="265"/>
      <c r="N297" s="181"/>
      <c r="O297" s="181"/>
      <c r="P297" s="181"/>
      <c r="Q297" s="181"/>
      <c r="R297" s="221"/>
      <c r="S297" s="234"/>
      <c r="T297" s="234"/>
      <c r="U297" s="221"/>
      <c r="V297" s="221"/>
      <c r="W297" s="321"/>
    </row>
    <row r="298" spans="1:23" ht="25.5" customHeight="1"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</row>
    <row r="299" spans="1:23" ht="25.5" customHeight="1"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</row>
    <row r="300" spans="1:23" ht="25.5" customHeight="1"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</row>
    <row r="301" spans="1:23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</row>
    <row r="302" spans="1:23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3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3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4:22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4:22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4:22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4:22" ht="25.5" customHeight="1"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</row>
    <row r="309" spans="4:22" ht="25.5" customHeight="1"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</row>
    <row r="310" spans="4:22" ht="25.5" customHeight="1"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</row>
    <row r="311" spans="4:22" ht="25.5" customHeight="1"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</row>
    <row r="312" spans="4:22" ht="25.5" customHeight="1"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</row>
    <row r="313" spans="4:22" ht="25.5" customHeight="1"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</row>
    <row r="314" spans="4:22" ht="25.5" customHeight="1"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</row>
    <row r="315" spans="4:22" ht="25.5" customHeight="1"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</row>
    <row r="316" spans="4:22" ht="25.5" customHeight="1"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</row>
    <row r="317" spans="4:22" ht="25.5" customHeight="1"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</row>
    <row r="318" spans="4:22" ht="25.5" customHeight="1"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</row>
    <row r="319" spans="4:22" ht="25.5" customHeight="1"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</row>
    <row r="320" spans="4:22" ht="25.5" customHeight="1"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</row>
    <row r="321" spans="4:22" ht="25.5" customHeight="1"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</row>
    <row r="322" spans="4:22" ht="25.5" customHeight="1"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</row>
    <row r="323" spans="4:22" ht="25.5" customHeight="1"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</row>
    <row r="324" spans="4:22" ht="25.5" customHeight="1"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</row>
    <row r="325" spans="4:22" ht="25.5" customHeight="1"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</row>
    <row r="326" spans="4:22" ht="25.5" customHeight="1"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</row>
    <row r="327" spans="4:22" ht="25.5" customHeight="1"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</row>
    <row r="328" spans="4:22" ht="25.5" customHeight="1"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</row>
    <row r="329" spans="4:22" ht="25.5" customHeight="1"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</row>
    <row r="330" spans="4:22" ht="25.5" customHeight="1"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</row>
    <row r="331" spans="4:22" ht="25.5" customHeight="1"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</row>
    <row r="332" spans="4:22" ht="25.5" customHeight="1"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</row>
    <row r="333" spans="4:22" ht="25.5" customHeight="1"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</row>
    <row r="334" spans="4:22" ht="25.5" customHeight="1"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</row>
    <row r="335" spans="4:22" ht="25.5" customHeight="1"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</row>
    <row r="336" spans="4:22" ht="25.5" customHeight="1"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</row>
    <row r="337" spans="4:22" ht="25.5" customHeight="1"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</row>
    <row r="338" spans="4:22" ht="25.5" customHeight="1"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</row>
    <row r="339" spans="4:22" ht="25.5" customHeight="1"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</row>
    <row r="340" spans="4:22" ht="25.5" customHeight="1"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</row>
    <row r="341" spans="4:22" ht="25.5" customHeight="1"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</row>
    <row r="342" spans="4:22" ht="25.5" customHeight="1"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</row>
    <row r="343" spans="4:22" ht="25.5" customHeight="1"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</row>
    <row r="344" spans="4:22" ht="25.5" customHeight="1"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</row>
    <row r="345" spans="4:22" ht="25.5" customHeight="1"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</row>
    <row r="346" spans="4:22" ht="25.5" customHeight="1"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</row>
    <row r="347" spans="4:22" ht="25.5" customHeight="1"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</row>
    <row r="348" spans="4:22" ht="25.5" customHeight="1"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</row>
    <row r="349" spans="4:22" ht="25.5" customHeight="1"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</row>
    <row r="350" spans="4:22" ht="25.5" customHeight="1"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</row>
    <row r="351" spans="4:22" ht="25.5" customHeight="1"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</row>
    <row r="352" spans="4:22" ht="25.5" customHeight="1"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</row>
    <row r="353" spans="4:22" ht="25.5" customHeight="1"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</row>
    <row r="354" spans="4:22" ht="25.5" customHeight="1"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</row>
    <row r="355" spans="4:22" ht="25.5" customHeight="1"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</row>
    <row r="356" spans="4:22" ht="25.5" customHeight="1"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</row>
    <row r="357" spans="4:22" ht="25.5" customHeight="1"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</row>
    <row r="358" spans="4:22" ht="25.5" customHeight="1"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</row>
    <row r="359" spans="4:22" ht="25.5" customHeight="1"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</row>
    <row r="360" spans="4:22" ht="25.5" customHeight="1"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</row>
    <row r="361" spans="4:22" ht="25.5" customHeight="1"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</row>
    <row r="362" spans="4:22" ht="25.5" customHeight="1"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</row>
    <row r="363" spans="4:22" ht="25.5" customHeight="1"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</row>
    <row r="364" spans="4:22" ht="25.5" customHeight="1"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</row>
    <row r="365" spans="4:22" ht="25.5" customHeight="1"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</row>
    <row r="366" spans="4:22" ht="25.5" customHeight="1"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</row>
    <row r="367" spans="4:22" ht="25.5" customHeight="1"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</row>
    <row r="368" spans="4:22" ht="25.5" customHeight="1"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</row>
    <row r="369" spans="4:22" ht="25.5" customHeight="1"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</row>
    <row r="370" spans="4:22" ht="25.5" customHeight="1"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</row>
    <row r="371" spans="4:22" ht="25.5" customHeight="1"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</row>
    <row r="372" spans="4:22" ht="25.5" customHeight="1"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</row>
    <row r="373" spans="4:22" ht="25.5" customHeight="1"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</row>
    <row r="374" spans="4:22" ht="25.5" customHeight="1"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</row>
    <row r="375" spans="4:22" ht="25.5" customHeight="1"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</row>
    <row r="376" spans="4:22" ht="25.5" customHeight="1"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</row>
    <row r="377" spans="4:22" ht="25.5" customHeight="1"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</row>
  </sheetData>
  <mergeCells count="32">
    <mergeCell ref="P7:P8"/>
    <mergeCell ref="Q7:Q8"/>
    <mergeCell ref="R7:R8"/>
    <mergeCell ref="S7:S8"/>
    <mergeCell ref="U7:U8"/>
    <mergeCell ref="V7:V8"/>
    <mergeCell ref="I7:I8"/>
    <mergeCell ref="J7:J8"/>
    <mergeCell ref="K7:K8"/>
    <mergeCell ref="M7:M8"/>
    <mergeCell ref="N7:N8"/>
    <mergeCell ref="O7:O8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</mergeCells>
  <pageMargins left="0.15748031496062992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X376"/>
  <sheetViews>
    <sheetView workbookViewId="0">
      <pane ySplit="8" topLeftCell="A75" activePane="bottomLeft" state="frozen"/>
      <selection activeCell="D177" sqref="D177"/>
      <selection pane="bottomLeft" activeCell="N18" sqref="N18"/>
    </sheetView>
  </sheetViews>
  <sheetFormatPr defaultRowHeight="25.5" customHeight="1"/>
  <cols>
    <col min="1" max="1" width="1.140625" customWidth="1"/>
    <col min="2" max="2" width="25.85546875" customWidth="1"/>
    <col min="3" max="3" width="11.28515625" style="282" customWidth="1"/>
    <col min="4" max="4" width="9.7109375" style="33" customWidth="1"/>
    <col min="5" max="5" width="9.5703125" style="273" customWidth="1"/>
    <col min="6" max="6" width="8.85546875" style="138" customWidth="1"/>
    <col min="7" max="7" width="9" style="138" customWidth="1"/>
    <col min="8" max="8" width="9.5703125" style="138" customWidth="1"/>
    <col min="9" max="9" width="7.140625" style="33" customWidth="1"/>
    <col min="10" max="10" width="8.42578125" style="33" customWidth="1"/>
    <col min="11" max="12" width="1.85546875" style="33" customWidth="1"/>
    <col min="13" max="13" width="9.140625" style="138" customWidth="1"/>
    <col min="14" max="14" width="9.85546875" style="33" customWidth="1"/>
    <col min="15" max="17" width="1.85546875" style="33" customWidth="1"/>
    <col min="18" max="18" width="8.5703125" customWidth="1"/>
    <col min="19" max="20" width="1.42578125" style="168" customWidth="1"/>
    <col min="21" max="21" width="1.28515625" customWidth="1"/>
    <col min="22" max="22" width="7.28515625" customWidth="1"/>
    <col min="23" max="23" width="15.285156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408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28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410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12490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530800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198400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/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2" t="s">
        <v>81</v>
      </c>
      <c r="C19" s="285">
        <v>344150</v>
      </c>
      <c r="D19" s="131"/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6"/>
      <c r="C20" s="290"/>
      <c r="D20" s="195"/>
      <c r="E20" s="270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SUM(C10:C19)</f>
        <v>10086782</v>
      </c>
      <c r="D21" s="132">
        <f>SUM(D10:D19)</f>
        <v>744330</v>
      </c>
      <c r="E21" s="26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744330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v>1283280</v>
      </c>
      <c r="D27" s="131"/>
      <c r="E27" s="267">
        <v>104880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2417520</v>
      </c>
      <c r="D28" s="132">
        <f>SUM(D23:D27)</f>
        <v>0</v>
      </c>
      <c r="E28" s="268">
        <f>SUM(E23:E27)</f>
        <v>199400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199400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</f>
        <v>7021960</v>
      </c>
      <c r="D30" s="133"/>
      <c r="E30" s="269">
        <v>211311</v>
      </c>
      <c r="F30" s="269">
        <v>76170</v>
      </c>
      <c r="G30" s="269"/>
      <c r="H30" s="269">
        <v>72700</v>
      </c>
      <c r="I30" s="269"/>
      <c r="J30" s="269"/>
      <c r="K30" s="269"/>
      <c r="L30" s="269"/>
      <c r="M30" s="269">
        <v>107990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269">
        <v>0</v>
      </c>
      <c r="G31" s="269"/>
      <c r="H31" s="269">
        <v>154260</v>
      </c>
      <c r="I31" s="269"/>
      <c r="J31" s="269"/>
      <c r="K31" s="269"/>
      <c r="L31" s="269"/>
      <c r="M31" s="269"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269">
        <v>0</v>
      </c>
      <c r="G32" s="269"/>
      <c r="H32" s="269">
        <v>0</v>
      </c>
      <c r="I32" s="269"/>
      <c r="J32" s="269"/>
      <c r="K32" s="269"/>
      <c r="L32" s="269"/>
      <c r="M32" s="269"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</f>
        <v>258000</v>
      </c>
      <c r="D33" s="133"/>
      <c r="E33" s="269">
        <v>11000</v>
      </c>
      <c r="F33" s="269">
        <v>0</v>
      </c>
      <c r="G33" s="269"/>
      <c r="H33" s="269">
        <v>3500</v>
      </c>
      <c r="I33" s="269"/>
      <c r="J33" s="269"/>
      <c r="K33" s="269"/>
      <c r="L33" s="269"/>
      <c r="M33" s="269">
        <v>3500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</f>
        <v>2286360</v>
      </c>
      <c r="D34" s="131"/>
      <c r="E34" s="269">
        <v>85330</v>
      </c>
      <c r="F34" s="269">
        <v>58130</v>
      </c>
      <c r="G34" s="269"/>
      <c r="H34" s="269">
        <v>64910</v>
      </c>
      <c r="I34" s="269"/>
      <c r="J34" s="269"/>
      <c r="K34" s="269"/>
      <c r="L34" s="269"/>
      <c r="M34" s="269">
        <v>29240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v>0</v>
      </c>
      <c r="F35" s="269">
        <v>0</v>
      </c>
      <c r="G35" s="269"/>
      <c r="H35" s="269">
        <v>20970</v>
      </c>
      <c r="I35" s="269"/>
      <c r="J35" s="269"/>
      <c r="K35" s="269"/>
      <c r="L35" s="269"/>
      <c r="M35" s="269"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</f>
        <v>232000</v>
      </c>
      <c r="D36" s="131"/>
      <c r="E36" s="269">
        <v>9160</v>
      </c>
      <c r="F36" s="269">
        <v>6355</v>
      </c>
      <c r="G36" s="269"/>
      <c r="H36" s="269">
        <v>8500</v>
      </c>
      <c r="I36" s="269"/>
      <c r="J36" s="269"/>
      <c r="K36" s="269"/>
      <c r="L36" s="269"/>
      <c r="M36" s="269">
        <v>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v>0</v>
      </c>
      <c r="F37" s="269">
        <v>0</v>
      </c>
      <c r="G37" s="269"/>
      <c r="H37" s="269">
        <v>1830</v>
      </c>
      <c r="I37" s="269"/>
      <c r="J37" s="269"/>
      <c r="K37" s="269"/>
      <c r="L37" s="269"/>
      <c r="M37" s="269"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ht="25.5" customHeight="1" thickBot="1">
      <c r="A38" s="46"/>
      <c r="B38" s="47" t="s">
        <v>5</v>
      </c>
      <c r="C38" s="289">
        <f>SUM(C30:C37)</f>
        <v>11982100</v>
      </c>
      <c r="D38" s="255">
        <f>SUM(D30:D37)</f>
        <v>0</v>
      </c>
      <c r="E38" s="254">
        <f>SUM(E30:E37)</f>
        <v>317241</v>
      </c>
      <c r="F38" s="254">
        <f>SUM(F30:F37)</f>
        <v>140655</v>
      </c>
      <c r="G38" s="254">
        <f t="shared" ref="G38:V38" si="2">SUM(G30:G37)</f>
        <v>0</v>
      </c>
      <c r="H38" s="254">
        <f>SUM(H30:H37)</f>
        <v>326670</v>
      </c>
      <c r="I38" s="255">
        <f t="shared" si="2"/>
        <v>0</v>
      </c>
      <c r="J38" s="255">
        <f t="shared" si="2"/>
        <v>0</v>
      </c>
      <c r="K38" s="255">
        <f t="shared" si="2"/>
        <v>0</v>
      </c>
      <c r="L38" s="255">
        <f t="shared" si="2"/>
        <v>0</v>
      </c>
      <c r="M38" s="254">
        <f>SUM(M30:M37)</f>
        <v>140730</v>
      </c>
      <c r="N38" s="255">
        <f t="shared" si="2"/>
        <v>0</v>
      </c>
      <c r="O38" s="255">
        <f t="shared" si="2"/>
        <v>0</v>
      </c>
      <c r="P38" s="255">
        <f t="shared" si="2"/>
        <v>0</v>
      </c>
      <c r="Q38" s="255">
        <f t="shared" si="2"/>
        <v>0</v>
      </c>
      <c r="R38" s="255">
        <f t="shared" si="2"/>
        <v>0</v>
      </c>
      <c r="S38" s="255">
        <f t="shared" si="2"/>
        <v>0</v>
      </c>
      <c r="T38" s="255"/>
      <c r="U38" s="255">
        <f t="shared" si="2"/>
        <v>0</v>
      </c>
      <c r="V38" s="255">
        <f t="shared" si="2"/>
        <v>0</v>
      </c>
      <c r="W38" s="316">
        <f>SUM(D38:V38)</f>
        <v>925296</v>
      </c>
    </row>
    <row r="39" spans="1:23" ht="25.5" customHeight="1" thickTop="1">
      <c r="A39" s="5" t="s">
        <v>98</v>
      </c>
      <c r="B39" s="6"/>
      <c r="C39" s="190"/>
      <c r="D39" s="133"/>
      <c r="E39" s="269"/>
      <c r="F39" s="136"/>
      <c r="G39" s="136"/>
      <c r="H39" s="136"/>
      <c r="I39" s="133"/>
      <c r="J39" s="133"/>
      <c r="K39" s="133"/>
      <c r="L39" s="133"/>
      <c r="M39" s="136"/>
      <c r="N39" s="133"/>
      <c r="O39" s="133"/>
      <c r="P39" s="133"/>
      <c r="Q39" s="133"/>
      <c r="R39" s="217"/>
      <c r="S39" s="219"/>
      <c r="T39" s="259"/>
      <c r="U39" s="258"/>
      <c r="V39" s="258"/>
      <c r="W39" s="317"/>
    </row>
    <row r="40" spans="1:23" ht="25.5" customHeight="1">
      <c r="A40" s="9"/>
      <c r="B40" s="130" t="s">
        <v>93</v>
      </c>
      <c r="C40" s="216">
        <v>5000</v>
      </c>
      <c r="D40" s="133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315"/>
    </row>
    <row r="41" spans="1:23" ht="25.5" customHeight="1">
      <c r="A41" s="9"/>
      <c r="B41" s="130" t="s">
        <v>205</v>
      </c>
      <c r="C41" s="285">
        <v>10000</v>
      </c>
      <c r="D41" s="131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315"/>
    </row>
    <row r="42" spans="1:23" ht="25.5" customHeight="1">
      <c r="A42" s="9"/>
      <c r="B42" s="130" t="s">
        <v>94</v>
      </c>
      <c r="C42" s="285">
        <v>10000</v>
      </c>
      <c r="D42" s="131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311"/>
    </row>
    <row r="43" spans="1:23" ht="25.5" customHeight="1">
      <c r="A43" s="9"/>
      <c r="B43" s="130" t="s">
        <v>95</v>
      </c>
      <c r="C43" s="192">
        <v>5000</v>
      </c>
      <c r="D43" s="131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</row>
    <row r="44" spans="1:23" ht="25.5" customHeight="1">
      <c r="A44" s="9"/>
      <c r="B44" s="130" t="s">
        <v>96</v>
      </c>
      <c r="C44" s="192">
        <v>5000</v>
      </c>
      <c r="D44" s="131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</row>
    <row r="45" spans="1:23" ht="25.5" customHeight="1">
      <c r="A45" s="9"/>
      <c r="B45" s="130" t="s">
        <v>10</v>
      </c>
      <c r="C45" s="216">
        <f>144000+36000+78000+78000</f>
        <v>336000</v>
      </c>
      <c r="D45" s="133"/>
      <c r="E45" s="269">
        <v>10000</v>
      </c>
      <c r="F45" s="269">
        <v>3000</v>
      </c>
      <c r="G45" s="269"/>
      <c r="H45" s="269">
        <v>6500</v>
      </c>
      <c r="I45" s="269"/>
      <c r="J45" s="269"/>
      <c r="K45" s="269"/>
      <c r="L45" s="269"/>
      <c r="M45" s="269">
        <v>6500</v>
      </c>
      <c r="N45" s="269"/>
      <c r="O45" s="269"/>
      <c r="P45" s="269"/>
      <c r="Q45" s="269"/>
      <c r="R45" s="269"/>
      <c r="S45" s="269"/>
      <c r="T45" s="269"/>
      <c r="U45" s="269"/>
      <c r="V45" s="269"/>
    </row>
    <row r="46" spans="1:23" ht="25.5" customHeight="1">
      <c r="A46" s="9"/>
      <c r="B46" s="130" t="s">
        <v>9</v>
      </c>
      <c r="C46" s="216">
        <f>25000+10000+30000+20000</f>
        <v>85000</v>
      </c>
      <c r="D46" s="131"/>
      <c r="E46" s="269">
        <v>12500</v>
      </c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</row>
    <row r="47" spans="1:23" ht="25.5" customHeight="1">
      <c r="A47" s="197"/>
      <c r="B47" s="198" t="s">
        <v>241</v>
      </c>
      <c r="C47" s="286">
        <v>44200</v>
      </c>
      <c r="D47" s="131"/>
      <c r="E47" s="269">
        <v>0</v>
      </c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</row>
    <row r="48" spans="1:23" ht="25.5" customHeight="1" thickBot="1">
      <c r="A48" s="46"/>
      <c r="B48" s="47" t="s">
        <v>5</v>
      </c>
      <c r="C48" s="289">
        <f>SUM(C40:C47)</f>
        <v>500200</v>
      </c>
      <c r="D48" s="255">
        <f>SUM(D40:D47)</f>
        <v>0</v>
      </c>
      <c r="E48" s="254">
        <f>SUM(E40:E47)</f>
        <v>22500</v>
      </c>
      <c r="F48" s="254">
        <f>SUM(F40:F47)</f>
        <v>3000</v>
      </c>
      <c r="G48" s="254">
        <f t="shared" ref="G48:V48" si="3">SUM(G40:G47)</f>
        <v>0</v>
      </c>
      <c r="H48" s="254">
        <f>SUM(H40:H47)</f>
        <v>6500</v>
      </c>
      <c r="I48" s="255">
        <f t="shared" si="3"/>
        <v>0</v>
      </c>
      <c r="J48" s="255">
        <f t="shared" si="3"/>
        <v>0</v>
      </c>
      <c r="K48" s="255">
        <f t="shared" si="3"/>
        <v>0</v>
      </c>
      <c r="L48" s="255">
        <f t="shared" si="3"/>
        <v>0</v>
      </c>
      <c r="M48" s="254">
        <f>SUM(M40:M47)</f>
        <v>6500</v>
      </c>
      <c r="N48" s="255">
        <f t="shared" si="3"/>
        <v>0</v>
      </c>
      <c r="O48" s="255">
        <f t="shared" si="3"/>
        <v>0</v>
      </c>
      <c r="P48" s="255">
        <f t="shared" si="3"/>
        <v>0</v>
      </c>
      <c r="Q48" s="255">
        <f t="shared" si="3"/>
        <v>0</v>
      </c>
      <c r="R48" s="255">
        <f t="shared" si="3"/>
        <v>0</v>
      </c>
      <c r="S48" s="255">
        <f t="shared" si="3"/>
        <v>0</v>
      </c>
      <c r="T48" s="255"/>
      <c r="U48" s="255">
        <f t="shared" si="3"/>
        <v>0</v>
      </c>
      <c r="V48" s="255">
        <f t="shared" si="3"/>
        <v>0</v>
      </c>
      <c r="W48" s="314">
        <f>SUM(D48:V48)</f>
        <v>38500</v>
      </c>
    </row>
    <row r="49" spans="1:22" ht="25.5" customHeight="1" thickTop="1">
      <c r="A49" s="5" t="s">
        <v>99</v>
      </c>
      <c r="B49" s="6"/>
      <c r="C49" s="190"/>
      <c r="D49" s="133"/>
      <c r="E49" s="269"/>
      <c r="F49" s="136"/>
      <c r="G49" s="136"/>
      <c r="H49" s="136"/>
      <c r="I49" s="133"/>
      <c r="J49" s="133"/>
      <c r="K49" s="133"/>
      <c r="L49" s="133"/>
      <c r="M49" s="136"/>
      <c r="N49" s="133"/>
      <c r="O49" s="133"/>
      <c r="P49" s="133"/>
      <c r="Q49" s="133"/>
      <c r="R49" s="217"/>
      <c r="S49" s="219"/>
      <c r="T49" s="259"/>
      <c r="U49" s="258"/>
      <c r="V49" s="258"/>
    </row>
    <row r="50" spans="1:22" ht="25.5" customHeight="1">
      <c r="A50" s="5"/>
      <c r="B50" s="130" t="s">
        <v>100</v>
      </c>
      <c r="C50" s="281">
        <f>15000+7000+20000+15000</f>
        <v>57000</v>
      </c>
      <c r="D50" s="133"/>
      <c r="E50" s="269"/>
      <c r="F50" s="269"/>
      <c r="G50" s="269"/>
      <c r="H50" s="269">
        <v>907</v>
      </c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</row>
    <row r="51" spans="1:22" ht="25.5" customHeight="1">
      <c r="A51" s="5"/>
      <c r="B51" s="130" t="s">
        <v>226</v>
      </c>
      <c r="C51" s="281">
        <f>1044000+124000+384000+296000</f>
        <v>1848000</v>
      </c>
      <c r="D51" s="133"/>
      <c r="E51" s="269">
        <v>128000</v>
      </c>
      <c r="F51" s="269">
        <v>7000</v>
      </c>
      <c r="G51" s="269"/>
      <c r="H51" s="269">
        <v>48000</v>
      </c>
      <c r="I51" s="269"/>
      <c r="J51" s="269"/>
      <c r="K51" s="269"/>
      <c r="L51" s="269"/>
      <c r="M51" s="269">
        <v>37500</v>
      </c>
      <c r="N51" s="269"/>
      <c r="O51" s="269"/>
      <c r="P51" s="269"/>
      <c r="Q51" s="269"/>
      <c r="R51" s="269"/>
      <c r="S51" s="269"/>
      <c r="T51" s="269"/>
      <c r="U51" s="269"/>
      <c r="V51" s="269"/>
    </row>
    <row r="52" spans="1:22" ht="25.5" customHeight="1">
      <c r="A52" s="5"/>
      <c r="B52" s="130" t="s">
        <v>223</v>
      </c>
      <c r="C52" s="281">
        <v>200000</v>
      </c>
      <c r="D52" s="133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</row>
    <row r="53" spans="1:22" ht="25.5" customHeight="1">
      <c r="A53" s="5"/>
      <c r="B53" s="130" t="s">
        <v>224</v>
      </c>
      <c r="C53" s="281">
        <v>20000</v>
      </c>
      <c r="D53" s="133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</row>
    <row r="54" spans="1:22" ht="25.5" customHeight="1">
      <c r="A54" s="5"/>
      <c r="B54" s="130" t="s">
        <v>225</v>
      </c>
      <c r="C54" s="281">
        <v>10000</v>
      </c>
      <c r="D54" s="133"/>
      <c r="E54" s="269">
        <v>2770</v>
      </c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</row>
    <row r="55" spans="1:22" ht="25.5" customHeight="1">
      <c r="A55" s="5"/>
      <c r="B55" s="130" t="s">
        <v>227</v>
      </c>
      <c r="C55" s="281">
        <v>40000</v>
      </c>
      <c r="D55" s="133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</row>
    <row r="56" spans="1:22" ht="25.5" customHeight="1">
      <c r="A56" s="5"/>
      <c r="B56" s="130" t="s">
        <v>228</v>
      </c>
      <c r="C56" s="281">
        <v>9000</v>
      </c>
      <c r="D56" s="133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</row>
    <row r="57" spans="1:22" ht="25.5" customHeight="1">
      <c r="A57" s="5"/>
      <c r="B57" s="130" t="s">
        <v>11</v>
      </c>
      <c r="C57" s="281">
        <v>10000</v>
      </c>
      <c r="D57" s="133"/>
      <c r="E57" s="269"/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</row>
    <row r="58" spans="1:22" ht="25.5" customHeight="1">
      <c r="A58" s="5"/>
      <c r="B58" s="130" t="s">
        <v>229</v>
      </c>
      <c r="C58" s="281">
        <v>10000</v>
      </c>
      <c r="D58" s="133"/>
      <c r="E58" s="269">
        <v>710</v>
      </c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</row>
    <row r="59" spans="1:22" ht="25.5" customHeight="1">
      <c r="A59" s="5"/>
      <c r="B59" s="130" t="s">
        <v>230</v>
      </c>
      <c r="C59" s="281">
        <v>20000</v>
      </c>
      <c r="D59" s="133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</row>
    <row r="60" spans="1:22" ht="25.5" customHeight="1">
      <c r="A60" s="9"/>
      <c r="B60" s="130" t="s">
        <v>50</v>
      </c>
      <c r="C60" s="280">
        <v>10000</v>
      </c>
      <c r="D60" s="133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</row>
    <row r="61" spans="1:22" ht="25.5" customHeight="1">
      <c r="A61" s="9"/>
      <c r="B61" s="130" t="s">
        <v>103</v>
      </c>
      <c r="C61" s="280">
        <v>10000</v>
      </c>
      <c r="D61" s="131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</row>
    <row r="62" spans="1:22" ht="25.5" customHeight="1">
      <c r="A62" s="9"/>
      <c r="B62" s="187" t="s">
        <v>106</v>
      </c>
      <c r="C62" s="283">
        <f>200000+30000+30000+80000</f>
        <v>340000</v>
      </c>
      <c r="D62" s="131"/>
      <c r="E62" s="269">
        <v>2488</v>
      </c>
      <c r="F62" s="269">
        <v>6000</v>
      </c>
      <c r="G62" s="269"/>
      <c r="H62" s="269">
        <v>17764</v>
      </c>
      <c r="I62" s="269"/>
      <c r="J62" s="269"/>
      <c r="K62" s="269"/>
      <c r="L62" s="269"/>
      <c r="M62" s="269"/>
      <c r="N62" s="269"/>
      <c r="O62" s="269"/>
      <c r="P62" s="269"/>
      <c r="Q62" s="269"/>
      <c r="R62" s="269"/>
      <c r="S62" s="269"/>
      <c r="T62" s="269"/>
      <c r="U62" s="269"/>
      <c r="V62" s="269"/>
    </row>
    <row r="63" spans="1:22" ht="25.5" customHeight="1">
      <c r="A63" s="9"/>
      <c r="B63" s="187" t="s">
        <v>231</v>
      </c>
      <c r="C63" s="283">
        <v>5000</v>
      </c>
      <c r="D63" s="131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</row>
    <row r="64" spans="1:22" ht="25.5" customHeight="1">
      <c r="A64" s="9"/>
      <c r="B64" s="187" t="s">
        <v>204</v>
      </c>
      <c r="C64" s="283">
        <v>5000</v>
      </c>
      <c r="D64" s="131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</row>
    <row r="65" spans="1:22" ht="25.5" customHeight="1">
      <c r="A65" s="9"/>
      <c r="B65" s="187" t="s">
        <v>232</v>
      </c>
      <c r="C65" s="283">
        <v>120000</v>
      </c>
      <c r="D65" s="131"/>
      <c r="E65" s="269"/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</row>
    <row r="66" spans="1:22" ht="25.5" customHeight="1">
      <c r="A66" s="9"/>
      <c r="B66" s="187" t="s">
        <v>233</v>
      </c>
      <c r="C66" s="283">
        <v>125000</v>
      </c>
      <c r="D66" s="131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</row>
    <row r="67" spans="1:22" ht="25.5" customHeight="1">
      <c r="A67" s="9"/>
      <c r="B67" s="187" t="s">
        <v>234</v>
      </c>
      <c r="C67" s="283">
        <v>5000</v>
      </c>
      <c r="D67" s="131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</row>
    <row r="68" spans="1:22" ht="25.5" customHeight="1">
      <c r="A68" s="9"/>
      <c r="B68" s="187" t="s">
        <v>235</v>
      </c>
      <c r="C68" s="283">
        <v>90000</v>
      </c>
      <c r="D68" s="131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</row>
    <row r="69" spans="1:22" ht="25.5" customHeight="1">
      <c r="A69" s="9"/>
      <c r="B69" s="187" t="s">
        <v>236</v>
      </c>
      <c r="C69" s="283">
        <v>5000</v>
      </c>
      <c r="D69" s="131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</row>
    <row r="70" spans="1:22" ht="25.5" customHeight="1">
      <c r="A70" s="9"/>
      <c r="B70" s="187" t="s">
        <v>237</v>
      </c>
      <c r="C70" s="283">
        <v>5000</v>
      </c>
      <c r="D70" s="131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</row>
    <row r="71" spans="1:22" ht="25.5" customHeight="1">
      <c r="A71" s="165"/>
      <c r="B71" s="226" t="s">
        <v>277</v>
      </c>
      <c r="C71" s="279">
        <v>5000</v>
      </c>
      <c r="D71" s="131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</row>
    <row r="72" spans="1:22" ht="25.5" customHeight="1">
      <c r="A72" s="165"/>
      <c r="B72" s="226" t="s">
        <v>107</v>
      </c>
      <c r="C72" s="279">
        <v>10000</v>
      </c>
      <c r="D72" s="131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</row>
    <row r="73" spans="1:22" ht="25.5" customHeight="1">
      <c r="A73" s="9"/>
      <c r="B73" s="226" t="s">
        <v>278</v>
      </c>
      <c r="C73" s="279">
        <v>10000</v>
      </c>
      <c r="D73" s="195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</row>
    <row r="74" spans="1:22" ht="25.5" customHeight="1">
      <c r="A74" s="165"/>
      <c r="B74" s="226" t="s">
        <v>279</v>
      </c>
      <c r="C74" s="279">
        <v>10000</v>
      </c>
      <c r="D74" s="195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</row>
    <row r="75" spans="1:22" ht="25.5" customHeight="1">
      <c r="A75" s="9"/>
      <c r="B75" s="226" t="s">
        <v>280</v>
      </c>
      <c r="C75" s="279">
        <v>10000</v>
      </c>
      <c r="D75" s="195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</row>
    <row r="76" spans="1:22" ht="25.5" customHeight="1">
      <c r="A76" s="9"/>
      <c r="B76" s="226" t="s">
        <v>281</v>
      </c>
      <c r="C76" s="279">
        <v>5000</v>
      </c>
      <c r="D76" s="195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</row>
    <row r="77" spans="1:22" ht="25.5" customHeight="1">
      <c r="A77" s="9"/>
      <c r="B77" s="226" t="s">
        <v>282</v>
      </c>
      <c r="C77" s="279">
        <v>5000</v>
      </c>
      <c r="D77" s="195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</row>
    <row r="78" spans="1:22" ht="25.5" customHeight="1">
      <c r="A78" s="9"/>
      <c r="B78" s="226" t="s">
        <v>238</v>
      </c>
      <c r="C78" s="279">
        <f>70000+40000+10000+20000</f>
        <v>140000</v>
      </c>
      <c r="D78" s="195"/>
      <c r="E78" s="269">
        <v>4240</v>
      </c>
      <c r="F78" s="269">
        <v>250</v>
      </c>
      <c r="G78" s="269"/>
      <c r="H78" s="269"/>
      <c r="I78" s="269"/>
      <c r="J78" s="269"/>
      <c r="K78" s="269"/>
      <c r="L78" s="269"/>
      <c r="M78" s="269">
        <v>1200</v>
      </c>
      <c r="N78" s="269"/>
      <c r="O78" s="269"/>
      <c r="P78" s="269"/>
      <c r="Q78" s="269"/>
      <c r="R78" s="269"/>
      <c r="S78" s="269"/>
      <c r="T78" s="269"/>
      <c r="U78" s="269"/>
      <c r="V78" s="269"/>
    </row>
    <row r="79" spans="1:22" ht="25.5" customHeight="1">
      <c r="A79" s="9"/>
      <c r="B79" s="226" t="s">
        <v>121</v>
      </c>
      <c r="C79" s="279">
        <v>100000</v>
      </c>
      <c r="D79" s="195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</row>
    <row r="80" spans="1:22" ht="25.5" customHeight="1">
      <c r="A80" s="9"/>
      <c r="B80" s="226" t="s">
        <v>295</v>
      </c>
      <c r="C80" s="279">
        <v>40000</v>
      </c>
      <c r="D80" s="195"/>
      <c r="E80" s="269"/>
      <c r="F80" s="269"/>
      <c r="G80" s="269">
        <v>43000</v>
      </c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</row>
    <row r="81" spans="1:22" ht="25.5" customHeight="1">
      <c r="A81" s="9"/>
      <c r="B81" s="226" t="s">
        <v>296</v>
      </c>
      <c r="C81" s="279">
        <v>30000</v>
      </c>
      <c r="D81" s="195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</row>
    <row r="82" spans="1:22" ht="25.5" customHeight="1">
      <c r="A82" s="9"/>
      <c r="B82" s="226" t="s">
        <v>210</v>
      </c>
      <c r="C82" s="279">
        <v>10000</v>
      </c>
      <c r="D82" s="195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</row>
    <row r="83" spans="1:22" ht="25.5" customHeight="1">
      <c r="A83" s="9"/>
      <c r="B83" s="187" t="s">
        <v>297</v>
      </c>
      <c r="C83" s="279">
        <v>20000</v>
      </c>
      <c r="D83" s="195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</row>
    <row r="84" spans="1:22" ht="25.5" customHeight="1">
      <c r="A84" s="9"/>
      <c r="B84" s="187" t="s">
        <v>298</v>
      </c>
      <c r="C84" s="279">
        <v>20000</v>
      </c>
      <c r="D84" s="195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</row>
    <row r="85" spans="1:22" ht="25.5" customHeight="1">
      <c r="A85" s="9"/>
      <c r="B85" s="187" t="s">
        <v>299</v>
      </c>
      <c r="C85" s="279">
        <v>15000</v>
      </c>
      <c r="D85" s="195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</row>
    <row r="86" spans="1:22" ht="25.5" customHeight="1">
      <c r="A86" s="9"/>
      <c r="B86" s="187" t="s">
        <v>300</v>
      </c>
      <c r="C86" s="279">
        <v>10000</v>
      </c>
      <c r="D86" s="195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</row>
    <row r="87" spans="1:22" ht="25.5" customHeight="1">
      <c r="A87" s="9"/>
      <c r="B87" s="187" t="s">
        <v>301</v>
      </c>
      <c r="C87" s="279">
        <v>345100</v>
      </c>
      <c r="D87" s="19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</row>
    <row r="88" spans="1:22" ht="25.5" customHeight="1">
      <c r="A88" s="9"/>
      <c r="B88" s="187" t="s">
        <v>242</v>
      </c>
      <c r="C88" s="279">
        <v>40000</v>
      </c>
      <c r="D88" s="195"/>
      <c r="E88" s="269"/>
      <c r="F88" s="269"/>
      <c r="G88" s="269"/>
      <c r="H88" s="269"/>
      <c r="I88" s="269"/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</row>
    <row r="89" spans="1:22" ht="25.5" customHeight="1">
      <c r="A89" s="9"/>
      <c r="B89" s="187" t="s">
        <v>307</v>
      </c>
      <c r="C89" s="279">
        <v>10000</v>
      </c>
      <c r="D89" s="131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</row>
    <row r="90" spans="1:22" ht="25.5" customHeight="1">
      <c r="A90" s="9"/>
      <c r="B90" s="187" t="s">
        <v>134</v>
      </c>
      <c r="C90" s="279">
        <v>15000</v>
      </c>
      <c r="D90" s="195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</row>
    <row r="91" spans="1:22" ht="25.5" customHeight="1">
      <c r="A91" s="9"/>
      <c r="B91" s="187" t="s">
        <v>308</v>
      </c>
      <c r="C91" s="279">
        <v>2500</v>
      </c>
      <c r="D91" s="195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</row>
    <row r="92" spans="1:22" ht="25.5" customHeight="1">
      <c r="A92" s="9"/>
      <c r="B92" s="187" t="s">
        <v>309</v>
      </c>
      <c r="C92" s="279">
        <v>2500</v>
      </c>
      <c r="D92" s="195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</row>
    <row r="93" spans="1:22" ht="25.5" customHeight="1">
      <c r="A93" s="9"/>
      <c r="B93" s="187" t="s">
        <v>310</v>
      </c>
      <c r="C93" s="279">
        <v>2500</v>
      </c>
      <c r="D93" s="195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</row>
    <row r="94" spans="1:22" ht="25.5" customHeight="1">
      <c r="A94" s="9"/>
      <c r="B94" s="187" t="s">
        <v>311</v>
      </c>
      <c r="C94" s="279">
        <v>2500</v>
      </c>
      <c r="D94" s="195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</row>
    <row r="95" spans="1:22" ht="25.5" customHeight="1">
      <c r="A95" s="9"/>
      <c r="B95" s="187" t="s">
        <v>243</v>
      </c>
      <c r="C95" s="279">
        <v>2000</v>
      </c>
      <c r="D95" s="195"/>
      <c r="E95" s="269"/>
      <c r="F95" s="269"/>
      <c r="G95" s="269"/>
      <c r="H95" s="269"/>
      <c r="I95" s="269">
        <v>2000</v>
      </c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</row>
    <row r="96" spans="1:22" ht="25.5" customHeight="1">
      <c r="A96" s="9"/>
      <c r="B96" s="187" t="s">
        <v>248</v>
      </c>
      <c r="C96" s="279">
        <v>2000</v>
      </c>
      <c r="D96" s="195"/>
      <c r="E96" s="269"/>
      <c r="F96" s="269"/>
      <c r="G96" s="269"/>
      <c r="H96" s="269"/>
      <c r="I96" s="269">
        <v>2000</v>
      </c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</row>
    <row r="97" spans="1:22" ht="25.5" customHeight="1">
      <c r="A97" s="9"/>
      <c r="B97" s="187" t="s">
        <v>244</v>
      </c>
      <c r="C97" s="279">
        <v>2000</v>
      </c>
      <c r="D97" s="195"/>
      <c r="E97" s="269"/>
      <c r="F97" s="269"/>
      <c r="G97" s="269"/>
      <c r="H97" s="269"/>
      <c r="I97" s="269">
        <v>1995</v>
      </c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</row>
    <row r="98" spans="1:22" ht="25.5" customHeight="1">
      <c r="A98" s="9"/>
      <c r="B98" s="187" t="s">
        <v>245</v>
      </c>
      <c r="C98" s="279">
        <v>2000</v>
      </c>
      <c r="D98" s="195"/>
      <c r="E98" s="269"/>
      <c r="F98" s="269"/>
      <c r="G98" s="269"/>
      <c r="H98" s="269"/>
      <c r="I98" s="269">
        <v>2000</v>
      </c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</row>
    <row r="99" spans="1:22" ht="25.5" customHeight="1">
      <c r="A99" s="9"/>
      <c r="B99" s="187" t="s">
        <v>246</v>
      </c>
      <c r="C99" s="279">
        <v>2000</v>
      </c>
      <c r="D99" s="195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</row>
    <row r="100" spans="1:22" ht="25.5" customHeight="1">
      <c r="A100" s="9"/>
      <c r="B100" s="187" t="s">
        <v>247</v>
      </c>
      <c r="C100" s="279">
        <v>2000</v>
      </c>
      <c r="D100" s="195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</row>
    <row r="101" spans="1:22" ht="25.5" customHeight="1">
      <c r="A101" s="9"/>
      <c r="B101" s="187" t="s">
        <v>249</v>
      </c>
      <c r="C101" s="279">
        <v>2000</v>
      </c>
      <c r="D101" s="195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</row>
    <row r="102" spans="1:22" ht="25.5" customHeight="1">
      <c r="A102" s="9"/>
      <c r="B102" s="187" t="s">
        <v>250</v>
      </c>
      <c r="C102" s="279">
        <v>2000</v>
      </c>
      <c r="D102" s="195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</row>
    <row r="103" spans="1:22" ht="25.5" customHeight="1">
      <c r="A103" s="9"/>
      <c r="B103" s="187" t="s">
        <v>251</v>
      </c>
      <c r="C103" s="279">
        <v>2000</v>
      </c>
      <c r="D103" s="195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</row>
    <row r="104" spans="1:22" ht="25.5" customHeight="1">
      <c r="A104" s="9"/>
      <c r="B104" s="187" t="s">
        <v>252</v>
      </c>
      <c r="C104" s="279">
        <v>2000</v>
      </c>
      <c r="D104" s="195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</row>
    <row r="105" spans="1:22" ht="25.5" customHeight="1">
      <c r="A105" s="9"/>
      <c r="B105" s="187" t="s">
        <v>253</v>
      </c>
      <c r="C105" s="279">
        <v>2000</v>
      </c>
      <c r="D105" s="195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</row>
    <row r="106" spans="1:22" ht="25.5" customHeight="1">
      <c r="A106" s="9"/>
      <c r="B106" s="187" t="s">
        <v>254</v>
      </c>
      <c r="C106" s="279">
        <v>2000</v>
      </c>
      <c r="D106" s="195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</row>
    <row r="107" spans="1:22" ht="25.5" customHeight="1">
      <c r="A107" s="9"/>
      <c r="B107" s="187" t="s">
        <v>312</v>
      </c>
      <c r="C107" s="279">
        <v>2500</v>
      </c>
      <c r="D107" s="195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</row>
    <row r="108" spans="1:22" ht="25.5" customHeight="1">
      <c r="A108" s="9"/>
      <c r="B108" s="187" t="s">
        <v>313</v>
      </c>
      <c r="C108" s="279">
        <v>2500</v>
      </c>
      <c r="D108" s="131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</row>
    <row r="109" spans="1:22" ht="25.5" customHeight="1">
      <c r="A109" s="9"/>
      <c r="B109" s="187" t="s">
        <v>314</v>
      </c>
      <c r="C109" s="279">
        <v>2500</v>
      </c>
      <c r="D109" s="195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</row>
    <row r="110" spans="1:22" ht="25.5" customHeight="1">
      <c r="A110" s="9"/>
      <c r="B110" s="187" t="s">
        <v>255</v>
      </c>
      <c r="C110" s="279">
        <v>4000</v>
      </c>
      <c r="D110" s="195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</row>
    <row r="111" spans="1:22" ht="25.5" customHeight="1">
      <c r="A111" s="9"/>
      <c r="B111" s="187" t="s">
        <v>256</v>
      </c>
      <c r="C111" s="279">
        <v>2500</v>
      </c>
      <c r="D111" s="195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</row>
    <row r="112" spans="1:22" ht="25.5" customHeight="1">
      <c r="A112" s="9"/>
      <c r="B112" s="187" t="s">
        <v>257</v>
      </c>
      <c r="C112" s="279">
        <v>2500</v>
      </c>
      <c r="D112" s="195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</row>
    <row r="113" spans="1:22" ht="25.5" customHeight="1">
      <c r="A113" s="9"/>
      <c r="B113" s="187" t="s">
        <v>258</v>
      </c>
      <c r="C113" s="279">
        <v>2500</v>
      </c>
      <c r="D113" s="195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</row>
    <row r="114" spans="1:22" ht="25.5" customHeight="1">
      <c r="A114" s="9"/>
      <c r="B114" s="187" t="s">
        <v>259</v>
      </c>
      <c r="C114" s="279">
        <v>1000</v>
      </c>
      <c r="D114" s="195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</row>
    <row r="115" spans="1:22" ht="25.5" customHeight="1">
      <c r="A115" s="9"/>
      <c r="B115" s="187" t="s">
        <v>260</v>
      </c>
      <c r="C115" s="279">
        <v>1000</v>
      </c>
      <c r="D115" s="195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</row>
    <row r="116" spans="1:22" ht="25.5" customHeight="1">
      <c r="A116" s="9"/>
      <c r="B116" s="187" t="s">
        <v>261</v>
      </c>
      <c r="C116" s="279">
        <v>1000</v>
      </c>
      <c r="D116" s="195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</row>
    <row r="117" spans="1:22" ht="25.5" customHeight="1">
      <c r="A117" s="9"/>
      <c r="B117" s="187" t="s">
        <v>262</v>
      </c>
      <c r="C117" s="279">
        <v>1000</v>
      </c>
      <c r="D117" s="195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</row>
    <row r="118" spans="1:22" ht="25.5" customHeight="1">
      <c r="A118" s="9"/>
      <c r="B118" s="187" t="s">
        <v>211</v>
      </c>
      <c r="C118" s="279">
        <v>392000</v>
      </c>
      <c r="D118" s="195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</row>
    <row r="119" spans="1:22" ht="25.5" customHeight="1">
      <c r="A119" s="9"/>
      <c r="B119" s="187" t="s">
        <v>263</v>
      </c>
      <c r="C119" s="279">
        <v>200900</v>
      </c>
      <c r="D119" s="195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</row>
    <row r="120" spans="1:22" ht="25.5" customHeight="1">
      <c r="A120" s="9"/>
      <c r="B120" s="187" t="s">
        <v>315</v>
      </c>
      <c r="C120" s="279">
        <v>230300</v>
      </c>
      <c r="D120" s="195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</row>
    <row r="121" spans="1:22" ht="25.5" customHeight="1">
      <c r="A121" s="9"/>
      <c r="B121" s="187" t="s">
        <v>212</v>
      </c>
      <c r="C121" s="279">
        <v>171500</v>
      </c>
      <c r="D121" s="195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</row>
    <row r="122" spans="1:22" ht="25.5" customHeight="1">
      <c r="A122" s="9"/>
      <c r="B122" s="187" t="s">
        <v>140</v>
      </c>
      <c r="C122" s="279">
        <v>50000</v>
      </c>
      <c r="D122" s="195"/>
      <c r="E122" s="269"/>
      <c r="F122" s="269"/>
      <c r="G122" s="269"/>
      <c r="H122" s="269"/>
      <c r="I122" s="269"/>
      <c r="J122" s="269">
        <v>49995</v>
      </c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</row>
    <row r="123" spans="1:22" ht="25.5" customHeight="1">
      <c r="A123" s="9"/>
      <c r="B123" s="187" t="s">
        <v>206</v>
      </c>
      <c r="C123" s="279">
        <v>20000</v>
      </c>
      <c r="D123" s="195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</row>
    <row r="124" spans="1:22" ht="25.5" customHeight="1">
      <c r="A124" s="9"/>
      <c r="B124" s="187" t="s">
        <v>326</v>
      </c>
      <c r="C124" s="279">
        <v>5000</v>
      </c>
      <c r="D124" s="195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</row>
    <row r="125" spans="1:22" ht="25.5" customHeight="1">
      <c r="A125" s="9"/>
      <c r="B125" s="187" t="s">
        <v>327</v>
      </c>
      <c r="C125" s="279">
        <v>5000</v>
      </c>
      <c r="D125" s="195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</row>
    <row r="126" spans="1:22" ht="25.5" customHeight="1">
      <c r="A126" s="9"/>
      <c r="B126" s="187" t="s">
        <v>142</v>
      </c>
      <c r="C126" s="279">
        <v>20000</v>
      </c>
      <c r="D126" s="195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</row>
    <row r="127" spans="1:22" ht="25.5" customHeight="1">
      <c r="A127" s="9"/>
      <c r="B127" s="226" t="s">
        <v>328</v>
      </c>
      <c r="C127" s="279">
        <v>10000</v>
      </c>
      <c r="D127" s="195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</row>
    <row r="128" spans="1:22" ht="25.5" customHeight="1">
      <c r="A128" s="9"/>
      <c r="B128" s="226" t="s">
        <v>329</v>
      </c>
      <c r="C128" s="279">
        <v>10000</v>
      </c>
      <c r="D128" s="131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</row>
    <row r="129" spans="1:22" ht="25.5" customHeight="1">
      <c r="A129" s="9"/>
      <c r="B129" s="226" t="s">
        <v>330</v>
      </c>
      <c r="C129" s="279">
        <v>10000</v>
      </c>
      <c r="D129" s="195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</row>
    <row r="130" spans="1:22" ht="25.5" customHeight="1">
      <c r="A130" s="9"/>
      <c r="B130" s="226" t="s">
        <v>331</v>
      </c>
      <c r="C130" s="279">
        <v>10000</v>
      </c>
      <c r="D130" s="195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</row>
    <row r="131" spans="1:22" ht="25.5" customHeight="1">
      <c r="A131" s="9"/>
      <c r="B131" s="226" t="s">
        <v>333</v>
      </c>
      <c r="C131" s="279">
        <v>15000</v>
      </c>
      <c r="D131" s="195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</row>
    <row r="132" spans="1:22" ht="25.5" customHeight="1">
      <c r="A132" s="9"/>
      <c r="B132" s="226" t="s">
        <v>157</v>
      </c>
      <c r="C132" s="279">
        <v>10000</v>
      </c>
      <c r="D132" s="195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</row>
    <row r="133" spans="1:22" ht="25.5" customHeight="1">
      <c r="A133" s="9"/>
      <c r="B133" s="226" t="s">
        <v>158</v>
      </c>
      <c r="C133" s="279">
        <v>10000</v>
      </c>
      <c r="D133" s="195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</row>
    <row r="134" spans="1:22" ht="25.5" customHeight="1">
      <c r="A134" s="9"/>
      <c r="B134" s="226" t="s">
        <v>352</v>
      </c>
      <c r="C134" s="279">
        <v>10000</v>
      </c>
      <c r="D134" s="195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</row>
    <row r="135" spans="1:22" ht="25.5" customHeight="1">
      <c r="A135" s="9"/>
      <c r="B135" s="226" t="s">
        <v>213</v>
      </c>
      <c r="C135" s="279">
        <v>15000</v>
      </c>
      <c r="D135" s="195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</row>
    <row r="136" spans="1:22" ht="25.5" customHeight="1">
      <c r="A136" s="9"/>
      <c r="B136" s="226" t="s">
        <v>265</v>
      </c>
      <c r="C136" s="279">
        <v>20000</v>
      </c>
      <c r="D136" s="195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</row>
    <row r="137" spans="1:22" ht="25.5" customHeight="1">
      <c r="A137" s="9"/>
      <c r="B137" s="226" t="s">
        <v>353</v>
      </c>
      <c r="C137" s="279">
        <v>5000</v>
      </c>
      <c r="D137" s="195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</row>
    <row r="138" spans="1:22" ht="25.5" customHeight="1">
      <c r="A138" s="9"/>
      <c r="B138" s="226" t="s">
        <v>354</v>
      </c>
      <c r="C138" s="279">
        <v>10000</v>
      </c>
      <c r="D138" s="195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</row>
    <row r="139" spans="1:22" ht="25.5" customHeight="1">
      <c r="A139" s="9"/>
      <c r="B139" s="187" t="s">
        <v>355</v>
      </c>
      <c r="C139" s="279">
        <v>20000</v>
      </c>
      <c r="D139" s="195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</row>
    <row r="140" spans="1:22" ht="25.5" customHeight="1">
      <c r="A140" s="9"/>
      <c r="B140" s="187" t="s">
        <v>356</v>
      </c>
      <c r="C140" s="279">
        <v>20000</v>
      </c>
      <c r="D140" s="195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</row>
    <row r="141" spans="1:22" ht="25.5" customHeight="1">
      <c r="A141" s="9"/>
      <c r="B141" s="187" t="s">
        <v>357</v>
      </c>
      <c r="C141" s="279">
        <v>10000</v>
      </c>
      <c r="D141" s="195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</row>
    <row r="142" spans="1:22" ht="25.5" customHeight="1">
      <c r="A142" s="9"/>
      <c r="B142" s="187" t="s">
        <v>358</v>
      </c>
      <c r="C142" s="279">
        <v>10000</v>
      </c>
      <c r="D142" s="195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</row>
    <row r="143" spans="1:22" ht="25.5" customHeight="1">
      <c r="A143" s="9"/>
      <c r="B143" s="187" t="s">
        <v>359</v>
      </c>
      <c r="C143" s="279">
        <v>5000</v>
      </c>
      <c r="D143" s="195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</row>
    <row r="144" spans="1:22" ht="25.5" customHeight="1">
      <c r="A144" s="9"/>
      <c r="B144" s="187" t="s">
        <v>360</v>
      </c>
      <c r="C144" s="279">
        <v>5000</v>
      </c>
      <c r="D144" s="195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</row>
    <row r="145" spans="1:22" ht="25.5" customHeight="1">
      <c r="A145" s="9"/>
      <c r="B145" s="187" t="s">
        <v>361</v>
      </c>
      <c r="C145" s="279">
        <v>5000</v>
      </c>
      <c r="D145" s="195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</row>
    <row r="146" spans="1:22" ht="25.5" customHeight="1">
      <c r="A146" s="9"/>
      <c r="B146" s="187" t="s">
        <v>362</v>
      </c>
      <c r="C146" s="279">
        <v>5000</v>
      </c>
      <c r="D146" s="195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</row>
    <row r="147" spans="1:22" ht="25.5" customHeight="1">
      <c r="A147" s="9"/>
      <c r="B147" s="187" t="s">
        <v>363</v>
      </c>
      <c r="C147" s="279">
        <v>5000</v>
      </c>
      <c r="D147" s="131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</row>
    <row r="148" spans="1:22" ht="25.5" customHeight="1">
      <c r="A148" s="9"/>
      <c r="B148" s="187" t="s">
        <v>364</v>
      </c>
      <c r="C148" s="279">
        <v>5000</v>
      </c>
      <c r="D148" s="131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</row>
    <row r="149" spans="1:22" ht="25.5" customHeight="1">
      <c r="A149" s="9"/>
      <c r="B149" s="187" t="s">
        <v>365</v>
      </c>
      <c r="C149" s="279">
        <v>5000</v>
      </c>
      <c r="D149" s="131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</row>
    <row r="150" spans="1:22" ht="25.5" customHeight="1">
      <c r="A150" s="9"/>
      <c r="B150" s="187" t="s">
        <v>366</v>
      </c>
      <c r="C150" s="279">
        <v>5000</v>
      </c>
      <c r="D150" s="131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</row>
    <row r="151" spans="1:22" ht="25.5" customHeight="1">
      <c r="A151" s="9"/>
      <c r="B151" s="187" t="s">
        <v>367</v>
      </c>
      <c r="C151" s="279">
        <v>5000</v>
      </c>
      <c r="D151" s="131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</row>
    <row r="152" spans="1:22" ht="25.5" customHeight="1">
      <c r="A152" s="9"/>
      <c r="B152" s="187" t="s">
        <v>368</v>
      </c>
      <c r="C152" s="279">
        <v>5000</v>
      </c>
      <c r="D152" s="131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</row>
    <row r="153" spans="1:22" ht="25.5" customHeight="1">
      <c r="A153" s="9"/>
      <c r="B153" s="187" t="s">
        <v>369</v>
      </c>
      <c r="C153" s="279">
        <v>10000</v>
      </c>
      <c r="D153" s="131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</row>
    <row r="154" spans="1:22" ht="25.5" customHeight="1">
      <c r="A154" s="9"/>
      <c r="B154" s="187" t="s">
        <v>370</v>
      </c>
      <c r="C154" s="279">
        <v>10000</v>
      </c>
      <c r="D154" s="131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</row>
    <row r="155" spans="1:22" ht="25.5" customHeight="1">
      <c r="A155" s="9"/>
      <c r="B155" s="187" t="s">
        <v>163</v>
      </c>
      <c r="C155" s="279">
        <v>350000</v>
      </c>
      <c r="D155" s="131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</row>
    <row r="156" spans="1:22" ht="25.5" customHeight="1">
      <c r="A156" s="9"/>
      <c r="B156" s="187" t="s">
        <v>214</v>
      </c>
      <c r="C156" s="279">
        <v>25000</v>
      </c>
      <c r="D156" s="131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>
        <v>16000</v>
      </c>
      <c r="S156" s="269"/>
      <c r="T156" s="269"/>
      <c r="U156" s="269"/>
      <c r="V156" s="269"/>
    </row>
    <row r="157" spans="1:22" ht="25.5" customHeight="1">
      <c r="A157" s="9"/>
      <c r="B157" s="187" t="s">
        <v>167</v>
      </c>
      <c r="C157" s="279">
        <v>30000</v>
      </c>
      <c r="D157" s="131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</row>
    <row r="158" spans="1:22" ht="25.5" customHeight="1">
      <c r="A158" s="9"/>
      <c r="B158" s="187" t="s">
        <v>371</v>
      </c>
      <c r="C158" s="279">
        <v>30000</v>
      </c>
      <c r="D158" s="131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</row>
    <row r="159" spans="1:22" ht="25.5" customHeight="1">
      <c r="A159" s="9"/>
      <c r="B159" s="187" t="s">
        <v>170</v>
      </c>
      <c r="C159" s="279">
        <v>40000</v>
      </c>
      <c r="D159" s="131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</row>
    <row r="160" spans="1:22" ht="25.5" customHeight="1">
      <c r="A160" s="9"/>
      <c r="B160" s="187" t="s">
        <v>266</v>
      </c>
      <c r="C160" s="279">
        <v>15000</v>
      </c>
      <c r="D160" s="131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</row>
    <row r="161" spans="1:23" ht="25.5" customHeight="1">
      <c r="A161" s="9"/>
      <c r="B161" s="187" t="s">
        <v>372</v>
      </c>
      <c r="C161" s="279">
        <v>65000</v>
      </c>
      <c r="D161" s="131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</row>
    <row r="162" spans="1:23" ht="25.5" customHeight="1">
      <c r="A162" s="9"/>
      <c r="B162" s="187" t="s">
        <v>373</v>
      </c>
      <c r="C162" s="279">
        <v>65000</v>
      </c>
      <c r="D162" s="131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</row>
    <row r="163" spans="1:23" ht="25.5" customHeight="1">
      <c r="A163" s="9"/>
      <c r="B163" s="187" t="s">
        <v>374</v>
      </c>
      <c r="C163" s="279">
        <v>20000</v>
      </c>
      <c r="D163" s="131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</row>
    <row r="164" spans="1:23" ht="25.5" customHeight="1">
      <c r="A164" s="9"/>
      <c r="B164" s="187" t="s">
        <v>375</v>
      </c>
      <c r="C164" s="279">
        <v>20000</v>
      </c>
      <c r="D164" s="131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</row>
    <row r="165" spans="1:23" ht="25.5" customHeight="1">
      <c r="A165" s="9"/>
      <c r="B165" s="187" t="s">
        <v>376</v>
      </c>
      <c r="C165" s="279">
        <v>25000</v>
      </c>
      <c r="D165" s="131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</row>
    <row r="166" spans="1:23" ht="25.5" customHeight="1">
      <c r="A166" s="9"/>
      <c r="B166" s="187" t="s">
        <v>377</v>
      </c>
      <c r="C166" s="279">
        <v>20000</v>
      </c>
      <c r="D166" s="131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</row>
    <row r="167" spans="1:23" ht="25.5" customHeight="1">
      <c r="A167" s="9"/>
      <c r="B167" s="187" t="s">
        <v>267</v>
      </c>
      <c r="C167" s="279">
        <v>15000</v>
      </c>
      <c r="D167" s="131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</row>
    <row r="168" spans="1:23" ht="25.5" customHeight="1">
      <c r="A168" s="9"/>
      <c r="B168" s="187" t="s">
        <v>215</v>
      </c>
      <c r="C168" s="279">
        <v>10000</v>
      </c>
      <c r="D168" s="131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</row>
    <row r="169" spans="1:23" ht="25.5" customHeight="1">
      <c r="A169" s="9"/>
      <c r="B169" s="187" t="s">
        <v>268</v>
      </c>
      <c r="C169" s="279">
        <v>5000</v>
      </c>
      <c r="D169" s="131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</row>
    <row r="170" spans="1:23" ht="25.5" customHeight="1">
      <c r="A170" s="9"/>
      <c r="B170" s="187"/>
      <c r="C170" s="279"/>
      <c r="D170" s="131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</row>
    <row r="171" spans="1:23" ht="25.5" customHeight="1">
      <c r="A171" s="9"/>
      <c r="B171" s="187"/>
      <c r="C171" s="279"/>
      <c r="D171" s="131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</row>
    <row r="172" spans="1:23" ht="25.5" customHeight="1">
      <c r="A172" s="9"/>
      <c r="B172" s="187"/>
      <c r="C172" s="279"/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</row>
    <row r="173" spans="1:23" ht="25.5" customHeight="1">
      <c r="A173" s="9"/>
      <c r="B173" s="187"/>
      <c r="C173" s="279"/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</row>
    <row r="174" spans="1:23" ht="25.5" customHeight="1">
      <c r="A174" s="9"/>
      <c r="B174" s="187"/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3" ht="25.5" customHeight="1" thickBot="1">
      <c r="A175" s="15"/>
      <c r="B175" s="14" t="s">
        <v>5</v>
      </c>
      <c r="C175" s="170">
        <f>SUM(C50:C174)</f>
        <v>5945800</v>
      </c>
      <c r="D175" s="255">
        <f>SUM(D50:D174)</f>
        <v>0</v>
      </c>
      <c r="E175" s="254">
        <f>SUM(E50:E174)</f>
        <v>138208</v>
      </c>
      <c r="F175" s="254">
        <f>SUM(F50:F174)</f>
        <v>13250</v>
      </c>
      <c r="G175" s="254">
        <f t="shared" ref="G175:V175" si="4">SUM(G50:G174)</f>
        <v>43000</v>
      </c>
      <c r="H175" s="254">
        <f>SUM(H50:H174)</f>
        <v>66671</v>
      </c>
      <c r="I175" s="255">
        <f>SUM(I50:I174)</f>
        <v>7995</v>
      </c>
      <c r="J175" s="255">
        <f t="shared" si="4"/>
        <v>49995</v>
      </c>
      <c r="K175" s="255">
        <f t="shared" si="4"/>
        <v>0</v>
      </c>
      <c r="L175" s="255">
        <f t="shared" si="4"/>
        <v>0</v>
      </c>
      <c r="M175" s="254">
        <f>SUM(M50:M174)</f>
        <v>38700</v>
      </c>
      <c r="N175" s="255">
        <f t="shared" si="4"/>
        <v>0</v>
      </c>
      <c r="O175" s="255">
        <f t="shared" si="4"/>
        <v>0</v>
      </c>
      <c r="P175" s="255">
        <f t="shared" si="4"/>
        <v>0</v>
      </c>
      <c r="Q175" s="255">
        <f>SUM(Q50:Q174)</f>
        <v>0</v>
      </c>
      <c r="R175" s="255">
        <f t="shared" si="4"/>
        <v>16000</v>
      </c>
      <c r="S175" s="255">
        <f>SUM(S50:S174)</f>
        <v>0</v>
      </c>
      <c r="T175" s="255"/>
      <c r="U175" s="255">
        <f t="shared" si="4"/>
        <v>0</v>
      </c>
      <c r="V175" s="255">
        <f t="shared" si="4"/>
        <v>0</v>
      </c>
      <c r="W175" s="314">
        <f>SUM(D175:V175)</f>
        <v>373819</v>
      </c>
    </row>
    <row r="176" spans="1:23" ht="25.5" customHeight="1" thickTop="1">
      <c r="A176" s="3" t="s">
        <v>113</v>
      </c>
      <c r="B176" s="4"/>
      <c r="C176" s="287"/>
      <c r="D176" s="133"/>
      <c r="E176" s="269"/>
      <c r="F176" s="136"/>
      <c r="G176" s="136"/>
      <c r="H176" s="136"/>
      <c r="I176" s="133"/>
      <c r="J176" s="133"/>
      <c r="K176" s="133"/>
      <c r="L176" s="133"/>
      <c r="M176" s="136"/>
      <c r="N176" s="133"/>
      <c r="O176" s="133"/>
      <c r="P176" s="133"/>
      <c r="Q176" s="133"/>
      <c r="R176" s="258"/>
      <c r="S176" s="259"/>
      <c r="T176" s="259"/>
      <c r="U176" s="258"/>
      <c r="V176" s="258"/>
    </row>
    <row r="177" spans="1:23" ht="25.5" customHeight="1">
      <c r="A177" s="9"/>
      <c r="B177" s="130" t="s">
        <v>111</v>
      </c>
      <c r="C177" s="216">
        <f>50000+25000+5000+25000+10000</f>
        <v>115000</v>
      </c>
      <c r="D177" s="131"/>
      <c r="E177" s="267">
        <v>4985</v>
      </c>
      <c r="F177" s="267">
        <v>3060</v>
      </c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</row>
    <row r="178" spans="1:23" s="67" customFormat="1" ht="25.5" customHeight="1">
      <c r="A178" s="9"/>
      <c r="B178" s="130" t="s">
        <v>302</v>
      </c>
      <c r="C178" s="216">
        <v>10000</v>
      </c>
      <c r="D178" s="131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312"/>
    </row>
    <row r="179" spans="1:23" s="67" customFormat="1" ht="25.5" customHeight="1">
      <c r="A179" s="9"/>
      <c r="B179" s="130" t="s">
        <v>16</v>
      </c>
      <c r="C179" s="216">
        <f>8000+200000+5000</f>
        <v>213000</v>
      </c>
      <c r="D179" s="131"/>
      <c r="E179" s="267">
        <v>270</v>
      </c>
      <c r="F179" s="267"/>
      <c r="G179" s="267"/>
      <c r="H179" s="267"/>
      <c r="I179" s="267"/>
      <c r="J179" s="267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312"/>
    </row>
    <row r="180" spans="1:23" s="67" customFormat="1" ht="25.5" customHeight="1">
      <c r="A180" s="9"/>
      <c r="B180" s="130" t="s">
        <v>12</v>
      </c>
      <c r="C180" s="216">
        <f>15000+10000</f>
        <v>25000</v>
      </c>
      <c r="D180" s="131"/>
      <c r="E180" s="267">
        <v>7183</v>
      </c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312"/>
    </row>
    <row r="181" spans="1:23" ht="25.5" customHeight="1">
      <c r="A181" s="9"/>
      <c r="B181" s="130" t="s">
        <v>17</v>
      </c>
      <c r="C181" s="216">
        <f>15000+25000+20000</f>
        <v>60000</v>
      </c>
      <c r="D181" s="133"/>
      <c r="E181" s="267"/>
      <c r="F181" s="267"/>
      <c r="G181" s="267"/>
      <c r="H181" s="267">
        <v>6491</v>
      </c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</row>
    <row r="182" spans="1:23" ht="25.5" customHeight="1">
      <c r="A182" s="9"/>
      <c r="B182" s="130" t="s">
        <v>13</v>
      </c>
      <c r="C182" s="216">
        <v>15000</v>
      </c>
      <c r="D182" s="131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</row>
    <row r="183" spans="1:23" ht="25.5" customHeight="1">
      <c r="A183" s="9"/>
      <c r="B183" s="130" t="s">
        <v>14</v>
      </c>
      <c r="C183" s="216">
        <f>240000+5000+20000</f>
        <v>265000</v>
      </c>
      <c r="D183" s="133"/>
      <c r="E183" s="267">
        <v>23096.5</v>
      </c>
      <c r="F183" s="267">
        <v>184.2</v>
      </c>
      <c r="G183" s="267"/>
      <c r="H183" s="267"/>
      <c r="I183" s="267"/>
      <c r="J183" s="267"/>
      <c r="K183" s="267"/>
      <c r="L183" s="267"/>
      <c r="M183" s="267">
        <v>1606.8</v>
      </c>
      <c r="N183" s="267"/>
      <c r="O183" s="267"/>
      <c r="P183" s="267"/>
      <c r="Q183" s="267"/>
      <c r="R183" s="267"/>
      <c r="S183" s="267"/>
      <c r="T183" s="267"/>
      <c r="U183" s="267"/>
      <c r="V183" s="267"/>
    </row>
    <row r="184" spans="1:23" ht="25.5" customHeight="1">
      <c r="A184" s="9"/>
      <c r="B184" s="130" t="s">
        <v>112</v>
      </c>
      <c r="C184" s="216">
        <f>5000+5000+5000</f>
        <v>15000</v>
      </c>
      <c r="D184" s="133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</row>
    <row r="185" spans="1:23" ht="25.5" customHeight="1">
      <c r="A185" s="9"/>
      <c r="B185" s="130" t="s">
        <v>208</v>
      </c>
      <c r="C185" s="216">
        <v>5000</v>
      </c>
      <c r="D185" s="133"/>
      <c r="E185" s="267">
        <v>540</v>
      </c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</row>
    <row r="186" spans="1:23" ht="25.5" customHeight="1">
      <c r="A186" s="9"/>
      <c r="B186" s="130" t="s">
        <v>15</v>
      </c>
      <c r="C186" s="216">
        <f>40000+15000+15000+40000</f>
        <v>110000</v>
      </c>
      <c r="D186" s="195"/>
      <c r="E186" s="267">
        <v>2386</v>
      </c>
      <c r="F186" s="267">
        <v>3345</v>
      </c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</row>
    <row r="187" spans="1:23" ht="25.5" customHeight="1">
      <c r="A187" s="9"/>
      <c r="B187" s="130" t="s">
        <v>303</v>
      </c>
      <c r="C187" s="216">
        <v>10000</v>
      </c>
      <c r="D187" s="195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</row>
    <row r="188" spans="1:23" ht="25.5" customHeight="1">
      <c r="A188" s="9"/>
      <c r="B188" s="130" t="s">
        <v>304</v>
      </c>
      <c r="C188" s="216">
        <f>5000+20000</f>
        <v>25000</v>
      </c>
      <c r="D188" s="195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>
        <v>290</v>
      </c>
    </row>
    <row r="189" spans="1:23" ht="25.5" customHeight="1">
      <c r="A189" s="9"/>
      <c r="B189" s="130" t="s">
        <v>332</v>
      </c>
      <c r="C189" s="216">
        <v>10000</v>
      </c>
      <c r="D189" s="195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</row>
    <row r="190" spans="1:23" ht="25.5" customHeight="1">
      <c r="A190" s="9"/>
      <c r="B190" s="130" t="s">
        <v>46</v>
      </c>
      <c r="C190" s="216">
        <v>80000</v>
      </c>
      <c r="D190" s="195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</row>
    <row r="191" spans="1:23" ht="25.5" customHeight="1">
      <c r="A191" s="9"/>
      <c r="B191" s="130" t="s">
        <v>316</v>
      </c>
      <c r="C191" s="216">
        <f>413900+525039+277849</f>
        <v>1216788</v>
      </c>
      <c r="D191" s="131"/>
      <c r="E191" s="267"/>
      <c r="F191" s="267"/>
      <c r="G191" s="267"/>
      <c r="H191" s="267"/>
      <c r="I191" s="267"/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</row>
    <row r="192" spans="1:23" ht="25.5" customHeight="1">
      <c r="A192" s="9"/>
      <c r="B192" s="130" t="s">
        <v>317</v>
      </c>
      <c r="C192" s="290"/>
      <c r="D192" s="133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</row>
    <row r="193" spans="1:23" ht="25.5" customHeight="1">
      <c r="A193" s="9"/>
      <c r="B193" s="130" t="s">
        <v>318</v>
      </c>
      <c r="C193" s="216"/>
      <c r="D193" s="133"/>
      <c r="E193" s="267"/>
      <c r="F193" s="267"/>
      <c r="G193" s="267"/>
      <c r="H193" s="267"/>
      <c r="I193" s="324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</row>
    <row r="194" spans="1:23" ht="25.5" customHeight="1">
      <c r="A194" s="9"/>
      <c r="B194" s="185" t="s">
        <v>319</v>
      </c>
      <c r="C194" s="216">
        <v>153296</v>
      </c>
      <c r="D194" s="133"/>
      <c r="E194" s="267"/>
      <c r="F194" s="267"/>
      <c r="G194" s="267"/>
      <c r="H194" s="267"/>
      <c r="I194" s="267"/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</row>
    <row r="195" spans="1:23" ht="25.5" customHeight="1">
      <c r="A195" s="9"/>
      <c r="B195" s="185" t="s">
        <v>320</v>
      </c>
      <c r="C195" s="216">
        <v>78565</v>
      </c>
      <c r="D195" s="133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</row>
    <row r="196" spans="1:23" ht="25.5" customHeight="1">
      <c r="A196" s="9"/>
      <c r="B196" s="185" t="s">
        <v>321</v>
      </c>
      <c r="C196" s="216">
        <v>90062</v>
      </c>
      <c r="D196" s="133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</row>
    <row r="197" spans="1:23" ht="25.5" customHeight="1">
      <c r="A197" s="165"/>
      <c r="B197" s="185" t="s">
        <v>322</v>
      </c>
      <c r="C197" s="216">
        <v>67067</v>
      </c>
      <c r="D197" s="133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</row>
    <row r="198" spans="1:23" ht="25.5" customHeight="1">
      <c r="A198" s="9"/>
      <c r="B198" s="185"/>
      <c r="C198" s="216"/>
      <c r="D198" s="133"/>
      <c r="E198" s="269"/>
      <c r="F198" s="136"/>
      <c r="G198" s="136"/>
      <c r="H198" s="136"/>
      <c r="I198" s="133"/>
      <c r="J198" s="133"/>
      <c r="K198" s="133"/>
      <c r="L198" s="133"/>
      <c r="M198" s="136"/>
      <c r="N198" s="133"/>
      <c r="O198" s="133"/>
      <c r="P198" s="133"/>
      <c r="Q198" s="133"/>
      <c r="R198" s="217"/>
      <c r="S198" s="219"/>
      <c r="T198" s="219"/>
      <c r="U198" s="217"/>
      <c r="V198" s="217"/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30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197"/>
      <c r="B202" s="198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 thickBot="1">
      <c r="A203" s="46"/>
      <c r="B203" s="47" t="s">
        <v>5</v>
      </c>
      <c r="C203" s="170">
        <f>SUM(C177:C202)</f>
        <v>2563778</v>
      </c>
      <c r="D203" s="255">
        <f>SUM(D177:D202)</f>
        <v>0</v>
      </c>
      <c r="E203" s="254">
        <f>SUM(E177:E202)</f>
        <v>38460.5</v>
      </c>
      <c r="F203" s="254">
        <f>SUM(F177:F202)</f>
        <v>6589.2</v>
      </c>
      <c r="G203" s="254">
        <f t="shared" ref="G203:V203" si="5">SUM(G177:G202)</f>
        <v>0</v>
      </c>
      <c r="H203" s="254">
        <f>SUM(H177:H202)</f>
        <v>6491</v>
      </c>
      <c r="I203" s="255">
        <f t="shared" si="5"/>
        <v>0</v>
      </c>
      <c r="J203" s="255">
        <f t="shared" si="5"/>
        <v>0</v>
      </c>
      <c r="K203" s="255">
        <f t="shared" si="5"/>
        <v>0</v>
      </c>
      <c r="L203" s="255">
        <f t="shared" si="5"/>
        <v>0</v>
      </c>
      <c r="M203" s="254">
        <f>SUM(M177:M202)</f>
        <v>1606.8</v>
      </c>
      <c r="N203" s="255">
        <f t="shared" si="5"/>
        <v>0</v>
      </c>
      <c r="O203" s="255">
        <f t="shared" si="5"/>
        <v>0</v>
      </c>
      <c r="P203" s="255">
        <f t="shared" si="5"/>
        <v>0</v>
      </c>
      <c r="Q203" s="255">
        <f t="shared" si="5"/>
        <v>0</v>
      </c>
      <c r="R203" s="255">
        <f t="shared" si="5"/>
        <v>0</v>
      </c>
      <c r="S203" s="255">
        <f t="shared" si="5"/>
        <v>0</v>
      </c>
      <c r="T203" s="255"/>
      <c r="U203" s="255">
        <f t="shared" si="5"/>
        <v>0</v>
      </c>
      <c r="V203" s="255">
        <f t="shared" si="5"/>
        <v>290</v>
      </c>
      <c r="W203" s="314">
        <f>SUM(D203:V203)</f>
        <v>53437.5</v>
      </c>
    </row>
    <row r="204" spans="1:23" ht="25.5" customHeight="1" thickTop="1">
      <c r="A204" s="5" t="s">
        <v>114</v>
      </c>
      <c r="B204" s="6"/>
      <c r="C204" s="190"/>
      <c r="D204" s="133"/>
      <c r="E204" s="269"/>
      <c r="F204" s="136"/>
      <c r="G204" s="136"/>
      <c r="H204" s="136"/>
      <c r="I204" s="133"/>
      <c r="J204" s="133"/>
      <c r="K204" s="133"/>
      <c r="L204" s="133"/>
      <c r="M204" s="136"/>
      <c r="N204" s="133"/>
      <c r="O204" s="133"/>
      <c r="P204" s="133"/>
      <c r="Q204" s="133"/>
      <c r="R204" s="258"/>
      <c r="S204" s="259"/>
      <c r="T204" s="259"/>
      <c r="U204" s="258"/>
      <c r="V204" s="258"/>
    </row>
    <row r="205" spans="1:23" ht="25.5" customHeight="1">
      <c r="A205" s="9"/>
      <c r="B205" s="130" t="s">
        <v>20</v>
      </c>
      <c r="C205" s="216">
        <f>240000+35000</f>
        <v>275000</v>
      </c>
      <c r="D205" s="261"/>
      <c r="E205" s="269">
        <v>17603.82</v>
      </c>
      <c r="F205" s="269"/>
      <c r="G205" s="269"/>
      <c r="H205" s="269">
        <v>3490.9</v>
      </c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</row>
    <row r="206" spans="1:23" ht="25.5" customHeight="1">
      <c r="A206" s="9"/>
      <c r="B206" s="130" t="s">
        <v>283</v>
      </c>
      <c r="C206" s="216">
        <f>100000+12000</f>
        <v>112000</v>
      </c>
      <c r="D206" s="261"/>
      <c r="E206" s="269">
        <v>7063.07</v>
      </c>
      <c r="F206" s="269"/>
      <c r="G206" s="269"/>
      <c r="H206" s="269">
        <v>1000</v>
      </c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</row>
    <row r="207" spans="1:23" ht="25.5" customHeight="1">
      <c r="A207" s="9"/>
      <c r="B207" s="130" t="s">
        <v>284</v>
      </c>
      <c r="C207" s="216">
        <v>15000</v>
      </c>
      <c r="D207" s="131"/>
      <c r="E207" s="269">
        <v>9134</v>
      </c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</row>
    <row r="208" spans="1:23" ht="25.5" customHeight="1">
      <c r="A208" s="9"/>
      <c r="B208" s="130" t="s">
        <v>285</v>
      </c>
      <c r="C208" s="216">
        <f>72000+32000</f>
        <v>104000</v>
      </c>
      <c r="D208" s="131"/>
      <c r="E208" s="269"/>
      <c r="F208" s="269"/>
      <c r="G208" s="269"/>
      <c r="H208" s="269">
        <v>1893.9</v>
      </c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</row>
    <row r="209" spans="1:23" ht="25.5" customHeight="1" thickBot="1">
      <c r="A209" s="15"/>
      <c r="B209" s="14" t="s">
        <v>5</v>
      </c>
      <c r="C209" s="170">
        <f>SUM(C205:C208)</f>
        <v>506000</v>
      </c>
      <c r="D209" s="132"/>
      <c r="E209" s="268">
        <f>SUM(E205:E208)</f>
        <v>33800.89</v>
      </c>
      <c r="F209" s="137"/>
      <c r="G209" s="137"/>
      <c r="H209" s="137">
        <f>SUM(H205:H208)</f>
        <v>6384.7999999999993</v>
      </c>
      <c r="I209" s="132"/>
      <c r="J209" s="132"/>
      <c r="K209" s="132"/>
      <c r="L209" s="132"/>
      <c r="M209" s="137"/>
      <c r="N209" s="132"/>
      <c r="O209" s="132"/>
      <c r="P209" s="132"/>
      <c r="Q209" s="132"/>
      <c r="R209" s="307"/>
      <c r="S209" s="308"/>
      <c r="T209" s="308"/>
      <c r="U209" s="307"/>
      <c r="V209" s="307"/>
      <c r="W209" s="318">
        <f>SUM(D209:V209)</f>
        <v>40185.69</v>
      </c>
    </row>
    <row r="210" spans="1:23" ht="25.5" customHeight="1" thickTop="1">
      <c r="A210" s="3" t="s">
        <v>122</v>
      </c>
      <c r="B210" s="4"/>
      <c r="C210" s="287"/>
      <c r="D210" s="133"/>
      <c r="E210" s="305"/>
      <c r="F210" s="306"/>
      <c r="G210" s="306"/>
      <c r="H210" s="306"/>
      <c r="I210" s="133"/>
      <c r="J210" s="133"/>
      <c r="K210" s="133"/>
      <c r="L210" s="133"/>
      <c r="M210" s="136"/>
      <c r="N210" s="133"/>
      <c r="O210" s="133"/>
      <c r="P210" s="133"/>
      <c r="Q210" s="133"/>
      <c r="R210" s="258"/>
      <c r="S210" s="259"/>
      <c r="T210" s="259"/>
      <c r="U210" s="258"/>
      <c r="V210" s="258"/>
    </row>
    <row r="211" spans="1:23" ht="25.5" customHeight="1">
      <c r="A211" s="169"/>
      <c r="B211" s="185" t="s">
        <v>323</v>
      </c>
      <c r="C211" s="190">
        <v>864000</v>
      </c>
      <c r="D211" s="131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</row>
    <row r="212" spans="1:23" ht="25.5" customHeight="1">
      <c r="A212" s="169"/>
      <c r="B212" s="185" t="s">
        <v>324</v>
      </c>
      <c r="C212" s="190">
        <v>1096000</v>
      </c>
      <c r="D212" s="131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</row>
    <row r="213" spans="1:23" ht="25.5" customHeight="1">
      <c r="A213" s="169"/>
      <c r="B213" s="185" t="s">
        <v>325</v>
      </c>
      <c r="C213" s="190">
        <v>580000</v>
      </c>
      <c r="D213" s="133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</row>
    <row r="214" spans="1:23" ht="25.5" customHeight="1">
      <c r="A214" s="169"/>
      <c r="B214" s="185" t="s">
        <v>351</v>
      </c>
      <c r="C214" s="190">
        <v>223000</v>
      </c>
      <c r="D214" s="133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</row>
    <row r="215" spans="1:23" ht="25.5" customHeight="1">
      <c r="A215" s="169"/>
      <c r="B215" s="185"/>
      <c r="C215" s="190"/>
      <c r="D215" s="133"/>
      <c r="E215" s="269"/>
      <c r="F215" s="136"/>
      <c r="G215" s="136"/>
      <c r="H215" s="136"/>
      <c r="I215" s="133"/>
      <c r="J215" s="133"/>
      <c r="K215" s="133"/>
      <c r="L215" s="133"/>
      <c r="M215" s="136"/>
      <c r="N215" s="133"/>
      <c r="O215" s="133"/>
      <c r="P215" s="133"/>
      <c r="Q215" s="133"/>
      <c r="R215" s="258"/>
      <c r="S215" s="259"/>
      <c r="T215" s="259"/>
      <c r="U215" s="258"/>
      <c r="V215" s="258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5"/>
      <c r="B218" s="185"/>
      <c r="C218" s="216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30"/>
      <c r="C219" s="285"/>
      <c r="D219" s="131"/>
      <c r="E219" s="267"/>
      <c r="F219" s="135"/>
      <c r="G219" s="135"/>
      <c r="H219" s="135"/>
      <c r="I219" s="131"/>
      <c r="J219" s="131"/>
      <c r="K219" s="131"/>
      <c r="L219" s="131"/>
      <c r="M219" s="135"/>
      <c r="N219" s="131"/>
      <c r="O219" s="131"/>
      <c r="P219" s="131"/>
      <c r="Q219" s="131"/>
      <c r="R219" s="217"/>
      <c r="S219" s="219"/>
      <c r="T219" s="219"/>
      <c r="U219" s="217"/>
      <c r="V219" s="217"/>
    </row>
    <row r="220" spans="1:23" ht="25.5" customHeight="1" thickBot="1">
      <c r="A220" s="15"/>
      <c r="B220" s="14" t="s">
        <v>5</v>
      </c>
      <c r="C220" s="170">
        <f>SUM(C211:C219)</f>
        <v>2763000</v>
      </c>
      <c r="D220" s="255">
        <f>SUM(D211:D219)</f>
        <v>0</v>
      </c>
      <c r="E220" s="254">
        <f t="shared" ref="E220:V220" si="6">SUM(E211:E219)</f>
        <v>0</v>
      </c>
      <c r="F220" s="254">
        <f t="shared" si="6"/>
        <v>0</v>
      </c>
      <c r="G220" s="254">
        <f t="shared" si="6"/>
        <v>0</v>
      </c>
      <c r="H220" s="254">
        <f t="shared" si="6"/>
        <v>0</v>
      </c>
      <c r="I220" s="255">
        <f>SUM(I211:I219)</f>
        <v>0</v>
      </c>
      <c r="J220" s="255">
        <f t="shared" si="6"/>
        <v>0</v>
      </c>
      <c r="K220" s="255">
        <f t="shared" si="6"/>
        <v>0</v>
      </c>
      <c r="L220" s="255">
        <f t="shared" si="6"/>
        <v>0</v>
      </c>
      <c r="M220" s="254">
        <f t="shared" si="6"/>
        <v>0</v>
      </c>
      <c r="N220" s="255">
        <f t="shared" si="6"/>
        <v>0</v>
      </c>
      <c r="O220" s="255">
        <f t="shared" si="6"/>
        <v>0</v>
      </c>
      <c r="P220" s="255">
        <f t="shared" si="6"/>
        <v>0</v>
      </c>
      <c r="Q220" s="255">
        <f t="shared" si="6"/>
        <v>0</v>
      </c>
      <c r="R220" s="255">
        <f t="shared" si="6"/>
        <v>0</v>
      </c>
      <c r="S220" s="255">
        <f t="shared" si="6"/>
        <v>0</v>
      </c>
      <c r="T220" s="255"/>
      <c r="U220" s="255">
        <f t="shared" si="6"/>
        <v>0</v>
      </c>
      <c r="V220" s="255">
        <f t="shared" si="6"/>
        <v>0</v>
      </c>
      <c r="W220" s="314">
        <f>SUM(D220:V220)</f>
        <v>0</v>
      </c>
    </row>
    <row r="221" spans="1:23" ht="25.5" customHeight="1" thickTop="1">
      <c r="A221" s="20" t="s">
        <v>71</v>
      </c>
      <c r="B221" s="82"/>
      <c r="C221" s="291"/>
      <c r="D221" s="133"/>
      <c r="E221" s="269"/>
      <c r="F221" s="136"/>
      <c r="G221" s="136"/>
      <c r="H221" s="136"/>
      <c r="I221" s="133"/>
      <c r="J221" s="133"/>
      <c r="K221" s="133"/>
      <c r="L221" s="133"/>
      <c r="M221" s="136"/>
      <c r="N221" s="133"/>
      <c r="O221" s="133"/>
      <c r="P221" s="133"/>
      <c r="Q221" s="133"/>
      <c r="R221" s="258"/>
      <c r="S221" s="259"/>
      <c r="T221" s="259"/>
      <c r="U221" s="258"/>
      <c r="V221" s="258"/>
    </row>
    <row r="222" spans="1:23" ht="25.5" customHeight="1">
      <c r="A222" s="66"/>
      <c r="B222" s="96"/>
      <c r="C222" s="216"/>
      <c r="D222" s="131"/>
      <c r="E222" s="267"/>
      <c r="F222" s="135"/>
      <c r="G222" s="135"/>
      <c r="H222" s="135"/>
      <c r="I222" s="131"/>
      <c r="J222" s="131"/>
      <c r="K222" s="131"/>
      <c r="L222" s="131"/>
      <c r="M222" s="135"/>
      <c r="N222" s="131"/>
      <c r="O222" s="131"/>
      <c r="P222" s="131"/>
      <c r="Q222" s="131"/>
      <c r="R222" s="217"/>
      <c r="S222" s="219"/>
      <c r="T222" s="219"/>
      <c r="U222" s="217"/>
      <c r="V222" s="217"/>
    </row>
    <row r="223" spans="1:23" ht="25.5" customHeight="1" thickBot="1">
      <c r="A223" s="167"/>
      <c r="B223" s="95" t="s">
        <v>5</v>
      </c>
      <c r="C223" s="292">
        <f>SUM(C221:C222)</f>
        <v>0</v>
      </c>
      <c r="D223" s="255"/>
      <c r="E223" s="271"/>
      <c r="F223" s="254"/>
      <c r="G223" s="254"/>
      <c r="H223" s="254"/>
      <c r="I223" s="255"/>
      <c r="J223" s="255"/>
      <c r="K223" s="255"/>
      <c r="L223" s="255"/>
      <c r="M223" s="254"/>
      <c r="N223" s="255"/>
      <c r="O223" s="255"/>
      <c r="P223" s="255"/>
      <c r="Q223" s="255"/>
      <c r="R223" s="256"/>
      <c r="S223" s="257"/>
      <c r="T223" s="257"/>
      <c r="U223" s="256"/>
      <c r="V223" s="256"/>
    </row>
    <row r="224" spans="1:23" ht="25.5" customHeight="1" thickTop="1">
      <c r="A224" s="20" t="s">
        <v>115</v>
      </c>
      <c r="B224" s="284"/>
      <c r="C224" s="293"/>
      <c r="D224" s="133"/>
      <c r="E224" s="269"/>
      <c r="F224" s="136"/>
      <c r="G224" s="136"/>
      <c r="H224" s="136"/>
      <c r="I224" s="133"/>
      <c r="J224" s="133"/>
      <c r="K224" s="133"/>
      <c r="L224" s="133"/>
      <c r="M224" s="136"/>
      <c r="N224" s="133"/>
      <c r="O224" s="133"/>
      <c r="P224" s="133"/>
      <c r="Q224" s="133"/>
      <c r="R224" s="258"/>
      <c r="S224" s="259"/>
      <c r="T224" s="259"/>
      <c r="U224" s="258"/>
      <c r="V224" s="258"/>
    </row>
    <row r="225" spans="1:22" ht="25.5" customHeight="1">
      <c r="A225" s="20"/>
      <c r="B225" s="252" t="s">
        <v>291</v>
      </c>
      <c r="C225" s="293"/>
      <c r="D225" s="131"/>
      <c r="E225" s="267"/>
      <c r="F225" s="135"/>
      <c r="G225" s="135"/>
      <c r="H225" s="135"/>
      <c r="I225" s="131"/>
      <c r="J225" s="131"/>
      <c r="K225" s="131"/>
      <c r="L225" s="131"/>
      <c r="M225" s="135"/>
      <c r="N225" s="131"/>
      <c r="O225" s="131"/>
      <c r="P225" s="131"/>
      <c r="Q225" s="131"/>
      <c r="R225" s="217"/>
      <c r="S225" s="219"/>
      <c r="T225" s="219"/>
      <c r="U225" s="217"/>
      <c r="V225" s="217"/>
    </row>
    <row r="226" spans="1:22" ht="25.5" customHeight="1">
      <c r="A226" s="20"/>
      <c r="B226" s="186" t="s">
        <v>286</v>
      </c>
      <c r="C226" s="294">
        <v>10000</v>
      </c>
      <c r="D226" s="131"/>
      <c r="E226" s="267">
        <f>+'ต.ค. '!E227+พ.ย.!E227+ธ.ค.!E227</f>
        <v>0</v>
      </c>
      <c r="F226" s="267">
        <f>+'ต.ค. '!F227+พ.ย.!F227+ธ.ค.!F227</f>
        <v>0</v>
      </c>
      <c r="G226" s="267">
        <f>+'ต.ค. '!G227+พ.ย.!G227+ธ.ค.!G227</f>
        <v>0</v>
      </c>
      <c r="H226" s="267">
        <f>+'ต.ค. '!H227+พ.ย.!H227+ธ.ค.!H227</f>
        <v>0</v>
      </c>
      <c r="I226" s="267">
        <f>+'ต.ค. '!I227+พ.ย.!I227+ธ.ค.!I227</f>
        <v>0</v>
      </c>
      <c r="J226" s="267">
        <f>+'ต.ค. '!J227+พ.ย.!J227+ธ.ค.!J227</f>
        <v>0</v>
      </c>
      <c r="K226" s="267">
        <f>+'ต.ค. '!K227+พ.ย.!K227+ธ.ค.!K227</f>
        <v>0</v>
      </c>
      <c r="L226" s="267">
        <f>+'ต.ค. '!L227+พ.ย.!L227+ธ.ค.!L227</f>
        <v>0</v>
      </c>
      <c r="M226" s="267">
        <f>+'ต.ค. '!M227+พ.ย.!M227+ธ.ค.!M227</f>
        <v>0</v>
      </c>
      <c r="N226" s="267">
        <f>+'ต.ค. '!N227+พ.ย.!N227+ธ.ค.!N227</f>
        <v>0</v>
      </c>
      <c r="O226" s="267">
        <f>+'ต.ค. '!O227+พ.ย.!O227+ธ.ค.!O227</f>
        <v>0</v>
      </c>
      <c r="P226" s="267">
        <f>+'ต.ค. '!P227+พ.ย.!P227+ธ.ค.!P227</f>
        <v>0</v>
      </c>
      <c r="Q226" s="267">
        <f>+'ต.ค. '!Q227+พ.ย.!Q227+ธ.ค.!Q227</f>
        <v>0</v>
      </c>
      <c r="R226" s="267">
        <f>+'ต.ค. '!R227+พ.ย.!R227+ธ.ค.!R227</f>
        <v>0</v>
      </c>
      <c r="S226" s="267">
        <f>+'ต.ค. '!S227+พ.ย.!S227+ธ.ค.!S227</f>
        <v>0</v>
      </c>
      <c r="T226" s="267"/>
      <c r="U226" s="267">
        <f>+'ต.ค. '!U227+พ.ย.!U227+ธ.ค.!U227</f>
        <v>0</v>
      </c>
      <c r="V226" s="267">
        <f>+'ต.ค. '!V227+พ.ย.!V227+ธ.ค.!V227</f>
        <v>0</v>
      </c>
    </row>
    <row r="227" spans="1:22" ht="25.5" customHeight="1">
      <c r="A227" s="20"/>
      <c r="B227" s="186" t="s">
        <v>287</v>
      </c>
      <c r="C227" s="294">
        <v>4500</v>
      </c>
      <c r="D227" s="131"/>
      <c r="E227" s="267">
        <f>+'ต.ค. '!E228+พ.ย.!E228+ธ.ค.!E228</f>
        <v>0</v>
      </c>
      <c r="F227" s="267">
        <f>+'ต.ค. '!F228+พ.ย.!F228+ธ.ค.!F228</f>
        <v>0</v>
      </c>
      <c r="G227" s="267">
        <f>+'ต.ค. '!G228+พ.ย.!G228+ธ.ค.!G228</f>
        <v>0</v>
      </c>
      <c r="H227" s="267">
        <f>+'ต.ค. '!H228+พ.ย.!H228+ธ.ค.!H228</f>
        <v>0</v>
      </c>
      <c r="I227" s="267">
        <f>+'ต.ค. '!I228+พ.ย.!I228+ธ.ค.!I228</f>
        <v>0</v>
      </c>
      <c r="J227" s="267">
        <f>+'ต.ค. '!J228+พ.ย.!J228+ธ.ค.!J228</f>
        <v>0</v>
      </c>
      <c r="K227" s="267">
        <f>+'ต.ค. '!K228+พ.ย.!K228+ธ.ค.!K228</f>
        <v>0</v>
      </c>
      <c r="L227" s="267">
        <f>+'ต.ค. '!L228+พ.ย.!L228+ธ.ค.!L228</f>
        <v>0</v>
      </c>
      <c r="M227" s="267">
        <f>+'ต.ค. '!M228+พ.ย.!M228+ธ.ค.!M228</f>
        <v>0</v>
      </c>
      <c r="N227" s="267">
        <f>+'ต.ค. '!N228+พ.ย.!N228+ธ.ค.!N228</f>
        <v>0</v>
      </c>
      <c r="O227" s="267">
        <f>+'ต.ค. '!O228+พ.ย.!O228+ธ.ค.!O228</f>
        <v>0</v>
      </c>
      <c r="P227" s="267">
        <f>+'ต.ค. '!P228+พ.ย.!P228+ธ.ค.!P228</f>
        <v>0</v>
      </c>
      <c r="Q227" s="267">
        <f>+'ต.ค. '!Q228+พ.ย.!Q228+ธ.ค.!Q228</f>
        <v>0</v>
      </c>
      <c r="R227" s="267">
        <f>+'ต.ค. '!R228+พ.ย.!R228+ธ.ค.!R228</f>
        <v>0</v>
      </c>
      <c r="S227" s="267">
        <f>+'ต.ค. '!S228+พ.ย.!S228+ธ.ค.!S228</f>
        <v>0</v>
      </c>
      <c r="T227" s="267"/>
      <c r="U227" s="267">
        <f>+'ต.ค. '!U228+พ.ย.!U228+ธ.ค.!U228</f>
        <v>0</v>
      </c>
      <c r="V227" s="267">
        <f>+'ต.ค. '!V228+พ.ย.!V228+ธ.ค.!V228</f>
        <v>0</v>
      </c>
    </row>
    <row r="228" spans="1:22" ht="25.5" customHeight="1">
      <c r="A228" s="20"/>
      <c r="B228" s="186" t="s">
        <v>288</v>
      </c>
      <c r="C228" s="294">
        <v>3000</v>
      </c>
      <c r="D228" s="131"/>
      <c r="E228" s="267">
        <f>+'ต.ค. '!E229+พ.ย.!E229+ธ.ค.!E229</f>
        <v>0</v>
      </c>
      <c r="F228" s="267">
        <f>+'ต.ค. '!F229+พ.ย.!F229+ธ.ค.!F229</f>
        <v>0</v>
      </c>
      <c r="G228" s="267">
        <f>+'ต.ค. '!G229+พ.ย.!G229+ธ.ค.!G229</f>
        <v>0</v>
      </c>
      <c r="H228" s="267">
        <f>+'ต.ค. '!H229+พ.ย.!H229+ธ.ค.!H229</f>
        <v>0</v>
      </c>
      <c r="I228" s="267">
        <f>+'ต.ค. '!I229+พ.ย.!I229+ธ.ค.!I229</f>
        <v>0</v>
      </c>
      <c r="J228" s="267">
        <f>+'ต.ค. '!J229+พ.ย.!J229+ธ.ค.!J229</f>
        <v>0</v>
      </c>
      <c r="K228" s="267">
        <f>+'ต.ค. '!K229+พ.ย.!K229+ธ.ค.!K229</f>
        <v>0</v>
      </c>
      <c r="L228" s="267">
        <f>+'ต.ค. '!L229+พ.ย.!L229+ธ.ค.!L229</f>
        <v>0</v>
      </c>
      <c r="M228" s="267">
        <f>+'ต.ค. '!M229+พ.ย.!M229+ธ.ค.!M229</f>
        <v>0</v>
      </c>
      <c r="N228" s="267">
        <f>+'ต.ค. '!N229+พ.ย.!N229+ธ.ค.!N229</f>
        <v>0</v>
      </c>
      <c r="O228" s="267">
        <f>+'ต.ค. '!O229+พ.ย.!O229+ธ.ค.!O229</f>
        <v>0</v>
      </c>
      <c r="P228" s="267">
        <f>+'ต.ค. '!P229+พ.ย.!P229+ธ.ค.!P229</f>
        <v>0</v>
      </c>
      <c r="Q228" s="267">
        <f>+'ต.ค. '!Q229+พ.ย.!Q229+ธ.ค.!Q229</f>
        <v>0</v>
      </c>
      <c r="R228" s="267">
        <f>+'ต.ค. '!R229+พ.ย.!R229+ธ.ค.!R229</f>
        <v>0</v>
      </c>
      <c r="S228" s="267">
        <f>+'ต.ค. '!S229+พ.ย.!S229+ธ.ค.!S229</f>
        <v>0</v>
      </c>
      <c r="T228" s="267"/>
      <c r="U228" s="267">
        <f>+'ต.ค. '!U229+พ.ย.!U229+ธ.ค.!U229</f>
        <v>0</v>
      </c>
      <c r="V228" s="267">
        <f>+'ต.ค. '!V229+พ.ย.!V229+ธ.ค.!V229</f>
        <v>0</v>
      </c>
    </row>
    <row r="229" spans="1:22" ht="25.5" customHeight="1">
      <c r="A229" s="20"/>
      <c r="B229" s="186" t="s">
        <v>289</v>
      </c>
      <c r="C229" s="294">
        <v>20000</v>
      </c>
      <c r="D229" s="131"/>
      <c r="E229" s="267">
        <f>+'ต.ค. '!E230+พ.ย.!E230+ธ.ค.!E230</f>
        <v>0</v>
      </c>
      <c r="F229" s="267">
        <f>+'ต.ค. '!F230+พ.ย.!F230+ธ.ค.!F230</f>
        <v>0</v>
      </c>
      <c r="G229" s="267">
        <f>+'ต.ค. '!G230+พ.ย.!G230+ธ.ค.!G230</f>
        <v>0</v>
      </c>
      <c r="H229" s="267">
        <f>+'ต.ค. '!H230+พ.ย.!H230+ธ.ค.!H230</f>
        <v>0</v>
      </c>
      <c r="I229" s="267">
        <f>+'ต.ค. '!I230+พ.ย.!I230+ธ.ค.!I230</f>
        <v>0</v>
      </c>
      <c r="J229" s="267">
        <f>+'ต.ค. '!J230+พ.ย.!J230+ธ.ค.!J230</f>
        <v>0</v>
      </c>
      <c r="K229" s="267">
        <f>+'ต.ค. '!K230+พ.ย.!K230+ธ.ค.!K230</f>
        <v>0</v>
      </c>
      <c r="L229" s="267">
        <f>+'ต.ค. '!L230+พ.ย.!L230+ธ.ค.!L230</f>
        <v>0</v>
      </c>
      <c r="M229" s="267">
        <f>+'ต.ค. '!M230+พ.ย.!M230+ธ.ค.!M230</f>
        <v>0</v>
      </c>
      <c r="N229" s="267">
        <f>+'ต.ค. '!N230+พ.ย.!N230+ธ.ค.!N230</f>
        <v>0</v>
      </c>
      <c r="O229" s="267">
        <f>+'ต.ค. '!O230+พ.ย.!O230+ธ.ค.!O230</f>
        <v>0</v>
      </c>
      <c r="P229" s="267">
        <f>+'ต.ค. '!P230+พ.ย.!P230+ธ.ค.!P230</f>
        <v>0</v>
      </c>
      <c r="Q229" s="267">
        <f>+'ต.ค. '!Q230+พ.ย.!Q230+ธ.ค.!Q230</f>
        <v>0</v>
      </c>
      <c r="R229" s="267">
        <f>+'ต.ค. '!R230+พ.ย.!R230+ธ.ค.!R230</f>
        <v>0</v>
      </c>
      <c r="S229" s="267">
        <f>+'ต.ค. '!S230+พ.ย.!S230+ธ.ค.!S230</f>
        <v>0</v>
      </c>
      <c r="T229" s="267"/>
      <c r="U229" s="267">
        <f>+'ต.ค. '!U230+พ.ย.!U230+ธ.ค.!U230</f>
        <v>0</v>
      </c>
      <c r="V229" s="267">
        <f>+'ต.ค. '!V230+พ.ย.!V230+ธ.ค.!V230</f>
        <v>0</v>
      </c>
    </row>
    <row r="230" spans="1:22" ht="25.5" customHeight="1">
      <c r="A230" s="20"/>
      <c r="B230" s="186" t="s">
        <v>290</v>
      </c>
      <c r="C230" s="295">
        <f>5500+5500</f>
        <v>11000</v>
      </c>
      <c r="D230" s="131"/>
      <c r="E230" s="267">
        <f>+'ต.ค. '!E231+พ.ย.!E231+ธ.ค.!E231</f>
        <v>0</v>
      </c>
      <c r="F230" s="267">
        <f>+'ต.ค. '!F231+พ.ย.!F231+ธ.ค.!F231</f>
        <v>0</v>
      </c>
      <c r="G230" s="267">
        <f>+'ต.ค. '!G231+พ.ย.!G231+ธ.ค.!G231</f>
        <v>0</v>
      </c>
      <c r="H230" s="267">
        <f>+'ต.ค. '!H231+พ.ย.!H231+ธ.ค.!H231</f>
        <v>0</v>
      </c>
      <c r="I230" s="267">
        <f>+'ต.ค. '!I231+พ.ย.!I231+ธ.ค.!I231</f>
        <v>0</v>
      </c>
      <c r="J230" s="267">
        <f>+'ต.ค. '!J231+พ.ย.!J231+ธ.ค.!J231</f>
        <v>0</v>
      </c>
      <c r="K230" s="267">
        <f>+'ต.ค. '!K231+พ.ย.!K231+ธ.ค.!K231</f>
        <v>0</v>
      </c>
      <c r="L230" s="267">
        <f>+'ต.ค. '!L231+พ.ย.!L231+ธ.ค.!L231</f>
        <v>0</v>
      </c>
      <c r="M230" s="267">
        <f>+'ต.ค. '!M231+พ.ย.!M231+ธ.ค.!M231</f>
        <v>0</v>
      </c>
      <c r="N230" s="267">
        <f>+'ต.ค. '!N231+พ.ย.!N231+ธ.ค.!N231</f>
        <v>0</v>
      </c>
      <c r="O230" s="267">
        <f>+'ต.ค. '!O231+พ.ย.!O231+ธ.ค.!O231</f>
        <v>0</v>
      </c>
      <c r="P230" s="267">
        <f>+'ต.ค. '!P231+พ.ย.!P231+ธ.ค.!P231</f>
        <v>0</v>
      </c>
      <c r="Q230" s="267">
        <f>+'ต.ค. '!Q231+พ.ย.!Q231+ธ.ค.!Q231</f>
        <v>0</v>
      </c>
      <c r="R230" s="267">
        <f>+'ต.ค. '!R231+พ.ย.!R231+ธ.ค.!R231</f>
        <v>0</v>
      </c>
      <c r="S230" s="267">
        <f>+'ต.ค. '!S231+พ.ย.!S231+ธ.ค.!S231</f>
        <v>0</v>
      </c>
      <c r="T230" s="267"/>
      <c r="U230" s="267">
        <f>+'ต.ค. '!U231+พ.ย.!U231+ธ.ค.!U231</f>
        <v>0</v>
      </c>
      <c r="V230" s="267">
        <f>+'ต.ค. '!V231+พ.ย.!V231+ธ.ค.!V231</f>
        <v>0</v>
      </c>
    </row>
    <row r="231" spans="1:22" ht="25.5" customHeight="1">
      <c r="A231" s="20"/>
      <c r="B231" s="186" t="s">
        <v>305</v>
      </c>
      <c r="C231" s="295">
        <v>16000</v>
      </c>
      <c r="D231" s="131"/>
      <c r="E231" s="267">
        <f>+'ต.ค. '!E232+พ.ย.!E232+ธ.ค.!E232</f>
        <v>0</v>
      </c>
      <c r="F231" s="267">
        <f>+'ต.ค. '!F232+พ.ย.!F232+ธ.ค.!F232</f>
        <v>0</v>
      </c>
      <c r="G231" s="267">
        <f>+'ต.ค. '!G232+พ.ย.!G232+ธ.ค.!G232</f>
        <v>0</v>
      </c>
      <c r="H231" s="267">
        <f>+'ต.ค. '!H232+พ.ย.!H232+ธ.ค.!H232</f>
        <v>0</v>
      </c>
      <c r="I231" s="267">
        <f>+'ต.ค. '!I232+พ.ย.!I232+ธ.ค.!I232</f>
        <v>0</v>
      </c>
      <c r="J231" s="267">
        <f>+'ต.ค. '!J232+พ.ย.!J232+ธ.ค.!J232</f>
        <v>0</v>
      </c>
      <c r="K231" s="267">
        <f>+'ต.ค. '!K232+พ.ย.!K232+ธ.ค.!K232</f>
        <v>0</v>
      </c>
      <c r="L231" s="267">
        <f>+'ต.ค. '!L232+พ.ย.!L232+ธ.ค.!L232</f>
        <v>0</v>
      </c>
      <c r="M231" s="267">
        <f>+'ต.ค. '!M232+พ.ย.!M232+ธ.ค.!M232</f>
        <v>0</v>
      </c>
      <c r="N231" s="267">
        <f>+'ต.ค. '!N232+พ.ย.!N232+ธ.ค.!N232</f>
        <v>0</v>
      </c>
      <c r="O231" s="267">
        <f>+'ต.ค. '!O232+พ.ย.!O232+ธ.ค.!O232</f>
        <v>0</v>
      </c>
      <c r="P231" s="267">
        <f>+'ต.ค. '!P232+พ.ย.!P232+ธ.ค.!P232</f>
        <v>0</v>
      </c>
      <c r="Q231" s="267">
        <f>+'ต.ค. '!Q232+พ.ย.!Q232+ธ.ค.!Q232</f>
        <v>0</v>
      </c>
      <c r="R231" s="267">
        <f>+'ต.ค. '!R232+พ.ย.!R232+ธ.ค.!R232</f>
        <v>0</v>
      </c>
      <c r="S231" s="267">
        <f>+'ต.ค. '!S232+พ.ย.!S232+ธ.ค.!S232</f>
        <v>0</v>
      </c>
      <c r="T231" s="267"/>
      <c r="U231" s="267">
        <f>+'ต.ค. '!U232+พ.ย.!U232+ธ.ค.!U232</f>
        <v>0</v>
      </c>
      <c r="V231" s="267">
        <f>+'ต.ค. '!V232+พ.ย.!V232+ธ.ค.!V232</f>
        <v>0</v>
      </c>
    </row>
    <row r="232" spans="1:22" ht="25.5" customHeight="1">
      <c r="A232" s="20"/>
      <c r="B232" s="186" t="s">
        <v>334</v>
      </c>
      <c r="C232" s="295">
        <v>4500</v>
      </c>
      <c r="D232" s="131"/>
      <c r="E232" s="267">
        <f>+'ต.ค. '!E233+พ.ย.!E233+ธ.ค.!E233</f>
        <v>0</v>
      </c>
      <c r="F232" s="267">
        <f>+'ต.ค. '!F233+พ.ย.!F233+ธ.ค.!F233</f>
        <v>0</v>
      </c>
      <c r="G232" s="267">
        <f>+'ต.ค. '!G233+พ.ย.!G233+ธ.ค.!G233</f>
        <v>0</v>
      </c>
      <c r="H232" s="267">
        <f>+'ต.ค. '!H233+พ.ย.!H233+ธ.ค.!H233</f>
        <v>0</v>
      </c>
      <c r="I232" s="267">
        <f>+'ต.ค. '!I233+พ.ย.!I233+ธ.ค.!I233</f>
        <v>0</v>
      </c>
      <c r="J232" s="267">
        <f>+'ต.ค. '!J233+พ.ย.!J233+ธ.ค.!J233</f>
        <v>0</v>
      </c>
      <c r="K232" s="267">
        <f>+'ต.ค. '!K233+พ.ย.!K233+ธ.ค.!K233</f>
        <v>0</v>
      </c>
      <c r="L232" s="267">
        <f>+'ต.ค. '!L233+พ.ย.!L233+ธ.ค.!L233</f>
        <v>0</v>
      </c>
      <c r="M232" s="267">
        <f>+'ต.ค. '!M233+พ.ย.!M233+ธ.ค.!M233</f>
        <v>0</v>
      </c>
      <c r="N232" s="267">
        <f>+'ต.ค. '!N233+พ.ย.!N233+ธ.ค.!N233</f>
        <v>0</v>
      </c>
      <c r="O232" s="267">
        <f>+'ต.ค. '!O233+พ.ย.!O233+ธ.ค.!O233</f>
        <v>0</v>
      </c>
      <c r="P232" s="267">
        <f>+'ต.ค. '!P233+พ.ย.!P233+ธ.ค.!P233</f>
        <v>0</v>
      </c>
      <c r="Q232" s="267">
        <f>+'ต.ค. '!Q233+พ.ย.!Q233+ธ.ค.!Q233</f>
        <v>0</v>
      </c>
      <c r="R232" s="267">
        <f>+'ต.ค. '!R233+พ.ย.!R233+ธ.ค.!R233</f>
        <v>0</v>
      </c>
      <c r="S232" s="267">
        <f>+'ต.ค. '!S233+พ.ย.!S233+ธ.ค.!S233</f>
        <v>0</v>
      </c>
      <c r="T232" s="267"/>
      <c r="U232" s="267">
        <f>+'ต.ค. '!U233+พ.ย.!U233+ธ.ค.!U233</f>
        <v>0</v>
      </c>
      <c r="V232" s="267">
        <f>+'ต.ค. '!V233+พ.ย.!V233+ธ.ค.!V233</f>
        <v>0</v>
      </c>
    </row>
    <row r="233" spans="1:22" ht="25.5" customHeight="1">
      <c r="A233" s="20"/>
      <c r="B233" s="186" t="s">
        <v>335</v>
      </c>
      <c r="C233" s="295">
        <v>4500</v>
      </c>
      <c r="D233" s="131"/>
      <c r="E233" s="267">
        <f>+'ต.ค. '!E234+พ.ย.!E234+ธ.ค.!E234</f>
        <v>0</v>
      </c>
      <c r="F233" s="267">
        <f>+'ต.ค. '!F234+พ.ย.!F234+ธ.ค.!F234</f>
        <v>0</v>
      </c>
      <c r="G233" s="267">
        <f>+'ต.ค. '!G234+พ.ย.!G234+ธ.ค.!G234</f>
        <v>0</v>
      </c>
      <c r="H233" s="267">
        <f>+'ต.ค. '!H234+พ.ย.!H234+ธ.ค.!H234</f>
        <v>0</v>
      </c>
      <c r="I233" s="267">
        <f>+'ต.ค. '!I234+พ.ย.!I234+ธ.ค.!I234</f>
        <v>0</v>
      </c>
      <c r="J233" s="267">
        <f>+'ต.ค. '!J234+พ.ย.!J234+ธ.ค.!J234</f>
        <v>0</v>
      </c>
      <c r="K233" s="267">
        <f>+'ต.ค. '!K234+พ.ย.!K234+ธ.ค.!K234</f>
        <v>0</v>
      </c>
      <c r="L233" s="267">
        <f>+'ต.ค. '!L234+พ.ย.!L234+ธ.ค.!L234</f>
        <v>0</v>
      </c>
      <c r="M233" s="267">
        <f>+'ต.ค. '!M234+พ.ย.!M234+ธ.ค.!M234</f>
        <v>0</v>
      </c>
      <c r="N233" s="267">
        <f>+'ต.ค. '!N234+พ.ย.!N234+ธ.ค.!N234</f>
        <v>0</v>
      </c>
      <c r="O233" s="267">
        <f>+'ต.ค. '!O234+พ.ย.!O234+ธ.ค.!O234</f>
        <v>0</v>
      </c>
      <c r="P233" s="267">
        <f>+'ต.ค. '!P234+พ.ย.!P234+ธ.ค.!P234</f>
        <v>0</v>
      </c>
      <c r="Q233" s="267">
        <f>+'ต.ค. '!Q234+พ.ย.!Q234+ธ.ค.!Q234</f>
        <v>0</v>
      </c>
      <c r="R233" s="267">
        <f>+'ต.ค. '!R234+พ.ย.!R234+ธ.ค.!R234</f>
        <v>0</v>
      </c>
      <c r="S233" s="267">
        <f>+'ต.ค. '!S234+พ.ย.!S234+ธ.ค.!S234</f>
        <v>0</v>
      </c>
      <c r="T233" s="267"/>
      <c r="U233" s="267">
        <f>+'ต.ค. '!U234+พ.ย.!U234+ธ.ค.!U234</f>
        <v>0</v>
      </c>
      <c r="V233" s="267">
        <f>+'ต.ค. '!V234+พ.ย.!V234+ธ.ค.!V234</f>
        <v>0</v>
      </c>
    </row>
    <row r="234" spans="1:22" ht="25.5" customHeight="1">
      <c r="A234" s="20"/>
      <c r="B234" s="252" t="s">
        <v>292</v>
      </c>
      <c r="C234" s="295"/>
      <c r="D234" s="131"/>
      <c r="E234" s="267"/>
      <c r="F234" s="135"/>
      <c r="G234" s="135"/>
      <c r="H234" s="135"/>
      <c r="I234" s="131"/>
      <c r="J234" s="131"/>
      <c r="K234" s="131"/>
      <c r="L234" s="131"/>
      <c r="M234" s="135"/>
      <c r="N234" s="131"/>
      <c r="O234" s="131"/>
      <c r="P234" s="131"/>
      <c r="Q234" s="131"/>
      <c r="R234" s="217"/>
      <c r="S234" s="219"/>
      <c r="T234" s="219"/>
      <c r="U234" s="217"/>
      <c r="V234" s="217"/>
    </row>
    <row r="235" spans="1:22" ht="25.5" customHeight="1">
      <c r="A235" s="20"/>
      <c r="B235" s="186" t="s">
        <v>293</v>
      </c>
      <c r="C235" s="295">
        <v>32000</v>
      </c>
      <c r="D235" s="131"/>
      <c r="E235" s="267">
        <f>+'ต.ค. '!E237+พ.ย.!E236+ธ.ค.!E236</f>
        <v>0</v>
      </c>
      <c r="F235" s="267">
        <f>+'ต.ค. '!F237+พ.ย.!F236+ธ.ค.!F236</f>
        <v>0</v>
      </c>
      <c r="G235" s="267">
        <f>+'ต.ค. '!G237+พ.ย.!G236+ธ.ค.!G236</f>
        <v>0</v>
      </c>
      <c r="H235" s="267">
        <f>+'ต.ค. '!H237+พ.ย.!H236+ธ.ค.!H236</f>
        <v>0</v>
      </c>
      <c r="I235" s="267">
        <f>+'ต.ค. '!I237+พ.ย.!I236+ธ.ค.!I236</f>
        <v>0</v>
      </c>
      <c r="J235" s="267">
        <f>+'ต.ค. '!J237+พ.ย.!J236+ธ.ค.!J236</f>
        <v>0</v>
      </c>
      <c r="K235" s="267">
        <f>+'ต.ค. '!K237+พ.ย.!K236+ธ.ค.!K236</f>
        <v>0</v>
      </c>
      <c r="L235" s="267">
        <f>+'ต.ค. '!L237+พ.ย.!L236+ธ.ค.!L236</f>
        <v>0</v>
      </c>
      <c r="M235" s="267">
        <f>+'ต.ค. '!M237+พ.ย.!M236+ธ.ค.!M236</f>
        <v>0</v>
      </c>
      <c r="N235" s="267">
        <f>+'ต.ค. '!N237+พ.ย.!N236+ธ.ค.!N236</f>
        <v>0</v>
      </c>
      <c r="O235" s="267">
        <f>+'ต.ค. '!O237+พ.ย.!O236+ธ.ค.!O236</f>
        <v>0</v>
      </c>
      <c r="P235" s="267">
        <f>+'ต.ค. '!P237+พ.ย.!P236+ธ.ค.!P236</f>
        <v>0</v>
      </c>
      <c r="Q235" s="267">
        <f>+'ต.ค. '!Q237+พ.ย.!Q236+ธ.ค.!Q236</f>
        <v>0</v>
      </c>
      <c r="R235" s="267">
        <f>+'ต.ค. '!R237+พ.ย.!R236+ธ.ค.!R236</f>
        <v>0</v>
      </c>
      <c r="S235" s="267">
        <f>+'ต.ค. '!S237+พ.ย.!S236+ธ.ค.!S236</f>
        <v>0</v>
      </c>
      <c r="T235" s="267"/>
      <c r="U235" s="267">
        <f>+'ต.ค. '!U237+พ.ย.!U236+ธ.ค.!U236</f>
        <v>0</v>
      </c>
      <c r="V235" s="267">
        <f>+'ต.ค. '!V237+พ.ย.!V236+ธ.ค.!V236</f>
        <v>0</v>
      </c>
    </row>
    <row r="236" spans="1:22" ht="25.5" customHeight="1">
      <c r="A236" s="20"/>
      <c r="B236" s="186" t="s">
        <v>125</v>
      </c>
      <c r="C236" s="295">
        <f>2800+2800+2300</f>
        <v>7900</v>
      </c>
      <c r="D236" s="131"/>
      <c r="E236" s="267">
        <f>+'ต.ค. '!E238+พ.ย.!E237+ธ.ค.!E237</f>
        <v>0</v>
      </c>
      <c r="F236" s="267">
        <f>+'ต.ค. '!F238+พ.ย.!F237+ธ.ค.!F237</f>
        <v>0</v>
      </c>
      <c r="G236" s="267">
        <f>+'ต.ค. '!G238+พ.ย.!G237+ธ.ค.!G237</f>
        <v>0</v>
      </c>
      <c r="H236" s="267">
        <f>+'ต.ค. '!H238+พ.ย.!H237+ธ.ค.!H237</f>
        <v>0</v>
      </c>
      <c r="I236" s="267">
        <f>+'ต.ค. '!I238+พ.ย.!I237+ธ.ค.!I237</f>
        <v>0</v>
      </c>
      <c r="J236" s="267">
        <f>+'ต.ค. '!J238+พ.ย.!J237+ธ.ค.!J237</f>
        <v>0</v>
      </c>
      <c r="K236" s="267">
        <f>+'ต.ค. '!K238+พ.ย.!K237+ธ.ค.!K237</f>
        <v>0</v>
      </c>
      <c r="L236" s="267">
        <f>+'ต.ค. '!L238+พ.ย.!L237+ธ.ค.!L237</f>
        <v>0</v>
      </c>
      <c r="M236" s="267">
        <f>+'ต.ค. '!M238+พ.ย.!M237+ธ.ค.!M237</f>
        <v>0</v>
      </c>
      <c r="N236" s="267">
        <f>+'ต.ค. '!N238+พ.ย.!N237+ธ.ค.!N237</f>
        <v>0</v>
      </c>
      <c r="O236" s="267">
        <f>+'ต.ค. '!O238+พ.ย.!O237+ธ.ค.!O237</f>
        <v>0</v>
      </c>
      <c r="P236" s="267">
        <f>+'ต.ค. '!P238+พ.ย.!P237+ธ.ค.!P237</f>
        <v>0</v>
      </c>
      <c r="Q236" s="267">
        <f>+'ต.ค. '!Q238+พ.ย.!Q237+ธ.ค.!Q237</f>
        <v>0</v>
      </c>
      <c r="R236" s="267">
        <f>+'ต.ค. '!R238+พ.ย.!R237+ธ.ค.!R237</f>
        <v>0</v>
      </c>
      <c r="S236" s="267">
        <f>+'ต.ค. '!S238+พ.ย.!S237+ธ.ค.!S237</f>
        <v>0</v>
      </c>
      <c r="T236" s="267"/>
      <c r="U236" s="267">
        <f>+'ต.ค. '!U238+พ.ย.!U237+ธ.ค.!U237</f>
        <v>0</v>
      </c>
      <c r="V236" s="267">
        <f>+'ต.ค. '!V238+พ.ย.!V237+ธ.ค.!V237</f>
        <v>0</v>
      </c>
    </row>
    <row r="237" spans="1:22" ht="25.5" customHeight="1">
      <c r="A237" s="20"/>
      <c r="B237" s="186" t="s">
        <v>294</v>
      </c>
      <c r="C237" s="295">
        <v>21000</v>
      </c>
      <c r="D237" s="131"/>
      <c r="E237" s="267">
        <f>+'ต.ค. '!E239+พ.ย.!E238+ธ.ค.!E238</f>
        <v>0</v>
      </c>
      <c r="F237" s="267">
        <f>+'ต.ค. '!F239+พ.ย.!F238+ธ.ค.!F238</f>
        <v>0</v>
      </c>
      <c r="G237" s="267">
        <f>+'ต.ค. '!G239+พ.ย.!G238+ธ.ค.!G238</f>
        <v>0</v>
      </c>
      <c r="H237" s="267">
        <f>+'ต.ค. '!H239+พ.ย.!H238+ธ.ค.!H238</f>
        <v>0</v>
      </c>
      <c r="I237" s="267">
        <f>+'ต.ค. '!I239+พ.ย.!I238+ธ.ค.!I238</f>
        <v>0</v>
      </c>
      <c r="J237" s="267">
        <f>+'ต.ค. '!J239+พ.ย.!J238+ธ.ค.!J238</f>
        <v>0</v>
      </c>
      <c r="K237" s="267">
        <f>+'ต.ค. '!K239+พ.ย.!K238+ธ.ค.!K238</f>
        <v>0</v>
      </c>
      <c r="L237" s="267">
        <f>+'ต.ค. '!L239+พ.ย.!L238+ธ.ค.!L238</f>
        <v>0</v>
      </c>
      <c r="M237" s="267">
        <f>+'ต.ค. '!M239+พ.ย.!M238+ธ.ค.!M238</f>
        <v>0</v>
      </c>
      <c r="N237" s="267">
        <f>+'ต.ค. '!N239+พ.ย.!N238+ธ.ค.!N238</f>
        <v>0</v>
      </c>
      <c r="O237" s="267">
        <f>+'ต.ค. '!O239+พ.ย.!O238+ธ.ค.!O238</f>
        <v>0</v>
      </c>
      <c r="P237" s="267">
        <f>+'ต.ค. '!P239+พ.ย.!P238+ธ.ค.!P238</f>
        <v>0</v>
      </c>
      <c r="Q237" s="267">
        <f>+'ต.ค. '!Q239+พ.ย.!Q238+ธ.ค.!Q238</f>
        <v>0</v>
      </c>
      <c r="R237" s="267">
        <f>+'ต.ค. '!R239+พ.ย.!R238+ธ.ค.!R238</f>
        <v>0</v>
      </c>
      <c r="S237" s="267">
        <f>+'ต.ค. '!S239+พ.ย.!S238+ธ.ค.!S238</f>
        <v>0</v>
      </c>
      <c r="T237" s="267"/>
      <c r="U237" s="267">
        <f>+'ต.ค. '!U239+พ.ย.!U238+ธ.ค.!U238</f>
        <v>0</v>
      </c>
      <c r="V237" s="267">
        <f>+'ต.ค. '!V239+พ.ย.!V238+ธ.ค.!V238</f>
        <v>0</v>
      </c>
    </row>
    <row r="238" spans="1:22" ht="25.5" customHeight="1">
      <c r="A238" s="20"/>
      <c r="B238" s="186" t="s">
        <v>293</v>
      </c>
      <c r="C238" s="295">
        <v>16000</v>
      </c>
      <c r="D238" s="131"/>
      <c r="E238" s="267">
        <f>+'ต.ค. '!E240+พ.ย.!E239+ธ.ค.!E239</f>
        <v>0</v>
      </c>
      <c r="F238" s="267">
        <f>+'ต.ค. '!F240+พ.ย.!F239+ธ.ค.!F239</f>
        <v>0</v>
      </c>
      <c r="G238" s="267">
        <f>+'ต.ค. '!G240+พ.ย.!G239+ธ.ค.!G239</f>
        <v>0</v>
      </c>
      <c r="H238" s="267">
        <f>+'ต.ค. '!H240+พ.ย.!H239+ธ.ค.!H239</f>
        <v>0</v>
      </c>
      <c r="I238" s="267">
        <f>+'ต.ค. '!I240+พ.ย.!I239+ธ.ค.!I239</f>
        <v>0</v>
      </c>
      <c r="J238" s="267">
        <f>+'ต.ค. '!J240+พ.ย.!J239+ธ.ค.!J239</f>
        <v>0</v>
      </c>
      <c r="K238" s="267">
        <f>+'ต.ค. '!K240+พ.ย.!K239+ธ.ค.!K239</f>
        <v>0</v>
      </c>
      <c r="L238" s="267">
        <f>+'ต.ค. '!L240+พ.ย.!L239+ธ.ค.!L239</f>
        <v>0</v>
      </c>
      <c r="M238" s="267">
        <f>+'ต.ค. '!M240+พ.ย.!M239+ธ.ค.!M239</f>
        <v>0</v>
      </c>
      <c r="N238" s="267">
        <f>+'ต.ค. '!N240+พ.ย.!N239+ธ.ค.!N239</f>
        <v>0</v>
      </c>
      <c r="O238" s="267">
        <f>+'ต.ค. '!O240+พ.ย.!O239+ธ.ค.!O239</f>
        <v>0</v>
      </c>
      <c r="P238" s="267">
        <f>+'ต.ค. '!P240+พ.ย.!P239+ธ.ค.!P239</f>
        <v>0</v>
      </c>
      <c r="Q238" s="267">
        <f>+'ต.ค. '!Q240+พ.ย.!Q239+ธ.ค.!Q239</f>
        <v>0</v>
      </c>
      <c r="R238" s="267">
        <f>+'ต.ค. '!R240+พ.ย.!R239+ธ.ค.!R239</f>
        <v>0</v>
      </c>
      <c r="S238" s="267">
        <f>+'ต.ค. '!S240+พ.ย.!S239+ธ.ค.!S239</f>
        <v>0</v>
      </c>
      <c r="T238" s="267"/>
      <c r="U238" s="267">
        <f>+'ต.ค. '!U240+พ.ย.!U239+ธ.ค.!U239</f>
        <v>0</v>
      </c>
      <c r="V238" s="267">
        <f>+'ต.ค. '!V240+พ.ย.!V239+ธ.ค.!V239</f>
        <v>0</v>
      </c>
    </row>
    <row r="239" spans="1:22" ht="25.5" customHeight="1">
      <c r="A239" s="20"/>
      <c r="B239" s="186" t="s">
        <v>306</v>
      </c>
      <c r="C239" s="295">
        <v>7700</v>
      </c>
      <c r="D239" s="131"/>
      <c r="E239" s="267">
        <f>+'ต.ค. '!E241+พ.ย.!E240+ธ.ค.!E240</f>
        <v>0</v>
      </c>
      <c r="F239" s="267">
        <f>+'ต.ค. '!F241+พ.ย.!F240+ธ.ค.!F240</f>
        <v>0</v>
      </c>
      <c r="G239" s="267">
        <f>+'ต.ค. '!G241+พ.ย.!G240+ธ.ค.!G240</f>
        <v>0</v>
      </c>
      <c r="H239" s="267">
        <f>+'ต.ค. '!H241+พ.ย.!H240+ธ.ค.!H240</f>
        <v>0</v>
      </c>
      <c r="I239" s="267">
        <f>+'ต.ค. '!I241+พ.ย.!I240+ธ.ค.!I240</f>
        <v>0</v>
      </c>
      <c r="J239" s="267">
        <f>+'ต.ค. '!J241+พ.ย.!J240+ธ.ค.!J240</f>
        <v>0</v>
      </c>
      <c r="K239" s="267">
        <f>+'ต.ค. '!K241+พ.ย.!K240+ธ.ค.!K240</f>
        <v>0</v>
      </c>
      <c r="L239" s="267">
        <f>+'ต.ค. '!L241+พ.ย.!L240+ธ.ค.!L240</f>
        <v>0</v>
      </c>
      <c r="M239" s="267">
        <f>+'ต.ค. '!M241+พ.ย.!M240+ธ.ค.!M240</f>
        <v>0</v>
      </c>
      <c r="N239" s="267">
        <f>+'ต.ค. '!N241+พ.ย.!N240+ธ.ค.!N240</f>
        <v>0</v>
      </c>
      <c r="O239" s="267">
        <f>+'ต.ค. '!O241+พ.ย.!O240+ธ.ค.!O240</f>
        <v>0</v>
      </c>
      <c r="P239" s="267">
        <f>+'ต.ค. '!P241+พ.ย.!P240+ธ.ค.!P240</f>
        <v>0</v>
      </c>
      <c r="Q239" s="267">
        <f>+'ต.ค. '!Q241+พ.ย.!Q240+ธ.ค.!Q240</f>
        <v>0</v>
      </c>
      <c r="R239" s="267">
        <f>+'ต.ค. '!R241+พ.ย.!R240+ธ.ค.!R240</f>
        <v>0</v>
      </c>
      <c r="S239" s="267">
        <f>+'ต.ค. '!S241+พ.ย.!S240+ธ.ค.!S240</f>
        <v>0</v>
      </c>
      <c r="T239" s="267"/>
      <c r="U239" s="267">
        <f>+'ต.ค. '!U241+พ.ย.!U240+ธ.ค.!U240</f>
        <v>0</v>
      </c>
      <c r="V239" s="267">
        <f>+'ต.ค. '!V241+พ.ย.!V240+ธ.ค.!V240</f>
        <v>0</v>
      </c>
    </row>
    <row r="240" spans="1:22" ht="25.5" customHeight="1">
      <c r="A240" s="20"/>
      <c r="B240" s="252" t="s">
        <v>336</v>
      </c>
      <c r="C240" s="295"/>
      <c r="D240" s="131"/>
      <c r="E240" s="267"/>
      <c r="F240" s="135"/>
      <c r="G240" s="135"/>
      <c r="H240" s="135"/>
      <c r="I240" s="131"/>
      <c r="J240" s="131"/>
      <c r="K240" s="131"/>
      <c r="L240" s="131"/>
      <c r="M240" s="135"/>
      <c r="N240" s="131"/>
      <c r="O240" s="131"/>
      <c r="P240" s="131"/>
      <c r="Q240" s="131"/>
      <c r="R240" s="217"/>
      <c r="S240" s="219"/>
      <c r="T240" s="219"/>
      <c r="U240" s="217"/>
      <c r="V240" s="217"/>
    </row>
    <row r="241" spans="1:22" ht="25.5" customHeight="1">
      <c r="A241" s="20"/>
      <c r="B241" s="186" t="s">
        <v>337</v>
      </c>
      <c r="C241" s="295">
        <v>9000</v>
      </c>
      <c r="D241" s="131"/>
      <c r="E241" s="267">
        <f>+'ต.ค. '!E244+พ.ย.!E242+ธ.ค.!E242</f>
        <v>0</v>
      </c>
      <c r="F241" s="267">
        <f>+'ต.ค. '!F244+พ.ย.!F242+ธ.ค.!F242</f>
        <v>0</v>
      </c>
      <c r="G241" s="267">
        <f>+'ต.ค. '!G244+พ.ย.!G242+ธ.ค.!G242</f>
        <v>0</v>
      </c>
      <c r="H241" s="267">
        <f>+'ต.ค. '!H244+พ.ย.!H242+ธ.ค.!H242</f>
        <v>0</v>
      </c>
      <c r="I241" s="267">
        <f>+'ต.ค. '!I244+พ.ย.!I242+ธ.ค.!I242</f>
        <v>0</v>
      </c>
      <c r="J241" s="267">
        <f>+'ต.ค. '!J244+พ.ย.!J242+ธ.ค.!J242</f>
        <v>0</v>
      </c>
      <c r="K241" s="267">
        <f>+'ต.ค. '!K244+พ.ย.!K242+ธ.ค.!K242</f>
        <v>0</v>
      </c>
      <c r="L241" s="267">
        <f>+'ต.ค. '!L244+พ.ย.!L242+ธ.ค.!L242</f>
        <v>0</v>
      </c>
      <c r="M241" s="267">
        <f>+'ต.ค. '!M244+พ.ย.!M242+ธ.ค.!M242</f>
        <v>0</v>
      </c>
      <c r="N241" s="267">
        <f>+'ต.ค. '!N244+พ.ย.!N242+ธ.ค.!N242</f>
        <v>0</v>
      </c>
      <c r="O241" s="267">
        <f>+'ต.ค. '!O244+พ.ย.!O242+ธ.ค.!O242</f>
        <v>0</v>
      </c>
      <c r="P241" s="267">
        <f>+'ต.ค. '!P244+พ.ย.!P242+ธ.ค.!P242</f>
        <v>0</v>
      </c>
      <c r="Q241" s="267">
        <f>+'ต.ค. '!Q244+พ.ย.!Q242+ธ.ค.!Q242</f>
        <v>0</v>
      </c>
      <c r="R241" s="267">
        <f>+'ต.ค. '!R244+พ.ย.!R242+ธ.ค.!R242</f>
        <v>0</v>
      </c>
      <c r="S241" s="267">
        <f>+'ต.ค. '!S244+พ.ย.!S242+ธ.ค.!S242</f>
        <v>0</v>
      </c>
      <c r="T241" s="267"/>
      <c r="U241" s="267">
        <f>+'ต.ค. '!U244+พ.ย.!U242+ธ.ค.!U242</f>
        <v>0</v>
      </c>
      <c r="V241" s="267">
        <f>+'ต.ค. '!V244+พ.ย.!V242+ธ.ค.!V242</f>
        <v>0</v>
      </c>
    </row>
    <row r="242" spans="1:22" ht="25.5" customHeight="1">
      <c r="A242" s="20"/>
      <c r="B242" s="252" t="s">
        <v>338</v>
      </c>
      <c r="C242" s="295"/>
      <c r="D242" s="131"/>
      <c r="E242" s="267"/>
      <c r="F242" s="135"/>
      <c r="G242" s="135"/>
      <c r="H242" s="135"/>
      <c r="I242" s="131"/>
      <c r="J242" s="131"/>
      <c r="K242" s="131"/>
      <c r="L242" s="131"/>
      <c r="M242" s="135"/>
      <c r="N242" s="131"/>
      <c r="O242" s="131"/>
      <c r="P242" s="131"/>
      <c r="Q242" s="131"/>
      <c r="R242" s="217"/>
      <c r="S242" s="219"/>
      <c r="T242" s="219"/>
      <c r="U242" s="217"/>
      <c r="V242" s="217"/>
    </row>
    <row r="243" spans="1:22" ht="25.5" customHeight="1">
      <c r="A243" s="20"/>
      <c r="B243" s="186" t="s">
        <v>339</v>
      </c>
      <c r="C243" s="295">
        <v>8000</v>
      </c>
      <c r="D243" s="131"/>
      <c r="E243" s="267">
        <f>+'ต.ค. '!E247+พ.ย.!E244+ธ.ค.!E244</f>
        <v>0</v>
      </c>
      <c r="F243" s="267">
        <f>+'ต.ค. '!F247+พ.ย.!F244+ธ.ค.!F244</f>
        <v>0</v>
      </c>
      <c r="G243" s="267">
        <f>+'ต.ค. '!G247+พ.ย.!G244+ธ.ค.!G244</f>
        <v>0</v>
      </c>
      <c r="H243" s="267">
        <f>+'ต.ค. '!H247+พ.ย.!H244+ธ.ค.!H244</f>
        <v>0</v>
      </c>
      <c r="I243" s="267">
        <f>+'ต.ค. '!I247+พ.ย.!I244+ธ.ค.!I244</f>
        <v>0</v>
      </c>
      <c r="J243" s="267">
        <f>+'ต.ค. '!J247+พ.ย.!J244+ธ.ค.!J244</f>
        <v>0</v>
      </c>
      <c r="K243" s="267">
        <f>+'ต.ค. '!K247+พ.ย.!K244+ธ.ค.!K244</f>
        <v>0</v>
      </c>
      <c r="L243" s="267">
        <f>+'ต.ค. '!L247+พ.ย.!L244+ธ.ค.!L244</f>
        <v>0</v>
      </c>
      <c r="M243" s="267">
        <f>+'ต.ค. '!M247+พ.ย.!M244+ธ.ค.!M244</f>
        <v>0</v>
      </c>
      <c r="N243" s="267">
        <f>+'ต.ค. '!N247+พ.ย.!N244+ธ.ค.!N244</f>
        <v>0</v>
      </c>
      <c r="O243" s="267">
        <f>+'ต.ค. '!O247+พ.ย.!O244+ธ.ค.!O244</f>
        <v>0</v>
      </c>
      <c r="P243" s="267">
        <f>+'ต.ค. '!P247+พ.ย.!P244+ธ.ค.!P244</f>
        <v>0</v>
      </c>
      <c r="Q243" s="267">
        <f>+'ต.ค. '!Q247+พ.ย.!Q244+ธ.ค.!Q244</f>
        <v>0</v>
      </c>
      <c r="R243" s="267">
        <f>+'ต.ค. '!R247+พ.ย.!R244+ธ.ค.!R244</f>
        <v>0</v>
      </c>
      <c r="S243" s="267">
        <f>+'ต.ค. '!S247+พ.ย.!S244+ธ.ค.!S244</f>
        <v>0</v>
      </c>
      <c r="T243" s="267"/>
      <c r="U243" s="267">
        <f>+'ต.ค. '!U247+พ.ย.!U244+ธ.ค.!U244</f>
        <v>0</v>
      </c>
      <c r="V243" s="267">
        <f>+'ต.ค. '!V247+พ.ย.!V244+ธ.ค.!V244</f>
        <v>0</v>
      </c>
    </row>
    <row r="244" spans="1:22" ht="25.5" customHeight="1">
      <c r="A244" s="20"/>
      <c r="B244" s="186" t="s">
        <v>340</v>
      </c>
      <c r="C244" s="295">
        <v>6000</v>
      </c>
      <c r="D244" s="131"/>
      <c r="E244" s="267">
        <f>+'ต.ค. '!E248+พ.ย.!E245+ธ.ค.!E245</f>
        <v>0</v>
      </c>
      <c r="F244" s="267">
        <f>+'ต.ค. '!F248+พ.ย.!F245+ธ.ค.!F245</f>
        <v>0</v>
      </c>
      <c r="G244" s="267">
        <f>+'ต.ค. '!G248+พ.ย.!G245+ธ.ค.!G245</f>
        <v>0</v>
      </c>
      <c r="H244" s="267">
        <f>+'ต.ค. '!H248+พ.ย.!H245+ธ.ค.!H245</f>
        <v>0</v>
      </c>
      <c r="I244" s="267">
        <f>+'ต.ค. '!I248+พ.ย.!I245+ธ.ค.!I245</f>
        <v>0</v>
      </c>
      <c r="J244" s="267">
        <f>+'ต.ค. '!J248+พ.ย.!J245+ธ.ค.!J245</f>
        <v>0</v>
      </c>
      <c r="K244" s="267">
        <f>+'ต.ค. '!K248+พ.ย.!K245+ธ.ค.!K245</f>
        <v>0</v>
      </c>
      <c r="L244" s="267">
        <f>+'ต.ค. '!L248+พ.ย.!L245+ธ.ค.!L245</f>
        <v>0</v>
      </c>
      <c r="M244" s="267">
        <f>+'ต.ค. '!M248+พ.ย.!M245+ธ.ค.!M245</f>
        <v>0</v>
      </c>
      <c r="N244" s="267">
        <f>+'ต.ค. '!N248+พ.ย.!N245+ธ.ค.!N245</f>
        <v>0</v>
      </c>
      <c r="O244" s="267">
        <f>+'ต.ค. '!O248+พ.ย.!O245+ธ.ค.!O245</f>
        <v>0</v>
      </c>
      <c r="P244" s="267">
        <f>+'ต.ค. '!P248+พ.ย.!P245+ธ.ค.!P245</f>
        <v>0</v>
      </c>
      <c r="Q244" s="267">
        <f>+'ต.ค. '!Q248+พ.ย.!Q245+ธ.ค.!Q245</f>
        <v>0</v>
      </c>
      <c r="R244" s="267">
        <f>+'ต.ค. '!R248+พ.ย.!R245+ธ.ค.!R245</f>
        <v>0</v>
      </c>
      <c r="S244" s="267">
        <f>+'ต.ค. '!S248+พ.ย.!S245+ธ.ค.!S245</f>
        <v>0</v>
      </c>
      <c r="T244" s="267"/>
      <c r="U244" s="267">
        <f>+'ต.ค. '!U248+พ.ย.!U245+ธ.ค.!U245</f>
        <v>0</v>
      </c>
      <c r="V244" s="267">
        <f>+'ต.ค. '!V248+พ.ย.!V245+ธ.ค.!V245</f>
        <v>0</v>
      </c>
    </row>
    <row r="245" spans="1:22" ht="25.5" customHeight="1">
      <c r="A245" s="20"/>
      <c r="B245" s="252" t="s">
        <v>341</v>
      </c>
      <c r="C245" s="295"/>
      <c r="D245" s="131"/>
      <c r="E245" s="267"/>
      <c r="F245" s="135"/>
      <c r="G245" s="135"/>
      <c r="H245" s="135"/>
      <c r="I245" s="131"/>
      <c r="J245" s="131"/>
      <c r="K245" s="131"/>
      <c r="L245" s="131"/>
      <c r="M245" s="135"/>
      <c r="N245" s="131"/>
      <c r="O245" s="131"/>
      <c r="P245" s="131"/>
      <c r="Q245" s="131"/>
      <c r="R245" s="217"/>
      <c r="S245" s="219"/>
      <c r="T245" s="219"/>
      <c r="U245" s="217"/>
      <c r="V245" s="217"/>
    </row>
    <row r="246" spans="1:22" ht="25.5" customHeight="1">
      <c r="A246" s="20"/>
      <c r="B246" s="186" t="s">
        <v>342</v>
      </c>
      <c r="C246" s="295">
        <v>45300</v>
      </c>
      <c r="D246" s="131"/>
      <c r="E246" s="267">
        <f>+'ต.ค. '!E251+พ.ย.!E247+ธ.ค.!E247</f>
        <v>0</v>
      </c>
      <c r="F246" s="267">
        <f>+'ต.ค. '!F251+พ.ย.!F247+ธ.ค.!F247</f>
        <v>0</v>
      </c>
      <c r="G246" s="267">
        <f>+'ต.ค. '!G251+พ.ย.!G247+ธ.ค.!G247</f>
        <v>0</v>
      </c>
      <c r="H246" s="267">
        <f>+'ต.ค. '!H251+พ.ย.!H247+ธ.ค.!H247</f>
        <v>0</v>
      </c>
      <c r="I246" s="267">
        <f>+'ต.ค. '!I251+พ.ย.!I247+ธ.ค.!I247</f>
        <v>0</v>
      </c>
      <c r="J246" s="267">
        <f>+'ต.ค. '!J251+พ.ย.!J247+ธ.ค.!J247</f>
        <v>0</v>
      </c>
      <c r="K246" s="267">
        <f>+'ต.ค. '!K251+พ.ย.!K247+ธ.ค.!K247</f>
        <v>0</v>
      </c>
      <c r="L246" s="267">
        <f>+'ต.ค. '!L251+พ.ย.!L247+ธ.ค.!L247</f>
        <v>0</v>
      </c>
      <c r="M246" s="267">
        <f>+'ต.ค. '!M251+พ.ย.!M247+ธ.ค.!M247</f>
        <v>0</v>
      </c>
      <c r="N246" s="267">
        <f>+'ต.ค. '!N251+พ.ย.!N247+ธ.ค.!N247</f>
        <v>0</v>
      </c>
      <c r="O246" s="267">
        <f>+'ต.ค. '!O251+พ.ย.!O247+ธ.ค.!O247</f>
        <v>0</v>
      </c>
      <c r="P246" s="267">
        <f>+'ต.ค. '!P251+พ.ย.!P247+ธ.ค.!P247</f>
        <v>0</v>
      </c>
      <c r="Q246" s="267">
        <f>+'ต.ค. '!Q251+พ.ย.!Q247+ธ.ค.!Q247</f>
        <v>0</v>
      </c>
      <c r="R246" s="267">
        <f>+'ต.ค. '!R251+พ.ย.!R247+ธ.ค.!R247</f>
        <v>0</v>
      </c>
      <c r="S246" s="267">
        <f>+'ต.ค. '!S251+พ.ย.!S247+ธ.ค.!S247</f>
        <v>0</v>
      </c>
      <c r="T246" s="267"/>
      <c r="U246" s="267">
        <f>+'ต.ค. '!U251+พ.ย.!U247+ธ.ค.!U247</f>
        <v>0</v>
      </c>
      <c r="V246" s="267">
        <f>+'ต.ค. '!V251+พ.ย.!V247+ธ.ค.!V247</f>
        <v>0</v>
      </c>
    </row>
    <row r="247" spans="1:22" ht="25.5" customHeight="1">
      <c r="A247" s="20"/>
      <c r="B247" s="186" t="s">
        <v>343</v>
      </c>
      <c r="C247" s="295">
        <v>128000</v>
      </c>
      <c r="D247" s="131"/>
      <c r="E247" s="267">
        <f>+'ต.ค. '!E252+พ.ย.!E248+ธ.ค.!E248</f>
        <v>0</v>
      </c>
      <c r="F247" s="267">
        <f>+'ต.ค. '!F252+พ.ย.!F248+ธ.ค.!F248</f>
        <v>0</v>
      </c>
      <c r="G247" s="267">
        <f>+'ต.ค. '!G252+พ.ย.!G248+ธ.ค.!G248</f>
        <v>0</v>
      </c>
      <c r="H247" s="267">
        <f>+'ต.ค. '!H252+พ.ย.!H248+ธ.ค.!H248</f>
        <v>0</v>
      </c>
      <c r="I247" s="267">
        <f>+'ต.ค. '!I252+พ.ย.!I248+ธ.ค.!I248</f>
        <v>0</v>
      </c>
      <c r="J247" s="267">
        <f>+'ต.ค. '!J252+พ.ย.!J248+ธ.ค.!J248</f>
        <v>0</v>
      </c>
      <c r="K247" s="267">
        <f>+'ต.ค. '!K252+พ.ย.!K248+ธ.ค.!K248</f>
        <v>0</v>
      </c>
      <c r="L247" s="267">
        <f>+'ต.ค. '!L252+พ.ย.!L248+ธ.ค.!L248</f>
        <v>0</v>
      </c>
      <c r="M247" s="267">
        <f>+'ต.ค. '!M252+พ.ย.!M248+ธ.ค.!M248</f>
        <v>0</v>
      </c>
      <c r="N247" s="267">
        <f>+'ต.ค. '!N252+พ.ย.!N248+ธ.ค.!N248</f>
        <v>0</v>
      </c>
      <c r="O247" s="267">
        <f>+'ต.ค. '!O252+พ.ย.!O248+ธ.ค.!O248</f>
        <v>0</v>
      </c>
      <c r="P247" s="267">
        <f>+'ต.ค. '!P252+พ.ย.!P248+ธ.ค.!P248</f>
        <v>0</v>
      </c>
      <c r="Q247" s="267">
        <f>+'ต.ค. '!Q252+พ.ย.!Q248+ธ.ค.!Q248</f>
        <v>0</v>
      </c>
      <c r="R247" s="267">
        <f>+'ต.ค. '!R252+พ.ย.!R248+ธ.ค.!R248</f>
        <v>0</v>
      </c>
      <c r="S247" s="267">
        <f>+'ต.ค. '!S252+พ.ย.!S248+ธ.ค.!S248</f>
        <v>0</v>
      </c>
      <c r="T247" s="267"/>
      <c r="U247" s="267">
        <f>+'ต.ค. '!U252+พ.ย.!U248+ธ.ค.!U248</f>
        <v>0</v>
      </c>
      <c r="V247" s="267">
        <f>+'ต.ค. '!V252+พ.ย.!V248+ธ.ค.!V248</f>
        <v>0</v>
      </c>
    </row>
    <row r="248" spans="1:22" ht="25.5" customHeight="1">
      <c r="A248" s="20"/>
      <c r="B248" s="186" t="s">
        <v>264</v>
      </c>
      <c r="C248" s="295">
        <v>204000</v>
      </c>
      <c r="D248" s="131"/>
      <c r="E248" s="267">
        <f>+'ต.ค. '!E253+พ.ย.!E249+ธ.ค.!E249</f>
        <v>0</v>
      </c>
      <c r="F248" s="267">
        <f>+'ต.ค. '!F253+พ.ย.!F249+ธ.ค.!F249</f>
        <v>0</v>
      </c>
      <c r="G248" s="267">
        <f>+'ต.ค. '!G253+พ.ย.!G249+ธ.ค.!G249</f>
        <v>0</v>
      </c>
      <c r="H248" s="267">
        <f>+'ต.ค. '!H253+พ.ย.!H249+ธ.ค.!H249</f>
        <v>0</v>
      </c>
      <c r="I248" s="267">
        <f>+'ต.ค. '!I253+พ.ย.!I249+ธ.ค.!I249</f>
        <v>0</v>
      </c>
      <c r="J248" s="267">
        <f>+'ต.ค. '!J253+พ.ย.!J249+ธ.ค.!J249</f>
        <v>0</v>
      </c>
      <c r="K248" s="267">
        <f>+'ต.ค. '!K253+พ.ย.!K249+ธ.ค.!K249</f>
        <v>0</v>
      </c>
      <c r="L248" s="267">
        <f>+'ต.ค. '!L253+พ.ย.!L249+ธ.ค.!L249</f>
        <v>0</v>
      </c>
      <c r="M248" s="267">
        <f>+'ต.ค. '!M253+พ.ย.!M249+ธ.ค.!M249</f>
        <v>0</v>
      </c>
      <c r="N248" s="267">
        <f>+'ต.ค. '!N253+พ.ย.!N249+ธ.ค.!N249</f>
        <v>0</v>
      </c>
      <c r="O248" s="267">
        <f>+'ต.ค. '!O253+พ.ย.!O249+ธ.ค.!O249</f>
        <v>0</v>
      </c>
      <c r="P248" s="267">
        <f>+'ต.ค. '!P253+พ.ย.!P249+ธ.ค.!P249</f>
        <v>0</v>
      </c>
      <c r="Q248" s="267">
        <f>+'ต.ค. '!Q253+พ.ย.!Q249+ธ.ค.!Q249</f>
        <v>0</v>
      </c>
      <c r="R248" s="267">
        <f>+'ต.ค. '!R253+พ.ย.!R249+ธ.ค.!R249</f>
        <v>0</v>
      </c>
      <c r="S248" s="267">
        <f>+'ต.ค. '!S253+พ.ย.!S249+ธ.ค.!S249</f>
        <v>0</v>
      </c>
      <c r="T248" s="267"/>
      <c r="U248" s="267">
        <f>+'ต.ค. '!U253+พ.ย.!U249+ธ.ค.!U249</f>
        <v>0</v>
      </c>
      <c r="V248" s="267">
        <f>+'ต.ค. '!V253+พ.ย.!V249+ธ.ค.!V249</f>
        <v>0</v>
      </c>
    </row>
    <row r="249" spans="1:22" ht="25.5" customHeight="1">
      <c r="A249" s="20"/>
      <c r="B249" s="186" t="s">
        <v>381</v>
      </c>
      <c r="C249" s="295">
        <v>204000</v>
      </c>
      <c r="D249" s="131"/>
      <c r="E249" s="267">
        <f>+'ต.ค. '!E254+พ.ย.!E250+ธ.ค.!E250</f>
        <v>0</v>
      </c>
      <c r="F249" s="267">
        <f>+'ต.ค. '!F254+พ.ย.!F250+ธ.ค.!F250</f>
        <v>0</v>
      </c>
      <c r="G249" s="267">
        <f>+'ต.ค. '!G254+พ.ย.!G250+ธ.ค.!G250</f>
        <v>0</v>
      </c>
      <c r="H249" s="267">
        <f>+'ต.ค. '!H254+พ.ย.!H250+ธ.ค.!H250</f>
        <v>0</v>
      </c>
      <c r="I249" s="267">
        <f>+'ต.ค. '!I254+พ.ย.!I250+ธ.ค.!I250</f>
        <v>0</v>
      </c>
      <c r="J249" s="267">
        <f>+'ต.ค. '!J254+พ.ย.!J250+ธ.ค.!J250</f>
        <v>0</v>
      </c>
      <c r="K249" s="267">
        <f>+'ต.ค. '!K254+พ.ย.!K250+ธ.ค.!K250</f>
        <v>0</v>
      </c>
      <c r="L249" s="267">
        <f>+'ต.ค. '!L254+พ.ย.!L250+ธ.ค.!L250</f>
        <v>0</v>
      </c>
      <c r="M249" s="267">
        <f>+'ต.ค. '!M254+พ.ย.!M250+ธ.ค.!M250</f>
        <v>0</v>
      </c>
      <c r="N249" s="267">
        <f>+'ต.ค. '!N254+พ.ย.!N250+ธ.ค.!N250</f>
        <v>0</v>
      </c>
      <c r="O249" s="267">
        <f>+'ต.ค. '!O254+พ.ย.!O250+ธ.ค.!O250</f>
        <v>0</v>
      </c>
      <c r="P249" s="267">
        <f>+'ต.ค. '!P254+พ.ย.!P250+ธ.ค.!P250</f>
        <v>0</v>
      </c>
      <c r="Q249" s="267">
        <f>+'ต.ค. '!Q254+พ.ย.!Q250+ธ.ค.!Q250</f>
        <v>0</v>
      </c>
      <c r="R249" s="267">
        <f>+'ต.ค. '!R254+พ.ย.!R250+ธ.ค.!R250</f>
        <v>0</v>
      </c>
      <c r="S249" s="267">
        <f>+'ต.ค. '!S254+พ.ย.!S250+ธ.ค.!S250</f>
        <v>0</v>
      </c>
      <c r="T249" s="267"/>
      <c r="U249" s="267">
        <f>+'ต.ค. '!U254+พ.ย.!U250+ธ.ค.!U250</f>
        <v>0</v>
      </c>
      <c r="V249" s="267">
        <f>+'ต.ค. '!V254+พ.ย.!V250+ธ.ค.!V250</f>
        <v>0</v>
      </c>
    </row>
    <row r="250" spans="1:22" ht="25.5" customHeight="1">
      <c r="A250" s="20"/>
      <c r="B250" s="186" t="s">
        <v>344</v>
      </c>
      <c r="C250" s="295">
        <v>204000</v>
      </c>
      <c r="D250" s="131"/>
      <c r="E250" s="267">
        <f>+'ต.ค. '!E255+พ.ย.!E251+ธ.ค.!E251</f>
        <v>0</v>
      </c>
      <c r="F250" s="267">
        <f>+'ต.ค. '!F255+พ.ย.!F251+ธ.ค.!F251</f>
        <v>0</v>
      </c>
      <c r="G250" s="267">
        <f>+'ต.ค. '!G255+พ.ย.!G251+ธ.ค.!G251</f>
        <v>0</v>
      </c>
      <c r="H250" s="267">
        <f>+'ต.ค. '!H255+พ.ย.!H251+ธ.ค.!H251</f>
        <v>0</v>
      </c>
      <c r="I250" s="267">
        <f>+'ต.ค. '!I255+พ.ย.!I251+ธ.ค.!I251</f>
        <v>0</v>
      </c>
      <c r="J250" s="267">
        <f>+'ต.ค. '!J255+พ.ย.!J251+ธ.ค.!J251</f>
        <v>0</v>
      </c>
      <c r="K250" s="267">
        <f>+'ต.ค. '!K255+พ.ย.!K251+ธ.ค.!K251</f>
        <v>0</v>
      </c>
      <c r="L250" s="267">
        <f>+'ต.ค. '!L255+พ.ย.!L251+ธ.ค.!L251</f>
        <v>0</v>
      </c>
      <c r="M250" s="267">
        <f>+'ต.ค. '!M255+พ.ย.!M251+ธ.ค.!M251</f>
        <v>0</v>
      </c>
      <c r="N250" s="267">
        <f>+'ต.ค. '!N255+พ.ย.!N251+ธ.ค.!N251</f>
        <v>0</v>
      </c>
      <c r="O250" s="267">
        <f>+'ต.ค. '!O255+พ.ย.!O251+ธ.ค.!O251</f>
        <v>0</v>
      </c>
      <c r="P250" s="267">
        <f>+'ต.ค. '!P255+พ.ย.!P251+ธ.ค.!P251</f>
        <v>0</v>
      </c>
      <c r="Q250" s="267">
        <f>+'ต.ค. '!Q255+พ.ย.!Q251+ธ.ค.!Q251</f>
        <v>0</v>
      </c>
      <c r="R250" s="267">
        <f>+'ต.ค. '!R255+พ.ย.!R251+ธ.ค.!R251</f>
        <v>0</v>
      </c>
      <c r="S250" s="267">
        <f>+'ต.ค. '!S255+พ.ย.!S251+ธ.ค.!S251</f>
        <v>0</v>
      </c>
      <c r="T250" s="267"/>
      <c r="U250" s="267">
        <f>+'ต.ค. '!U255+พ.ย.!U251+ธ.ค.!U251</f>
        <v>0</v>
      </c>
      <c r="V250" s="267">
        <f>+'ต.ค. '!V255+พ.ย.!V251+ธ.ค.!V251</f>
        <v>0</v>
      </c>
    </row>
    <row r="251" spans="1:22" ht="25.5" customHeight="1">
      <c r="A251" s="20"/>
      <c r="B251" s="186" t="s">
        <v>345</v>
      </c>
      <c r="C251" s="295">
        <v>217000</v>
      </c>
      <c r="D251" s="131"/>
      <c r="E251" s="267">
        <f>+'ต.ค. '!E256+พ.ย.!E252+ธ.ค.!E252</f>
        <v>0</v>
      </c>
      <c r="F251" s="267">
        <f>+'ต.ค. '!F256+พ.ย.!F252+ธ.ค.!F252</f>
        <v>0</v>
      </c>
      <c r="G251" s="267">
        <f>+'ต.ค. '!G256+พ.ย.!G252+ธ.ค.!G252</f>
        <v>0</v>
      </c>
      <c r="H251" s="267">
        <f>+'ต.ค. '!H256+พ.ย.!H252+ธ.ค.!H252</f>
        <v>0</v>
      </c>
      <c r="I251" s="267">
        <f>+'ต.ค. '!I256+พ.ย.!I252+ธ.ค.!I252</f>
        <v>0</v>
      </c>
      <c r="J251" s="267">
        <f>+'ต.ค. '!J256+พ.ย.!J252+ธ.ค.!J252</f>
        <v>0</v>
      </c>
      <c r="K251" s="267">
        <f>+'ต.ค. '!K256+พ.ย.!K252+ธ.ค.!K252</f>
        <v>0</v>
      </c>
      <c r="L251" s="267">
        <f>+'ต.ค. '!L256+พ.ย.!L252+ธ.ค.!L252</f>
        <v>0</v>
      </c>
      <c r="M251" s="267">
        <f>+'ต.ค. '!M256+พ.ย.!M252+ธ.ค.!M252</f>
        <v>0</v>
      </c>
      <c r="N251" s="267">
        <f>+'ต.ค. '!N256+พ.ย.!N252+ธ.ค.!N252</f>
        <v>0</v>
      </c>
      <c r="O251" s="267">
        <f>+'ต.ค. '!O256+พ.ย.!O252+ธ.ค.!O252</f>
        <v>0</v>
      </c>
      <c r="P251" s="267">
        <f>+'ต.ค. '!P256+พ.ย.!P252+ธ.ค.!P252</f>
        <v>0</v>
      </c>
      <c r="Q251" s="267">
        <f>+'ต.ค. '!Q256+พ.ย.!Q252+ธ.ค.!Q252</f>
        <v>0</v>
      </c>
      <c r="R251" s="267">
        <f>+'ต.ค. '!R256+พ.ย.!R252+ธ.ค.!R252</f>
        <v>0</v>
      </c>
      <c r="S251" s="267">
        <f>+'ต.ค. '!S256+พ.ย.!S252+ธ.ค.!S252</f>
        <v>0</v>
      </c>
      <c r="T251" s="267"/>
      <c r="U251" s="267">
        <f>+'ต.ค. '!U256+พ.ย.!U252+ธ.ค.!U252</f>
        <v>0</v>
      </c>
      <c r="V251" s="267">
        <f>+'ต.ค. '!V256+พ.ย.!V252+ธ.ค.!V252</f>
        <v>0</v>
      </c>
    </row>
    <row r="252" spans="1:22" ht="25.5" customHeight="1">
      <c r="A252" s="20"/>
      <c r="B252" s="186" t="s">
        <v>346</v>
      </c>
      <c r="C252" s="295">
        <v>27000</v>
      </c>
      <c r="D252" s="131"/>
      <c r="E252" s="267">
        <f>+'ต.ค. '!E257+พ.ย.!E253+ธ.ค.!E253</f>
        <v>0</v>
      </c>
      <c r="F252" s="267">
        <f>+'ต.ค. '!F257+พ.ย.!F253+ธ.ค.!F253</f>
        <v>0</v>
      </c>
      <c r="G252" s="267">
        <f>+'ต.ค. '!G257+พ.ย.!G253+ธ.ค.!G253</f>
        <v>0</v>
      </c>
      <c r="H252" s="267">
        <f>+'ต.ค. '!H257+พ.ย.!H253+ธ.ค.!H253</f>
        <v>0</v>
      </c>
      <c r="I252" s="267">
        <f>+'ต.ค. '!I257+พ.ย.!I253+ธ.ค.!I253</f>
        <v>0</v>
      </c>
      <c r="J252" s="267">
        <f>+'ต.ค. '!J257+พ.ย.!J253+ธ.ค.!J253</f>
        <v>0</v>
      </c>
      <c r="K252" s="267">
        <f>+'ต.ค. '!K257+พ.ย.!K253+ธ.ค.!K253</f>
        <v>0</v>
      </c>
      <c r="L252" s="267">
        <f>+'ต.ค. '!L257+พ.ย.!L253+ธ.ค.!L253</f>
        <v>0</v>
      </c>
      <c r="M252" s="267">
        <f>+'ต.ค. '!M257+พ.ย.!M253+ธ.ค.!M253</f>
        <v>0</v>
      </c>
      <c r="N252" s="267">
        <f>+'ต.ค. '!N257+พ.ย.!N253+ธ.ค.!N253</f>
        <v>0</v>
      </c>
      <c r="O252" s="267">
        <f>+'ต.ค. '!O257+พ.ย.!O253+ธ.ค.!O253</f>
        <v>0</v>
      </c>
      <c r="P252" s="267">
        <f>+'ต.ค. '!P257+พ.ย.!P253+ธ.ค.!P253</f>
        <v>0</v>
      </c>
      <c r="Q252" s="267">
        <f>+'ต.ค. '!Q257+พ.ย.!Q253+ธ.ค.!Q253</f>
        <v>0</v>
      </c>
      <c r="R252" s="267">
        <f>+'ต.ค. '!R257+พ.ย.!R253+ธ.ค.!R253</f>
        <v>0</v>
      </c>
      <c r="S252" s="267">
        <f>+'ต.ค. '!S257+พ.ย.!S253+ธ.ค.!S253</f>
        <v>0</v>
      </c>
      <c r="T252" s="267"/>
      <c r="U252" s="267">
        <f>+'ต.ค. '!U257+พ.ย.!U253+ธ.ค.!U253</f>
        <v>0</v>
      </c>
      <c r="V252" s="267">
        <f>+'ต.ค. '!V257+พ.ย.!V253+ธ.ค.!V253</f>
        <v>0</v>
      </c>
    </row>
    <row r="253" spans="1:22" ht="25.5" customHeight="1">
      <c r="A253" s="20"/>
      <c r="B253" s="186" t="s">
        <v>347</v>
      </c>
      <c r="C253" s="295">
        <v>211000</v>
      </c>
      <c r="D253" s="131"/>
      <c r="E253" s="267">
        <f>+'ต.ค. '!E258+พ.ย.!E254+ธ.ค.!E254</f>
        <v>0</v>
      </c>
      <c r="F253" s="267">
        <f>+'ต.ค. '!F258+พ.ย.!F254+ธ.ค.!F254</f>
        <v>0</v>
      </c>
      <c r="G253" s="267">
        <f>+'ต.ค. '!G258+พ.ย.!G254+ธ.ค.!G254</f>
        <v>0</v>
      </c>
      <c r="H253" s="267">
        <f>+'ต.ค. '!H258+พ.ย.!H254+ธ.ค.!H254</f>
        <v>0</v>
      </c>
      <c r="I253" s="267">
        <f>+'ต.ค. '!I258+พ.ย.!I254+ธ.ค.!I254</f>
        <v>0</v>
      </c>
      <c r="J253" s="267">
        <f>+'ต.ค. '!J258+พ.ย.!J254+ธ.ค.!J254</f>
        <v>0</v>
      </c>
      <c r="K253" s="267">
        <f>+'ต.ค. '!K258+พ.ย.!K254+ธ.ค.!K254</f>
        <v>0</v>
      </c>
      <c r="L253" s="267">
        <f>+'ต.ค. '!L258+พ.ย.!L254+ธ.ค.!L254</f>
        <v>0</v>
      </c>
      <c r="M253" s="267">
        <f>+'ต.ค. '!M258+พ.ย.!M254+ธ.ค.!M254</f>
        <v>0</v>
      </c>
      <c r="N253" s="267">
        <f>+'ต.ค. '!N258+พ.ย.!N254+ธ.ค.!N254</f>
        <v>0</v>
      </c>
      <c r="O253" s="267">
        <f>+'ต.ค. '!O258+พ.ย.!O254+ธ.ค.!O254</f>
        <v>0</v>
      </c>
      <c r="P253" s="267">
        <f>+'ต.ค. '!P258+พ.ย.!P254+ธ.ค.!P254</f>
        <v>0</v>
      </c>
      <c r="Q253" s="267">
        <f>+'ต.ค. '!Q258+พ.ย.!Q254+ธ.ค.!Q254</f>
        <v>0</v>
      </c>
      <c r="R253" s="267">
        <f>+'ต.ค. '!R258+พ.ย.!R254+ธ.ค.!R254</f>
        <v>0</v>
      </c>
      <c r="S253" s="267">
        <f>+'ต.ค. '!S258+พ.ย.!S254+ธ.ค.!S254</f>
        <v>0</v>
      </c>
      <c r="T253" s="267"/>
      <c r="U253" s="267">
        <f>+'ต.ค. '!U258+พ.ย.!U254+ธ.ค.!U254</f>
        <v>0</v>
      </c>
      <c r="V253" s="267">
        <f>+'ต.ค. '!V258+พ.ย.!V254+ธ.ค.!V254</f>
        <v>0</v>
      </c>
    </row>
    <row r="254" spans="1:22" ht="25.5" customHeight="1">
      <c r="A254" s="20"/>
      <c r="B254" s="186" t="s">
        <v>348</v>
      </c>
      <c r="C254" s="295">
        <v>211000</v>
      </c>
      <c r="D254" s="131"/>
      <c r="E254" s="267">
        <f>+'ต.ค. '!E259+พ.ย.!E255+ธ.ค.!E255</f>
        <v>0</v>
      </c>
      <c r="F254" s="267">
        <f>+'ต.ค. '!F259+พ.ย.!F255+ธ.ค.!F255</f>
        <v>0</v>
      </c>
      <c r="G254" s="267">
        <f>+'ต.ค. '!G259+พ.ย.!G255+ธ.ค.!G255</f>
        <v>0</v>
      </c>
      <c r="H254" s="267">
        <f>+'ต.ค. '!H259+พ.ย.!H255+ธ.ค.!H255</f>
        <v>0</v>
      </c>
      <c r="I254" s="267">
        <f>+'ต.ค. '!I259+พ.ย.!I255+ธ.ค.!I255</f>
        <v>0</v>
      </c>
      <c r="J254" s="267">
        <f>+'ต.ค. '!J259+พ.ย.!J255+ธ.ค.!J255</f>
        <v>0</v>
      </c>
      <c r="K254" s="267">
        <f>+'ต.ค. '!K259+พ.ย.!K255+ธ.ค.!K255</f>
        <v>0</v>
      </c>
      <c r="L254" s="267">
        <f>+'ต.ค. '!L259+พ.ย.!L255+ธ.ค.!L255</f>
        <v>0</v>
      </c>
      <c r="M254" s="267">
        <f>+'ต.ค. '!M259+พ.ย.!M255+ธ.ค.!M255</f>
        <v>0</v>
      </c>
      <c r="N254" s="267">
        <f>+'ต.ค. '!N259+พ.ย.!N255+ธ.ค.!N255</f>
        <v>0</v>
      </c>
      <c r="O254" s="267">
        <f>+'ต.ค. '!O259+พ.ย.!O255+ธ.ค.!O255</f>
        <v>0</v>
      </c>
      <c r="P254" s="267">
        <f>+'ต.ค. '!P259+พ.ย.!P255+ธ.ค.!P255</f>
        <v>0</v>
      </c>
      <c r="Q254" s="267">
        <f>+'ต.ค. '!Q259+พ.ย.!Q255+ธ.ค.!Q255</f>
        <v>0</v>
      </c>
      <c r="R254" s="267">
        <f>+'ต.ค. '!R259+พ.ย.!R255+ธ.ค.!R255</f>
        <v>0</v>
      </c>
      <c r="S254" s="267">
        <f>+'ต.ค. '!S259+พ.ย.!S255+ธ.ค.!S255</f>
        <v>0</v>
      </c>
      <c r="T254" s="267"/>
      <c r="U254" s="267">
        <f>+'ต.ค. '!U259+พ.ย.!U255+ธ.ค.!U255</f>
        <v>0</v>
      </c>
      <c r="V254" s="267">
        <f>+'ต.ค. '!V259+พ.ย.!V255+ธ.ค.!V255</f>
        <v>0</v>
      </c>
    </row>
    <row r="255" spans="1:22" ht="25.5" customHeight="1">
      <c r="A255" s="20"/>
      <c r="B255" s="186" t="s">
        <v>349</v>
      </c>
      <c r="C255" s="296">
        <v>688700</v>
      </c>
      <c r="D255" s="131"/>
      <c r="E255" s="267">
        <f>+'ต.ค. '!E260+พ.ย.!E256+ธ.ค.!E256</f>
        <v>0</v>
      </c>
      <c r="F255" s="267">
        <f>+'ต.ค. '!F260+พ.ย.!F256+ธ.ค.!F256</f>
        <v>0</v>
      </c>
      <c r="G255" s="267">
        <f>+'ต.ค. '!G260+พ.ย.!G256+ธ.ค.!G256</f>
        <v>0</v>
      </c>
      <c r="H255" s="267">
        <f>+'ต.ค. '!H260+พ.ย.!H256+ธ.ค.!H256</f>
        <v>0</v>
      </c>
      <c r="I255" s="267">
        <f>+'ต.ค. '!I260+พ.ย.!I256+ธ.ค.!I256</f>
        <v>0</v>
      </c>
      <c r="J255" s="267">
        <f>+'ต.ค. '!J260+พ.ย.!J256+ธ.ค.!J256</f>
        <v>0</v>
      </c>
      <c r="K255" s="267">
        <f>+'ต.ค. '!K260+พ.ย.!K256+ธ.ค.!K256</f>
        <v>0</v>
      </c>
      <c r="L255" s="267">
        <f>+'ต.ค. '!L260+พ.ย.!L256+ธ.ค.!L256</f>
        <v>0</v>
      </c>
      <c r="M255" s="267">
        <f>+'ต.ค. '!M260+พ.ย.!M256+ธ.ค.!M256</f>
        <v>0</v>
      </c>
      <c r="N255" s="267">
        <f>+'ต.ค. '!N260+พ.ย.!N256+ธ.ค.!N256</f>
        <v>0</v>
      </c>
      <c r="O255" s="267">
        <f>+'ต.ค. '!O260+พ.ย.!O256+ธ.ค.!O256</f>
        <v>0</v>
      </c>
      <c r="P255" s="267">
        <f>+'ต.ค. '!P260+พ.ย.!P256+ธ.ค.!P256</f>
        <v>0</v>
      </c>
      <c r="Q255" s="267">
        <f>+'ต.ค. '!Q260+พ.ย.!Q256+ธ.ค.!Q256</f>
        <v>0</v>
      </c>
      <c r="R255" s="267">
        <f>+'ต.ค. '!R260+พ.ย.!R256+ธ.ค.!R256</f>
        <v>0</v>
      </c>
      <c r="S255" s="267">
        <f>+'ต.ค. '!S260+พ.ย.!S256+ธ.ค.!S256</f>
        <v>0</v>
      </c>
      <c r="T255" s="267"/>
      <c r="U255" s="267">
        <f>+'ต.ค. '!U260+พ.ย.!U256+ธ.ค.!U256</f>
        <v>0</v>
      </c>
      <c r="V255" s="267">
        <f>+'ต.ค. '!V260+พ.ย.!V256+ธ.ค.!V256</f>
        <v>0</v>
      </c>
    </row>
    <row r="256" spans="1:22" ht="25.5" customHeight="1">
      <c r="A256" s="20"/>
      <c r="B256" s="186" t="s">
        <v>350</v>
      </c>
      <c r="C256" s="297">
        <v>62000</v>
      </c>
      <c r="D256" s="131"/>
      <c r="E256" s="267">
        <f>+'ต.ค. '!E261+พ.ย.!E257+ธ.ค.!E257</f>
        <v>0</v>
      </c>
      <c r="F256" s="267">
        <f>+'ต.ค. '!F261+พ.ย.!F257+ธ.ค.!F257</f>
        <v>0</v>
      </c>
      <c r="G256" s="267">
        <f>+'ต.ค. '!G261+พ.ย.!G257+ธ.ค.!G257</f>
        <v>0</v>
      </c>
      <c r="H256" s="267">
        <f>+'ต.ค. '!H261+พ.ย.!H257+ธ.ค.!H257</f>
        <v>0</v>
      </c>
      <c r="I256" s="267">
        <f>+'ต.ค. '!I261+พ.ย.!I257+ธ.ค.!I257</f>
        <v>0</v>
      </c>
      <c r="J256" s="267">
        <f>+'ต.ค. '!J261+พ.ย.!J257+ธ.ค.!J257</f>
        <v>0</v>
      </c>
      <c r="K256" s="267">
        <f>+'ต.ค. '!K261+พ.ย.!K257+ธ.ค.!K257</f>
        <v>0</v>
      </c>
      <c r="L256" s="267">
        <f>+'ต.ค. '!L261+พ.ย.!L257+ธ.ค.!L257</f>
        <v>0</v>
      </c>
      <c r="M256" s="267">
        <f>+'ต.ค. '!M261+พ.ย.!M257+ธ.ค.!M257</f>
        <v>0</v>
      </c>
      <c r="N256" s="267">
        <f>+'ต.ค. '!N261+พ.ย.!N257+ธ.ค.!N257</f>
        <v>0</v>
      </c>
      <c r="O256" s="267">
        <f>+'ต.ค. '!O261+พ.ย.!O257+ธ.ค.!O257</f>
        <v>0</v>
      </c>
      <c r="P256" s="267">
        <f>+'ต.ค. '!P261+พ.ย.!P257+ธ.ค.!P257</f>
        <v>0</v>
      </c>
      <c r="Q256" s="267">
        <f>+'ต.ค. '!Q261+พ.ย.!Q257+ธ.ค.!Q257</f>
        <v>0</v>
      </c>
      <c r="R256" s="267">
        <f>+'ต.ค. '!R261+พ.ย.!R257+ธ.ค.!R257</f>
        <v>0</v>
      </c>
      <c r="S256" s="267">
        <f>+'ต.ค. '!S261+พ.ย.!S257+ธ.ค.!S257</f>
        <v>0</v>
      </c>
      <c r="T256" s="267"/>
      <c r="U256" s="267">
        <f>+'ต.ค. '!U261+พ.ย.!U257+ธ.ค.!U257</f>
        <v>0</v>
      </c>
      <c r="V256" s="267">
        <f>+'ต.ค. '!V261+พ.ย.!V257+ธ.ค.!V257</f>
        <v>0</v>
      </c>
    </row>
    <row r="257" spans="1:23" ht="25.5" customHeight="1" thickBot="1">
      <c r="A257" s="24"/>
      <c r="B257" s="45" t="s">
        <v>5</v>
      </c>
      <c r="C257" s="170">
        <f>SUM(C226:C256)</f>
        <v>2383100</v>
      </c>
      <c r="D257" s="255">
        <f>SUM(D226:D256)</f>
        <v>0</v>
      </c>
      <c r="E257" s="254">
        <f t="shared" ref="E257:V257" si="7">SUM(E226:E256)</f>
        <v>0</v>
      </c>
      <c r="F257" s="254">
        <f t="shared" si="7"/>
        <v>0</v>
      </c>
      <c r="G257" s="254">
        <f t="shared" si="7"/>
        <v>0</v>
      </c>
      <c r="H257" s="254">
        <f t="shared" si="7"/>
        <v>0</v>
      </c>
      <c r="I257" s="255">
        <f t="shared" si="7"/>
        <v>0</v>
      </c>
      <c r="J257" s="255">
        <f t="shared" si="7"/>
        <v>0</v>
      </c>
      <c r="K257" s="255">
        <f t="shared" si="7"/>
        <v>0</v>
      </c>
      <c r="L257" s="255">
        <f t="shared" si="7"/>
        <v>0</v>
      </c>
      <c r="M257" s="254">
        <f t="shared" si="7"/>
        <v>0</v>
      </c>
      <c r="N257" s="255">
        <f t="shared" si="7"/>
        <v>0</v>
      </c>
      <c r="O257" s="255">
        <f t="shared" si="7"/>
        <v>0</v>
      </c>
      <c r="P257" s="255">
        <f t="shared" si="7"/>
        <v>0</v>
      </c>
      <c r="Q257" s="255">
        <f t="shared" si="7"/>
        <v>0</v>
      </c>
      <c r="R257" s="255">
        <f t="shared" si="7"/>
        <v>0</v>
      </c>
      <c r="S257" s="255">
        <f t="shared" si="7"/>
        <v>0</v>
      </c>
      <c r="T257" s="255"/>
      <c r="U257" s="255">
        <f t="shared" si="7"/>
        <v>0</v>
      </c>
      <c r="V257" s="255">
        <f t="shared" si="7"/>
        <v>0</v>
      </c>
      <c r="W257" s="314">
        <f>SUM(D257:V257)</f>
        <v>0</v>
      </c>
    </row>
    <row r="258" spans="1:23" ht="25.5" customHeight="1" thickTop="1">
      <c r="A258" s="50" t="s">
        <v>149</v>
      </c>
      <c r="B258" s="4"/>
      <c r="C258" s="193"/>
      <c r="D258" s="133"/>
      <c r="E258" s="269"/>
      <c r="F258" s="136"/>
      <c r="G258" s="136"/>
      <c r="H258" s="136"/>
      <c r="I258" s="133"/>
      <c r="J258" s="133"/>
      <c r="K258" s="133"/>
      <c r="L258" s="133"/>
      <c r="M258" s="136"/>
      <c r="N258" s="133"/>
      <c r="O258" s="133"/>
      <c r="P258" s="133"/>
      <c r="Q258" s="133"/>
      <c r="R258" s="258"/>
      <c r="S258" s="259"/>
      <c r="T258" s="259"/>
      <c r="U258" s="258"/>
      <c r="V258" s="258"/>
    </row>
    <row r="259" spans="1:23" ht="25.5" customHeight="1">
      <c r="A259" s="9"/>
      <c r="B259" s="186"/>
      <c r="C259" s="296"/>
      <c r="D259" s="133"/>
      <c r="E259" s="269"/>
      <c r="F259" s="136"/>
      <c r="G259" s="136"/>
      <c r="H259" s="136"/>
      <c r="I259" s="133"/>
      <c r="J259" s="133"/>
      <c r="K259" s="133"/>
      <c r="L259" s="133"/>
      <c r="M259" s="136"/>
      <c r="N259" s="133"/>
      <c r="O259" s="133"/>
      <c r="P259" s="133"/>
      <c r="Q259" s="133"/>
      <c r="R259" s="258"/>
      <c r="S259" s="259"/>
      <c r="T259" s="259"/>
      <c r="U259" s="258"/>
      <c r="V259" s="258"/>
    </row>
    <row r="260" spans="1:23" ht="25.5" customHeight="1">
      <c r="A260" s="9"/>
      <c r="B260" s="186"/>
      <c r="C260" s="296"/>
      <c r="D260" s="133"/>
      <c r="E260" s="269"/>
      <c r="F260" s="136"/>
      <c r="G260" s="136"/>
      <c r="H260" s="136"/>
      <c r="I260" s="133"/>
      <c r="J260" s="133"/>
      <c r="K260" s="133"/>
      <c r="L260" s="133"/>
      <c r="M260" s="136"/>
      <c r="N260" s="133"/>
      <c r="O260" s="133"/>
      <c r="P260" s="133"/>
      <c r="Q260" s="133"/>
      <c r="R260" s="258"/>
      <c r="S260" s="259"/>
      <c r="T260" s="259"/>
      <c r="U260" s="258"/>
      <c r="V260" s="258"/>
    </row>
    <row r="261" spans="1:23" ht="25.5" customHeight="1">
      <c r="A261" s="9"/>
      <c r="B261" s="186"/>
      <c r="C261" s="296"/>
      <c r="D261" s="133"/>
      <c r="E261" s="269"/>
      <c r="F261" s="136"/>
      <c r="G261" s="136"/>
      <c r="H261" s="136"/>
      <c r="I261" s="133"/>
      <c r="J261" s="133"/>
      <c r="K261" s="133"/>
      <c r="L261" s="133"/>
      <c r="M261" s="136"/>
      <c r="N261" s="133"/>
      <c r="O261" s="133"/>
      <c r="P261" s="133"/>
      <c r="Q261" s="133"/>
      <c r="R261" s="258"/>
      <c r="S261" s="259"/>
      <c r="T261" s="259"/>
      <c r="U261" s="258"/>
      <c r="V261" s="258"/>
    </row>
    <row r="262" spans="1:23" ht="25.5" customHeight="1">
      <c r="A262" s="9"/>
      <c r="B262" s="186"/>
      <c r="C262" s="296"/>
      <c r="D262" s="131"/>
      <c r="E262" s="267"/>
      <c r="F262" s="135"/>
      <c r="G262" s="135"/>
      <c r="H262" s="135"/>
      <c r="I262" s="131"/>
      <c r="J262" s="131"/>
      <c r="K262" s="131"/>
      <c r="L262" s="131"/>
      <c r="M262" s="135"/>
      <c r="N262" s="131"/>
      <c r="O262" s="131"/>
      <c r="P262" s="131"/>
      <c r="Q262" s="131"/>
      <c r="R262" s="217"/>
      <c r="S262" s="219"/>
      <c r="T262" s="219"/>
      <c r="U262" s="217"/>
      <c r="V262" s="217"/>
    </row>
    <row r="263" spans="1:23" ht="25.5" customHeight="1">
      <c r="A263" s="9"/>
      <c r="B263" s="186"/>
      <c r="C263" s="296"/>
      <c r="D263" s="131"/>
      <c r="E263" s="267"/>
      <c r="F263" s="135"/>
      <c r="G263" s="135"/>
      <c r="H263" s="135"/>
      <c r="I263" s="131"/>
      <c r="J263" s="131"/>
      <c r="K263" s="131"/>
      <c r="L263" s="131"/>
      <c r="M263" s="135"/>
      <c r="N263" s="131"/>
      <c r="O263" s="131"/>
      <c r="P263" s="131"/>
      <c r="Q263" s="131"/>
      <c r="R263" s="217"/>
      <c r="S263" s="219"/>
      <c r="T263" s="219"/>
      <c r="U263" s="217"/>
      <c r="V263" s="217"/>
    </row>
    <row r="264" spans="1:23" ht="25.5" customHeight="1">
      <c r="A264" s="9"/>
      <c r="B264" s="186"/>
      <c r="C264" s="296"/>
      <c r="D264" s="131"/>
      <c r="E264" s="267"/>
      <c r="F264" s="135"/>
      <c r="G264" s="135"/>
      <c r="H264" s="135"/>
      <c r="I264" s="131"/>
      <c r="J264" s="131"/>
      <c r="K264" s="131"/>
      <c r="L264" s="131"/>
      <c r="M264" s="135"/>
      <c r="N264" s="131"/>
      <c r="O264" s="131"/>
      <c r="P264" s="131"/>
      <c r="Q264" s="131"/>
      <c r="R264" s="217"/>
      <c r="S264" s="219"/>
      <c r="T264" s="219"/>
      <c r="U264" s="217"/>
      <c r="V264" s="217"/>
    </row>
    <row r="265" spans="1:23" ht="25.5" customHeight="1">
      <c r="A265" s="9"/>
      <c r="B265" s="186"/>
      <c r="C265" s="296"/>
      <c r="D265" s="131"/>
      <c r="E265" s="267"/>
      <c r="F265" s="135"/>
      <c r="G265" s="135"/>
      <c r="H265" s="135"/>
      <c r="I265" s="131"/>
      <c r="J265" s="131"/>
      <c r="K265" s="131"/>
      <c r="L265" s="131"/>
      <c r="M265" s="135"/>
      <c r="N265" s="131"/>
      <c r="O265" s="131"/>
      <c r="P265" s="131"/>
      <c r="Q265" s="131"/>
      <c r="R265" s="217"/>
      <c r="S265" s="219"/>
      <c r="T265" s="219"/>
      <c r="U265" s="217"/>
      <c r="V265" s="217"/>
    </row>
    <row r="266" spans="1:23" ht="25.5" customHeight="1">
      <c r="A266" s="9"/>
      <c r="B266" s="186"/>
      <c r="C266" s="296"/>
      <c r="D266" s="131"/>
      <c r="E266" s="267"/>
      <c r="F266" s="135"/>
      <c r="G266" s="135"/>
      <c r="H266" s="135"/>
      <c r="I266" s="131"/>
      <c r="J266" s="131"/>
      <c r="K266" s="131"/>
      <c r="L266" s="131"/>
      <c r="M266" s="135"/>
      <c r="N266" s="131"/>
      <c r="O266" s="131"/>
      <c r="P266" s="131"/>
      <c r="Q266" s="131"/>
      <c r="R266" s="217"/>
      <c r="S266" s="219"/>
      <c r="T266" s="219"/>
      <c r="U266" s="217"/>
      <c r="V266" s="217"/>
    </row>
    <row r="267" spans="1:23" ht="25.5" customHeight="1" thickBot="1">
      <c r="A267" s="15"/>
      <c r="B267" s="14" t="s">
        <v>5</v>
      </c>
      <c r="C267" s="170">
        <f>SUM(C259:C266)</f>
        <v>0</v>
      </c>
      <c r="D267" s="255">
        <f>SUM(D259:D266)</f>
        <v>0</v>
      </c>
      <c r="E267" s="254">
        <f t="shared" ref="E267:V267" si="8">SUM(E259:E266)</f>
        <v>0</v>
      </c>
      <c r="F267" s="254">
        <f t="shared" si="8"/>
        <v>0</v>
      </c>
      <c r="G267" s="254">
        <f t="shared" si="8"/>
        <v>0</v>
      </c>
      <c r="H267" s="254">
        <f t="shared" si="8"/>
        <v>0</v>
      </c>
      <c r="I267" s="255">
        <f t="shared" si="8"/>
        <v>0</v>
      </c>
      <c r="J267" s="255">
        <f t="shared" si="8"/>
        <v>0</v>
      </c>
      <c r="K267" s="255">
        <f t="shared" si="8"/>
        <v>0</v>
      </c>
      <c r="L267" s="255">
        <f t="shared" si="8"/>
        <v>0</v>
      </c>
      <c r="M267" s="254">
        <f t="shared" si="8"/>
        <v>0</v>
      </c>
      <c r="N267" s="255">
        <f t="shared" si="8"/>
        <v>0</v>
      </c>
      <c r="O267" s="255">
        <f t="shared" si="8"/>
        <v>0</v>
      </c>
      <c r="P267" s="255">
        <f t="shared" si="8"/>
        <v>0</v>
      </c>
      <c r="Q267" s="255">
        <f t="shared" si="8"/>
        <v>0</v>
      </c>
      <c r="R267" s="255">
        <f t="shared" si="8"/>
        <v>0</v>
      </c>
      <c r="S267" s="255">
        <f t="shared" si="8"/>
        <v>0</v>
      </c>
      <c r="T267" s="255"/>
      <c r="U267" s="255">
        <f t="shared" si="8"/>
        <v>0</v>
      </c>
      <c r="V267" s="255">
        <f t="shared" si="8"/>
        <v>0</v>
      </c>
      <c r="W267" s="314">
        <f>SUM(D267:V267)</f>
        <v>0</v>
      </c>
    </row>
    <row r="268" spans="1:23" ht="25.5" customHeight="1" thickTop="1">
      <c r="A268" s="20" t="s">
        <v>24</v>
      </c>
      <c r="B268" s="23"/>
      <c r="C268" s="190"/>
      <c r="D268" s="133"/>
      <c r="E268" s="269"/>
      <c r="F268" s="136"/>
      <c r="G268" s="136"/>
      <c r="H268" s="136"/>
      <c r="I268" s="133"/>
      <c r="J268" s="133"/>
      <c r="K268" s="133"/>
      <c r="L268" s="133"/>
      <c r="M268" s="136"/>
      <c r="N268" s="133"/>
      <c r="O268" s="133"/>
      <c r="P268" s="133"/>
      <c r="Q268" s="133"/>
      <c r="R268" s="258"/>
      <c r="S268" s="259"/>
      <c r="T268" s="259"/>
      <c r="U268" s="258"/>
      <c r="V268" s="258"/>
    </row>
    <row r="269" spans="1:23" ht="25.5" customHeight="1">
      <c r="A269" s="20"/>
      <c r="B269" s="130" t="s">
        <v>406</v>
      </c>
      <c r="C269" s="192">
        <v>121500</v>
      </c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20"/>
      <c r="B270" s="130" t="s">
        <v>405</v>
      </c>
      <c r="C270" s="192">
        <v>105000</v>
      </c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 thickBot="1">
      <c r="A271" s="15"/>
      <c r="B271" s="14" t="s">
        <v>5</v>
      </c>
      <c r="C271" s="298">
        <f>SUM(C269:C270)</f>
        <v>226500</v>
      </c>
      <c r="D271" s="255">
        <f>SUM(D269:D270)</f>
        <v>0</v>
      </c>
      <c r="E271" s="254">
        <f t="shared" ref="E271:V271" si="9">SUM(E269:E270)</f>
        <v>0</v>
      </c>
      <c r="F271" s="254">
        <f t="shared" si="9"/>
        <v>0</v>
      </c>
      <c r="G271" s="254">
        <f t="shared" si="9"/>
        <v>0</v>
      </c>
      <c r="H271" s="254">
        <f t="shared" si="9"/>
        <v>0</v>
      </c>
      <c r="I271" s="255">
        <f t="shared" si="9"/>
        <v>0</v>
      </c>
      <c r="J271" s="255">
        <f t="shared" si="9"/>
        <v>0</v>
      </c>
      <c r="K271" s="255">
        <f t="shared" si="9"/>
        <v>0</v>
      </c>
      <c r="L271" s="255">
        <f t="shared" si="9"/>
        <v>0</v>
      </c>
      <c r="M271" s="254">
        <f t="shared" si="9"/>
        <v>0</v>
      </c>
      <c r="N271" s="255">
        <f t="shared" si="9"/>
        <v>0</v>
      </c>
      <c r="O271" s="255">
        <f t="shared" si="9"/>
        <v>0</v>
      </c>
      <c r="P271" s="255">
        <f t="shared" si="9"/>
        <v>0</v>
      </c>
      <c r="Q271" s="255">
        <f t="shared" si="9"/>
        <v>0</v>
      </c>
      <c r="R271" s="255">
        <f t="shared" si="9"/>
        <v>0</v>
      </c>
      <c r="S271" s="255">
        <f t="shared" si="9"/>
        <v>0</v>
      </c>
      <c r="T271" s="255"/>
      <c r="U271" s="255">
        <f t="shared" si="9"/>
        <v>0</v>
      </c>
      <c r="V271" s="255">
        <f t="shared" si="9"/>
        <v>0</v>
      </c>
      <c r="W271" s="314">
        <f>SUM(D271:V271)</f>
        <v>0</v>
      </c>
    </row>
    <row r="272" spans="1:23" ht="25.5" customHeight="1" thickTop="1">
      <c r="A272" s="20" t="s">
        <v>44</v>
      </c>
      <c r="B272" s="23"/>
      <c r="C272" s="193"/>
      <c r="D272" s="133"/>
      <c r="E272" s="269"/>
      <c r="F272" s="136"/>
      <c r="G272" s="136"/>
      <c r="H272" s="136"/>
      <c r="I272" s="133"/>
      <c r="J272" s="133"/>
      <c r="K272" s="133"/>
      <c r="L272" s="133"/>
      <c r="M272" s="136"/>
      <c r="N272" s="133"/>
      <c r="O272" s="133"/>
      <c r="P272" s="133"/>
      <c r="Q272" s="133"/>
      <c r="R272" s="258"/>
      <c r="S272" s="259"/>
      <c r="T272" s="259"/>
      <c r="U272" s="258"/>
      <c r="V272" s="258"/>
    </row>
    <row r="273" spans="1:23" ht="25.5" customHeight="1">
      <c r="A273" s="20"/>
      <c r="B273" s="185"/>
      <c r="C273" s="192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85"/>
      <c r="C274" s="190"/>
      <c r="D274" s="133"/>
      <c r="E274" s="269"/>
      <c r="F274" s="136"/>
      <c r="G274" s="136"/>
      <c r="H274" s="136"/>
      <c r="I274" s="133"/>
      <c r="J274" s="133"/>
      <c r="K274" s="133"/>
      <c r="L274" s="133"/>
      <c r="M274" s="136"/>
      <c r="N274" s="133"/>
      <c r="O274" s="133"/>
      <c r="P274" s="133"/>
      <c r="Q274" s="133"/>
      <c r="R274" s="258"/>
      <c r="S274" s="259"/>
      <c r="T274" s="259"/>
      <c r="U274" s="258"/>
      <c r="V274" s="258"/>
    </row>
    <row r="275" spans="1:23" ht="25.5" customHeight="1" thickBot="1">
      <c r="A275" s="15"/>
      <c r="B275" s="53" t="s">
        <v>5</v>
      </c>
      <c r="C275" s="105">
        <f>SUM(C273:C274)</f>
        <v>0</v>
      </c>
      <c r="D275" s="255">
        <f>SUM(D273:D274)</f>
        <v>0</v>
      </c>
      <c r="E275" s="254">
        <f t="shared" ref="E275:V275" si="10">SUM(E273:E274)</f>
        <v>0</v>
      </c>
      <c r="F275" s="254">
        <f t="shared" si="10"/>
        <v>0</v>
      </c>
      <c r="G275" s="254">
        <f t="shared" si="10"/>
        <v>0</v>
      </c>
      <c r="H275" s="254">
        <f t="shared" si="10"/>
        <v>0</v>
      </c>
      <c r="I275" s="255">
        <f t="shared" si="10"/>
        <v>0</v>
      </c>
      <c r="J275" s="255">
        <f t="shared" si="10"/>
        <v>0</v>
      </c>
      <c r="K275" s="255">
        <f t="shared" si="10"/>
        <v>0</v>
      </c>
      <c r="L275" s="255">
        <f t="shared" si="10"/>
        <v>0</v>
      </c>
      <c r="M275" s="254">
        <f t="shared" si="10"/>
        <v>0</v>
      </c>
      <c r="N275" s="255">
        <f t="shared" si="10"/>
        <v>0</v>
      </c>
      <c r="O275" s="255">
        <f t="shared" si="10"/>
        <v>0</v>
      </c>
      <c r="P275" s="255">
        <f t="shared" si="10"/>
        <v>0</v>
      </c>
      <c r="Q275" s="255">
        <f t="shared" si="10"/>
        <v>0</v>
      </c>
      <c r="R275" s="255">
        <f t="shared" si="10"/>
        <v>0</v>
      </c>
      <c r="S275" s="255">
        <f t="shared" si="10"/>
        <v>0</v>
      </c>
      <c r="T275" s="255"/>
      <c r="U275" s="255">
        <f t="shared" si="10"/>
        <v>0</v>
      </c>
      <c r="V275" s="255">
        <f t="shared" si="10"/>
        <v>0</v>
      </c>
      <c r="W275" s="314">
        <f>SUM(D275:V275)</f>
        <v>0</v>
      </c>
    </row>
    <row r="276" spans="1:23" ht="25.5" customHeight="1" thickTop="1">
      <c r="A276" s="20" t="s">
        <v>276</v>
      </c>
      <c r="B276" s="23"/>
      <c r="C276" s="193"/>
      <c r="D276" s="133"/>
      <c r="E276" s="269"/>
      <c r="F276" s="136"/>
      <c r="G276" s="136"/>
      <c r="H276" s="136"/>
      <c r="I276" s="133"/>
      <c r="J276" s="133"/>
      <c r="K276" s="133"/>
      <c r="L276" s="133"/>
      <c r="M276" s="136"/>
      <c r="N276" s="133"/>
      <c r="O276" s="133"/>
      <c r="P276" s="133"/>
      <c r="Q276" s="133"/>
      <c r="R276" s="258"/>
      <c r="S276" s="259"/>
      <c r="T276" s="259"/>
      <c r="U276" s="258"/>
      <c r="V276" s="258"/>
    </row>
    <row r="277" spans="1:23" ht="25.5" customHeight="1">
      <c r="A277" s="20"/>
      <c r="B277" s="185" t="s">
        <v>226</v>
      </c>
      <c r="C277" s="192">
        <f>+E277+M277+F277+H277</f>
        <v>0</v>
      </c>
      <c r="D277" s="133"/>
      <c r="E277" s="136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133"/>
      <c r="S277" s="133"/>
      <c r="T277" s="133"/>
      <c r="U277" s="133"/>
      <c r="V277" s="133"/>
    </row>
    <row r="278" spans="1:23" ht="25.5" customHeight="1">
      <c r="A278" s="20"/>
      <c r="B278" s="185" t="s">
        <v>233</v>
      </c>
      <c r="C278" s="299">
        <v>7500</v>
      </c>
      <c r="D278" s="133"/>
      <c r="E278" s="136"/>
      <c r="F278" s="136"/>
      <c r="G278" s="136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133"/>
      <c r="S278" s="133"/>
      <c r="T278" s="133"/>
      <c r="U278" s="133"/>
      <c r="V278" s="133"/>
    </row>
    <row r="279" spans="1:23" ht="25.5" customHeight="1">
      <c r="A279" s="20"/>
      <c r="B279" s="274" t="s">
        <v>378</v>
      </c>
      <c r="C279" s="299">
        <v>37500</v>
      </c>
      <c r="D279" s="133"/>
      <c r="E279" s="136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133"/>
      <c r="S279" s="133"/>
      <c r="T279" s="133"/>
      <c r="U279" s="133"/>
      <c r="V279" s="133"/>
    </row>
    <row r="280" spans="1:23" ht="25.5" customHeight="1">
      <c r="A280" s="20"/>
      <c r="B280" s="185" t="s">
        <v>379</v>
      </c>
      <c r="C280" s="299">
        <v>10000</v>
      </c>
      <c r="D280" s="133"/>
      <c r="E280" s="136"/>
      <c r="F280" s="136"/>
      <c r="G280" s="136"/>
      <c r="H280" s="136"/>
      <c r="I280" s="133"/>
      <c r="J280" s="133"/>
      <c r="K280" s="133"/>
      <c r="L280" s="133"/>
      <c r="M280" s="136"/>
      <c r="N280" s="133"/>
      <c r="O280" s="133"/>
      <c r="P280" s="133"/>
      <c r="Q280" s="133"/>
      <c r="R280" s="133"/>
      <c r="S280" s="133"/>
      <c r="T280" s="133"/>
      <c r="U280" s="133"/>
      <c r="V280" s="133"/>
    </row>
    <row r="281" spans="1:23" ht="25.5" customHeight="1">
      <c r="A281" s="20"/>
      <c r="B281" s="185" t="s">
        <v>382</v>
      </c>
      <c r="C281" s="299">
        <v>1950</v>
      </c>
      <c r="D281" s="133"/>
      <c r="E281" s="136"/>
      <c r="F281" s="136"/>
      <c r="G281" s="136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133"/>
      <c r="S281" s="133"/>
      <c r="T281" s="133"/>
      <c r="U281" s="133"/>
      <c r="V281" s="133"/>
    </row>
    <row r="282" spans="1:23" ht="25.5" customHeight="1">
      <c r="A282" s="20"/>
      <c r="B282" s="185" t="s">
        <v>380</v>
      </c>
      <c r="C282" s="299">
        <f>4550+8575</f>
        <v>13125</v>
      </c>
      <c r="D282" s="133"/>
      <c r="E282" s="136"/>
      <c r="F282" s="136"/>
      <c r="G282" s="136"/>
      <c r="H282" s="136"/>
      <c r="I282" s="133"/>
      <c r="J282" s="133"/>
      <c r="K282" s="133"/>
      <c r="L282" s="133"/>
      <c r="M282" s="136"/>
      <c r="N282" s="133"/>
      <c r="O282" s="133"/>
      <c r="P282" s="133"/>
      <c r="Q282" s="133"/>
      <c r="R282" s="133"/>
      <c r="S282" s="133"/>
      <c r="T282" s="133"/>
      <c r="U282" s="133"/>
      <c r="V282" s="133"/>
    </row>
    <row r="283" spans="1:23" ht="25.5" customHeight="1">
      <c r="A283" s="20"/>
      <c r="B283" s="185" t="s">
        <v>386</v>
      </c>
      <c r="C283" s="192">
        <v>409940.96</v>
      </c>
      <c r="D283" s="133"/>
      <c r="E283" s="136"/>
      <c r="F283" s="136"/>
      <c r="G283" s="136"/>
      <c r="H283" s="136"/>
      <c r="I283" s="133"/>
      <c r="J283" s="133"/>
      <c r="K283" s="133"/>
      <c r="L283" s="133"/>
      <c r="M283" s="136"/>
      <c r="N283" s="133"/>
      <c r="O283" s="133"/>
      <c r="P283" s="133"/>
      <c r="Q283" s="133"/>
      <c r="R283" s="133"/>
      <c r="S283" s="133"/>
      <c r="T283" s="133"/>
      <c r="U283" s="133"/>
      <c r="V283" s="133"/>
    </row>
    <row r="284" spans="1:23" ht="25.5" customHeight="1">
      <c r="A284" s="20"/>
      <c r="B284" s="185" t="s">
        <v>387</v>
      </c>
      <c r="C284" s="192">
        <v>40000</v>
      </c>
      <c r="D284" s="133"/>
      <c r="E284" s="136"/>
      <c r="F284" s="136"/>
      <c r="G284" s="136"/>
      <c r="H284" s="136"/>
      <c r="I284" s="133"/>
      <c r="J284" s="133"/>
      <c r="K284" s="133"/>
      <c r="L284" s="133"/>
      <c r="M284" s="136"/>
      <c r="N284" s="133"/>
      <c r="O284" s="133"/>
      <c r="P284" s="133"/>
      <c r="Q284" s="133"/>
      <c r="R284" s="133"/>
      <c r="S284" s="133"/>
      <c r="T284" s="133"/>
      <c r="U284" s="133"/>
      <c r="V284" s="133"/>
    </row>
    <row r="285" spans="1:23" ht="25.5" customHeight="1">
      <c r="A285" s="20"/>
      <c r="B285" s="347" t="s">
        <v>409</v>
      </c>
      <c r="C285" s="192">
        <v>175000</v>
      </c>
      <c r="D285" s="131"/>
      <c r="E285" s="135"/>
      <c r="F285" s="135"/>
      <c r="G285" s="135"/>
      <c r="H285" s="135"/>
      <c r="I285" s="131"/>
      <c r="J285" s="131"/>
      <c r="K285" s="131"/>
      <c r="L285" s="131"/>
      <c r="M285" s="135"/>
      <c r="N285" s="131">
        <v>174000</v>
      </c>
      <c r="O285" s="131"/>
      <c r="P285" s="131"/>
      <c r="Q285" s="131"/>
      <c r="R285" s="131"/>
      <c r="S285" s="131"/>
      <c r="T285" s="131"/>
      <c r="U285" s="131"/>
      <c r="V285" s="131"/>
    </row>
    <row r="286" spans="1:23" ht="25.5" customHeight="1">
      <c r="A286" s="20"/>
      <c r="B286" s="348"/>
      <c r="C286" s="286"/>
      <c r="D286" s="345"/>
      <c r="E286" s="346"/>
      <c r="F286" s="346"/>
      <c r="G286" s="346"/>
      <c r="H286" s="346"/>
      <c r="I286" s="345"/>
      <c r="J286" s="345"/>
      <c r="K286" s="345"/>
      <c r="L286" s="345"/>
      <c r="M286" s="346"/>
      <c r="N286" s="345"/>
      <c r="O286" s="345"/>
      <c r="P286" s="345"/>
      <c r="Q286" s="345"/>
      <c r="R286" s="345"/>
      <c r="S286" s="345"/>
      <c r="T286" s="345"/>
      <c r="U286" s="345"/>
      <c r="V286" s="345"/>
    </row>
    <row r="287" spans="1:23" ht="25.5" customHeight="1" thickBot="1">
      <c r="A287" s="15"/>
      <c r="B287" s="53" t="s">
        <v>5</v>
      </c>
      <c r="C287" s="105">
        <f>SUM(C277:C285)</f>
        <v>695015.96</v>
      </c>
      <c r="D287" s="132">
        <f>SUM(D277:D284)</f>
        <v>0</v>
      </c>
      <c r="E287" s="137">
        <f>SUM(E277:E284)</f>
        <v>0</v>
      </c>
      <c r="F287" s="137">
        <f>SUM(F277:F284)</f>
        <v>0</v>
      </c>
      <c r="G287" s="137">
        <f t="shared" ref="G287:V287" si="11">SUM(G277:G284)</f>
        <v>0</v>
      </c>
      <c r="H287" s="137">
        <f>SUM(H277:H284)</f>
        <v>0</v>
      </c>
      <c r="I287" s="132">
        <f>SUM(I277:I284)</f>
        <v>0</v>
      </c>
      <c r="J287" s="132">
        <f t="shared" si="11"/>
        <v>0</v>
      </c>
      <c r="K287" s="132">
        <f t="shared" si="11"/>
        <v>0</v>
      </c>
      <c r="L287" s="132">
        <f t="shared" si="11"/>
        <v>0</v>
      </c>
      <c r="M287" s="137">
        <f>SUM(M277:M284)</f>
        <v>0</v>
      </c>
      <c r="N287" s="132">
        <f>SUM(N277:N286)</f>
        <v>174000</v>
      </c>
      <c r="O287" s="132">
        <f t="shared" si="11"/>
        <v>0</v>
      </c>
      <c r="P287" s="132">
        <f t="shared" si="11"/>
        <v>0</v>
      </c>
      <c r="Q287" s="132">
        <f t="shared" si="11"/>
        <v>0</v>
      </c>
      <c r="R287" s="132">
        <f t="shared" si="11"/>
        <v>0</v>
      </c>
      <c r="S287" s="132">
        <f t="shared" si="11"/>
        <v>0</v>
      </c>
      <c r="T287" s="132"/>
      <c r="U287" s="132">
        <f t="shared" si="11"/>
        <v>0</v>
      </c>
      <c r="V287" s="132">
        <f t="shared" si="11"/>
        <v>0</v>
      </c>
      <c r="W287" s="318">
        <f>SUM(D287:V287)</f>
        <v>174000</v>
      </c>
    </row>
    <row r="288" spans="1:23" ht="25.5" customHeight="1" thickTop="1" thickBot="1">
      <c r="A288" s="16"/>
      <c r="B288" s="52" t="s">
        <v>49</v>
      </c>
      <c r="C288" s="229">
        <f>+C267+C257+C220+C209+C203++C48+C38+C21+C175+C28+C223</f>
        <v>39148280</v>
      </c>
      <c r="D288" s="229">
        <f>+D267+D257+D220+D209+D203++D48+D38+D21+D175+D28+D223</f>
        <v>744330</v>
      </c>
      <c r="E288" s="229">
        <f t="shared" ref="E288:V288" si="12">+E267+E257+E220+E209+E203++E48+E38+E21+E175+E28+E223</f>
        <v>749610.39</v>
      </c>
      <c r="F288" s="229">
        <f t="shared" si="12"/>
        <v>163494.20000000001</v>
      </c>
      <c r="G288" s="229">
        <f t="shared" si="12"/>
        <v>43000</v>
      </c>
      <c r="H288" s="229">
        <f t="shared" si="12"/>
        <v>412716.79999999999</v>
      </c>
      <c r="I288" s="229">
        <f t="shared" si="12"/>
        <v>7995</v>
      </c>
      <c r="J288" s="229">
        <f t="shared" si="12"/>
        <v>49995</v>
      </c>
      <c r="K288" s="229">
        <f t="shared" si="12"/>
        <v>0</v>
      </c>
      <c r="L288" s="229">
        <f t="shared" si="12"/>
        <v>0</v>
      </c>
      <c r="M288" s="229">
        <f t="shared" si="12"/>
        <v>187536.8</v>
      </c>
      <c r="N288" s="229">
        <f t="shared" si="12"/>
        <v>0</v>
      </c>
      <c r="O288" s="229">
        <f t="shared" si="12"/>
        <v>0</v>
      </c>
      <c r="P288" s="229">
        <f t="shared" si="12"/>
        <v>0</v>
      </c>
      <c r="Q288" s="229">
        <f t="shared" si="12"/>
        <v>0</v>
      </c>
      <c r="R288" s="229">
        <f t="shared" si="12"/>
        <v>16000</v>
      </c>
      <c r="S288" s="229">
        <f t="shared" si="12"/>
        <v>0</v>
      </c>
      <c r="T288" s="229"/>
      <c r="U288" s="229">
        <f t="shared" si="12"/>
        <v>0</v>
      </c>
      <c r="V288" s="51">
        <f t="shared" si="12"/>
        <v>290</v>
      </c>
      <c r="W288" s="314">
        <f>SUM(D288:V288)</f>
        <v>2374968.19</v>
      </c>
    </row>
    <row r="289" spans="1:23" ht="25.5" customHeight="1" thickTop="1" thickBot="1">
      <c r="A289" s="16"/>
      <c r="B289" s="41" t="s">
        <v>25</v>
      </c>
      <c r="C289" s="260">
        <f>+C287+C275+C271+C267+C257+C223+C220+C209+C175+C48+C28+C21+C38++C203</f>
        <v>40069795.960000001</v>
      </c>
      <c r="D289" s="260">
        <f>+D287+D275+D271+D267+D257+D223+D220+D209+D175+D48+D28+D21+D38++D203</f>
        <v>744330</v>
      </c>
      <c r="E289" s="260">
        <f>+E287+E275+E271+E267+E257+E223+E220+E209+E175+E48+E28+E21+E38++E203</f>
        <v>749610.39</v>
      </c>
      <c r="F289" s="260">
        <f>+F287+F275+F271+F267+F257+F223+F220+F209+F175+F48+F28+F21+F38++F203</f>
        <v>163494.20000000001</v>
      </c>
      <c r="G289" s="260">
        <f t="shared" ref="G289:V289" si="13">+G287+G275+G271+G267+G257+G223+G220+G209+G175+G48+G28+G21+G38++G203</f>
        <v>43000</v>
      </c>
      <c r="H289" s="260">
        <f>+H287+H275+H271+H267+H257+H223+H220+H209+H175+H48+H28+H21+H38++H203</f>
        <v>412716.79999999999</v>
      </c>
      <c r="I289" s="260">
        <f t="shared" si="13"/>
        <v>7995</v>
      </c>
      <c r="J289" s="260">
        <f t="shared" si="13"/>
        <v>49995</v>
      </c>
      <c r="K289" s="260">
        <f t="shared" si="13"/>
        <v>0</v>
      </c>
      <c r="L289" s="260">
        <f t="shared" si="13"/>
        <v>0</v>
      </c>
      <c r="M289" s="260">
        <f>+M287+M275+M271+M267+M257+M223+M220+M209+M175+M48+M28+M21+M38++M203</f>
        <v>187536.8</v>
      </c>
      <c r="N289" s="260">
        <f t="shared" si="13"/>
        <v>174000</v>
      </c>
      <c r="O289" s="260">
        <f t="shared" si="13"/>
        <v>0</v>
      </c>
      <c r="P289" s="260">
        <f t="shared" si="13"/>
        <v>0</v>
      </c>
      <c r="Q289" s="260">
        <f t="shared" si="13"/>
        <v>0</v>
      </c>
      <c r="R289" s="260">
        <f t="shared" si="13"/>
        <v>16000</v>
      </c>
      <c r="S289" s="260">
        <f t="shared" si="13"/>
        <v>0</v>
      </c>
      <c r="T289" s="260"/>
      <c r="U289" s="260">
        <f t="shared" si="13"/>
        <v>0</v>
      </c>
      <c r="V289" s="309">
        <f t="shared" si="13"/>
        <v>290</v>
      </c>
      <c r="W289" s="319">
        <f>SUM(D289:V289)</f>
        <v>2548968.19</v>
      </c>
    </row>
    <row r="290" spans="1:23" ht="25.5" customHeight="1" thickTop="1">
      <c r="B290" s="246" t="s">
        <v>411</v>
      </c>
      <c r="C290" s="249"/>
      <c r="D290" s="300"/>
      <c r="E290" s="301"/>
      <c r="F290" s="302"/>
      <c r="G290" s="302"/>
      <c r="H290" s="302"/>
      <c r="I290" s="300"/>
      <c r="J290" s="300"/>
      <c r="K290" s="300"/>
      <c r="L290" s="300"/>
      <c r="M290" s="302"/>
      <c r="N290" s="300"/>
      <c r="O290" s="300"/>
      <c r="P290" s="300"/>
      <c r="Q290" s="300"/>
      <c r="R290" s="303"/>
      <c r="S290" s="304"/>
      <c r="T290" s="304"/>
      <c r="U290" s="303"/>
      <c r="V290" s="303"/>
      <c r="W290" s="246" t="s">
        <v>411</v>
      </c>
    </row>
    <row r="291" spans="1:23" ht="25.5" customHeight="1">
      <c r="C291" s="249"/>
      <c r="D291" s="35"/>
      <c r="E291" s="266"/>
      <c r="F291" s="134"/>
      <c r="G291" s="134"/>
      <c r="H291" s="134"/>
      <c r="I291" s="35"/>
      <c r="J291" s="35"/>
      <c r="K291" s="35"/>
      <c r="L291" s="35"/>
      <c r="M291" s="134"/>
      <c r="N291" s="35"/>
      <c r="O291" s="35"/>
      <c r="P291" s="35"/>
      <c r="Q291" s="35"/>
      <c r="R291" s="34"/>
      <c r="S291" s="171"/>
      <c r="T291" s="171"/>
      <c r="U291" s="34"/>
      <c r="V291" s="34"/>
      <c r="W291"/>
    </row>
    <row r="292" spans="1:23" ht="25.5" customHeight="1">
      <c r="B292" s="344">
        <f>39148280-C288</f>
        <v>0</v>
      </c>
      <c r="C292" s="249"/>
      <c r="D292" s="35"/>
      <c r="E292" s="266"/>
      <c r="F292" s="134"/>
      <c r="G292" s="134"/>
      <c r="H292" s="134"/>
      <c r="I292" s="35"/>
      <c r="J292" s="35"/>
      <c r="K292" s="35"/>
      <c r="L292" s="35"/>
      <c r="M292" s="134"/>
      <c r="N292" s="35"/>
      <c r="O292" s="35"/>
      <c r="P292" s="35"/>
      <c r="Q292" s="35"/>
      <c r="R292" s="34"/>
      <c r="S292" s="171"/>
      <c r="T292" s="171"/>
      <c r="U292" s="34"/>
      <c r="V292" s="34"/>
      <c r="W292" s="253">
        <f>39148280-C288</f>
        <v>0</v>
      </c>
    </row>
    <row r="293" spans="1:23" ht="25.5" customHeight="1">
      <c r="C293" s="182"/>
      <c r="D293" s="181"/>
      <c r="E293" s="272"/>
      <c r="F293" s="265"/>
      <c r="G293" s="265"/>
      <c r="H293" s="265"/>
      <c r="I293" s="181"/>
      <c r="J293" s="181"/>
      <c r="K293" s="181"/>
      <c r="L293" s="181"/>
      <c r="M293" s="265"/>
      <c r="N293" s="181"/>
      <c r="O293" s="181"/>
      <c r="P293" s="181"/>
      <c r="Q293" s="181"/>
      <c r="R293" s="221"/>
      <c r="S293" s="234"/>
      <c r="T293" s="234"/>
      <c r="U293" s="221"/>
      <c r="V293" s="221"/>
      <c r="W293" s="322">
        <v>2376747.19</v>
      </c>
    </row>
    <row r="294" spans="1:23" ht="25.5" customHeight="1">
      <c r="C294" s="182"/>
      <c r="D294" s="181"/>
      <c r="E294" s="272"/>
      <c r="F294" s="265"/>
      <c r="G294" s="265"/>
      <c r="H294" s="265"/>
      <c r="I294" s="181"/>
      <c r="J294" s="181"/>
      <c r="K294" s="181"/>
      <c r="L294" s="181"/>
      <c r="M294" s="265"/>
      <c r="N294" s="181"/>
      <c r="O294" s="181"/>
      <c r="P294" s="181"/>
      <c r="Q294" s="181"/>
      <c r="R294" s="221"/>
      <c r="S294" s="234"/>
      <c r="T294" s="234"/>
      <c r="U294" s="221"/>
      <c r="V294" s="221"/>
      <c r="W294" s="328">
        <v>2550747.19</v>
      </c>
    </row>
    <row r="295" spans="1:23" ht="25.5" customHeight="1">
      <c r="C295" s="182"/>
      <c r="D295" s="181"/>
      <c r="E295" s="272"/>
      <c r="F295" s="265"/>
      <c r="G295" s="265"/>
      <c r="H295" s="265"/>
      <c r="I295" s="181"/>
      <c r="J295" s="181"/>
      <c r="K295" s="181"/>
      <c r="L295" s="181"/>
      <c r="M295" s="265"/>
      <c r="N295" s="181"/>
      <c r="O295" s="181"/>
      <c r="P295" s="181"/>
      <c r="Q295" s="181"/>
      <c r="R295" s="221"/>
      <c r="S295" s="234"/>
      <c r="T295" s="234"/>
      <c r="U295" s="221"/>
      <c r="V295" s="221"/>
      <c r="W295" s="321"/>
    </row>
    <row r="296" spans="1:23" ht="25.5" customHeight="1">
      <c r="D296" s="181"/>
      <c r="E296" s="272"/>
      <c r="F296" s="265"/>
      <c r="G296" s="265"/>
      <c r="H296" s="265"/>
      <c r="I296" s="181"/>
      <c r="J296" s="181"/>
      <c r="K296" s="181"/>
      <c r="L296" s="181"/>
      <c r="M296" s="265"/>
      <c r="N296" s="181"/>
      <c r="O296" s="181"/>
      <c r="P296" s="181"/>
      <c r="Q296" s="181"/>
      <c r="R296" s="221"/>
      <c r="S296" s="234"/>
      <c r="T296" s="234"/>
      <c r="U296" s="221"/>
      <c r="V296" s="221"/>
      <c r="W296" s="321"/>
    </row>
    <row r="297" spans="1:23" ht="25.5" customHeight="1">
      <c r="D297" s="181"/>
      <c r="E297" s="272"/>
      <c r="F297" s="265"/>
      <c r="G297" s="265"/>
      <c r="H297" s="265"/>
      <c r="I297" s="181"/>
      <c r="J297" s="181"/>
      <c r="K297" s="181"/>
      <c r="L297" s="181"/>
      <c r="M297" s="265"/>
      <c r="N297" s="181"/>
      <c r="O297" s="181"/>
      <c r="P297" s="181"/>
      <c r="Q297" s="181"/>
      <c r="R297" s="221"/>
      <c r="S297" s="234"/>
      <c r="T297" s="234"/>
      <c r="U297" s="221"/>
      <c r="V297" s="221"/>
    </row>
    <row r="298" spans="1:23" ht="25.5" customHeight="1"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</row>
    <row r="299" spans="1:23" ht="25.5" customHeight="1"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</row>
    <row r="300" spans="1:23" ht="25.5" customHeight="1"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</row>
    <row r="301" spans="1:23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</row>
    <row r="302" spans="1:23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3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3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1:24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1:24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1:24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1:24" s="310" customFormat="1" ht="25.5" customHeight="1">
      <c r="A308"/>
      <c r="B308"/>
      <c r="C308" s="282"/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  <c r="X308"/>
    </row>
    <row r="309" spans="1:24" s="310" customFormat="1" ht="25.5" customHeight="1">
      <c r="A309"/>
      <c r="B309"/>
      <c r="C309" s="282"/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  <c r="X309"/>
    </row>
    <row r="310" spans="1:24" s="310" customFormat="1" ht="25.5" customHeight="1">
      <c r="A310"/>
      <c r="B310"/>
      <c r="C310" s="282"/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  <c r="X310"/>
    </row>
    <row r="311" spans="1:24" s="310" customFormat="1" ht="25.5" customHeight="1">
      <c r="A311"/>
      <c r="B311"/>
      <c r="C311" s="282"/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  <c r="X311"/>
    </row>
    <row r="312" spans="1:24" s="310" customFormat="1" ht="25.5" customHeight="1">
      <c r="A312"/>
      <c r="B312"/>
      <c r="C312" s="282"/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  <c r="X312"/>
    </row>
    <row r="313" spans="1:24" s="310" customFormat="1" ht="25.5" customHeight="1">
      <c r="A313"/>
      <c r="B313"/>
      <c r="C313" s="282"/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  <c r="X313"/>
    </row>
    <row r="314" spans="1:24" s="310" customFormat="1" ht="25.5" customHeight="1">
      <c r="A314"/>
      <c r="B314"/>
      <c r="C314" s="282"/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  <c r="X314"/>
    </row>
    <row r="315" spans="1:24" s="310" customFormat="1" ht="25.5" customHeight="1">
      <c r="A315"/>
      <c r="B315"/>
      <c r="C315" s="282"/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  <c r="X315"/>
    </row>
    <row r="316" spans="1:24" s="310" customFormat="1" ht="25.5" customHeight="1">
      <c r="A316"/>
      <c r="B316"/>
      <c r="C316" s="282"/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  <c r="X316"/>
    </row>
    <row r="317" spans="1:24" s="310" customFormat="1" ht="25.5" customHeight="1">
      <c r="A317"/>
      <c r="B317"/>
      <c r="C317" s="282"/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  <c r="X317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/>
    </row>
  </sheetData>
  <mergeCells count="32">
    <mergeCell ref="P7:P8"/>
    <mergeCell ref="Q7:Q8"/>
    <mergeCell ref="R7:R8"/>
    <mergeCell ref="S7:S8"/>
    <mergeCell ref="U7:U8"/>
    <mergeCell ref="V7:V8"/>
    <mergeCell ref="I7:I8"/>
    <mergeCell ref="J7:J8"/>
    <mergeCell ref="K7:K8"/>
    <mergeCell ref="M7:M8"/>
    <mergeCell ref="N7:N8"/>
    <mergeCell ref="O7:O8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</mergeCells>
  <pageMargins left="0.15748031496062992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X381"/>
  <sheetViews>
    <sheetView workbookViewId="0">
      <pane ySplit="8" topLeftCell="A283" activePane="bottomLeft" state="frozen"/>
      <selection activeCell="C78" sqref="C78"/>
      <selection pane="bottomLeft" activeCell="N291" sqref="N291"/>
    </sheetView>
  </sheetViews>
  <sheetFormatPr defaultRowHeight="25.5" customHeight="1"/>
  <cols>
    <col min="1" max="1" width="1.140625" customWidth="1"/>
    <col min="2" max="2" width="33.85546875" customWidth="1"/>
    <col min="3" max="3" width="11.28515625" style="282" customWidth="1"/>
    <col min="4" max="4" width="9.7109375" style="33" customWidth="1"/>
    <col min="5" max="5" width="9.5703125" style="273" customWidth="1"/>
    <col min="6" max="6" width="8.85546875" style="138" customWidth="1"/>
    <col min="7" max="7" width="0.5703125" style="138" customWidth="1"/>
    <col min="8" max="8" width="9.5703125" style="138" customWidth="1"/>
    <col min="9" max="9" width="8.7109375" style="33" customWidth="1"/>
    <col min="10" max="10" width="1.28515625" style="33" customWidth="1"/>
    <col min="11" max="11" width="8.42578125" style="33" customWidth="1"/>
    <col min="12" max="12" width="1.85546875" style="33" customWidth="1"/>
    <col min="13" max="13" width="9.140625" style="138" customWidth="1"/>
    <col min="14" max="14" width="9.85546875" style="33" customWidth="1"/>
    <col min="15" max="15" width="1.85546875" style="33" customWidth="1"/>
    <col min="16" max="16" width="7" style="33" customWidth="1"/>
    <col min="17" max="17" width="1.85546875" style="33" customWidth="1"/>
    <col min="18" max="18" width="1.85546875" customWidth="1"/>
    <col min="19" max="20" width="1.85546875" style="168" customWidth="1"/>
    <col min="21" max="21" width="1.85546875" customWidth="1"/>
    <col min="22" max="22" width="7.28515625" customWidth="1"/>
    <col min="23" max="23" width="15.285156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412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28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410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v>12914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v>1140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v>530100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v>1500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v>198400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/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/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/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/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2" t="s">
        <v>81</v>
      </c>
      <c r="C19" s="285">
        <v>344150</v>
      </c>
      <c r="D19" s="131"/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6"/>
      <c r="C20" s="290"/>
      <c r="D20" s="195"/>
      <c r="E20" s="270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SUM(C10:C19)</f>
        <v>10086782</v>
      </c>
      <c r="D21" s="132">
        <f>SUM(D10:D19)</f>
        <v>744054</v>
      </c>
      <c r="E21" s="26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744054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v>57960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v>10000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v>10000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v>16560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</f>
        <v>1273280</v>
      </c>
      <c r="D27" s="131"/>
      <c r="E27" s="267">
        <v>104880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2407520</v>
      </c>
      <c r="D28" s="132">
        <f>SUM(D23:D27)</f>
        <v>0</v>
      </c>
      <c r="E28" s="268">
        <f>SUM(E23:E27)</f>
        <v>199400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199400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</f>
        <v>6441360</v>
      </c>
      <c r="D30" s="133"/>
      <c r="E30" s="269">
        <v>213590</v>
      </c>
      <c r="F30" s="269">
        <v>76170</v>
      </c>
      <c r="G30" s="269"/>
      <c r="H30" s="269">
        <v>72700</v>
      </c>
      <c r="I30" s="269"/>
      <c r="J30" s="269"/>
      <c r="K30" s="269"/>
      <c r="L30" s="269"/>
      <c r="M30" s="269">
        <v>107990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v>0</v>
      </c>
      <c r="F31" s="269">
        <v>0</v>
      </c>
      <c r="G31" s="269"/>
      <c r="H31" s="269">
        <v>154260</v>
      </c>
      <c r="I31" s="269"/>
      <c r="J31" s="269"/>
      <c r="K31" s="269"/>
      <c r="L31" s="269"/>
      <c r="M31" s="269"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v>440</v>
      </c>
      <c r="F32" s="269">
        <v>0</v>
      </c>
      <c r="G32" s="269"/>
      <c r="H32" s="269">
        <v>0</v>
      </c>
      <c r="I32" s="269"/>
      <c r="J32" s="269"/>
      <c r="K32" s="269"/>
      <c r="L32" s="269"/>
      <c r="M32" s="269"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v>11000</v>
      </c>
      <c r="F33" s="269">
        <v>0</v>
      </c>
      <c r="G33" s="269"/>
      <c r="H33" s="269">
        <v>3500</v>
      </c>
      <c r="I33" s="269"/>
      <c r="J33" s="269"/>
      <c r="K33" s="269"/>
      <c r="L33" s="269"/>
      <c r="M33" s="269">
        <v>3500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787000+589000+559480+350880+100000+184500</f>
        <v>2570860</v>
      </c>
      <c r="D34" s="131"/>
      <c r="E34" s="269">
        <v>85330</v>
      </c>
      <c r="F34" s="269">
        <v>58130</v>
      </c>
      <c r="G34" s="269"/>
      <c r="H34" s="269">
        <v>64910</v>
      </c>
      <c r="I34" s="269"/>
      <c r="J34" s="269"/>
      <c r="K34" s="269"/>
      <c r="L34" s="269"/>
      <c r="M34" s="269">
        <v>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v>0</v>
      </c>
      <c r="F35" s="269">
        <v>0</v>
      </c>
      <c r="G35" s="269"/>
      <c r="H35" s="269">
        <v>20970</v>
      </c>
      <c r="I35" s="269"/>
      <c r="J35" s="269"/>
      <c r="K35" s="269"/>
      <c r="L35" s="269"/>
      <c r="M35" s="269"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76000+72000+84000+22000+25100</f>
        <v>279100</v>
      </c>
      <c r="D36" s="131"/>
      <c r="E36" s="269">
        <v>9160</v>
      </c>
      <c r="F36" s="269">
        <v>6355</v>
      </c>
      <c r="G36" s="269"/>
      <c r="H36" s="269">
        <v>8500</v>
      </c>
      <c r="I36" s="269"/>
      <c r="J36" s="269"/>
      <c r="K36" s="269"/>
      <c r="L36" s="269"/>
      <c r="M36" s="269">
        <v>29240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v>0</v>
      </c>
      <c r="F37" s="269">
        <v>0</v>
      </c>
      <c r="G37" s="269"/>
      <c r="H37" s="269">
        <v>1830</v>
      </c>
      <c r="I37" s="269"/>
      <c r="J37" s="269"/>
      <c r="K37" s="269"/>
      <c r="L37" s="269"/>
      <c r="M37" s="269"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ht="25.5" customHeight="1" thickBot="1">
      <c r="A38" s="46"/>
      <c r="B38" s="47" t="s">
        <v>5</v>
      </c>
      <c r="C38" s="289">
        <f>SUM(C30:C37)</f>
        <v>11719100</v>
      </c>
      <c r="D38" s="255">
        <f>SUM(D30:D37)</f>
        <v>0</v>
      </c>
      <c r="E38" s="254">
        <f>SUM(E30:E37)</f>
        <v>319520</v>
      </c>
      <c r="F38" s="254">
        <f>SUM(F30:F37)</f>
        <v>140655</v>
      </c>
      <c r="G38" s="254">
        <f t="shared" ref="G38:V38" si="2">SUM(G30:G37)</f>
        <v>0</v>
      </c>
      <c r="H38" s="254">
        <f>SUM(H30:H37)</f>
        <v>326670</v>
      </c>
      <c r="I38" s="255">
        <f t="shared" si="2"/>
        <v>0</v>
      </c>
      <c r="J38" s="255">
        <f t="shared" si="2"/>
        <v>0</v>
      </c>
      <c r="K38" s="255">
        <f t="shared" si="2"/>
        <v>0</v>
      </c>
      <c r="L38" s="255">
        <f t="shared" si="2"/>
        <v>0</v>
      </c>
      <c r="M38" s="254">
        <f>SUM(M30:M37)</f>
        <v>140730</v>
      </c>
      <c r="N38" s="255">
        <f t="shared" si="2"/>
        <v>0</v>
      </c>
      <c r="O38" s="255">
        <f t="shared" si="2"/>
        <v>0</v>
      </c>
      <c r="P38" s="255">
        <f t="shared" si="2"/>
        <v>0</v>
      </c>
      <c r="Q38" s="255">
        <f t="shared" si="2"/>
        <v>0</v>
      </c>
      <c r="R38" s="255">
        <f t="shared" si="2"/>
        <v>0</v>
      </c>
      <c r="S38" s="255">
        <f t="shared" si="2"/>
        <v>0</v>
      </c>
      <c r="T38" s="255"/>
      <c r="U38" s="255">
        <f t="shared" si="2"/>
        <v>0</v>
      </c>
      <c r="V38" s="255">
        <f t="shared" si="2"/>
        <v>0</v>
      </c>
      <c r="W38" s="316">
        <f>SUM(D38:V38)</f>
        <v>927575</v>
      </c>
    </row>
    <row r="39" spans="1:23" ht="25.5" customHeight="1" thickTop="1">
      <c r="A39" s="5" t="s">
        <v>98</v>
      </c>
      <c r="B39" s="6"/>
      <c r="C39" s="190"/>
      <c r="D39" s="133"/>
      <c r="E39" s="269"/>
      <c r="F39" s="136"/>
      <c r="G39" s="136"/>
      <c r="H39" s="136"/>
      <c r="I39" s="133"/>
      <c r="J39" s="133"/>
      <c r="K39" s="133"/>
      <c r="L39" s="133"/>
      <c r="M39" s="136"/>
      <c r="N39" s="133"/>
      <c r="O39" s="133"/>
      <c r="P39" s="133"/>
      <c r="Q39" s="133"/>
      <c r="R39" s="217"/>
      <c r="S39" s="219"/>
      <c r="T39" s="259"/>
      <c r="U39" s="258"/>
      <c r="V39" s="258"/>
      <c r="W39" s="317"/>
    </row>
    <row r="40" spans="1:23" ht="25.5" customHeight="1">
      <c r="A40" s="9"/>
      <c r="B40" s="130" t="s">
        <v>93</v>
      </c>
      <c r="C40" s="216">
        <v>5000</v>
      </c>
      <c r="D40" s="133"/>
      <c r="E40" s="269"/>
      <c r="F40" s="269"/>
      <c r="G40" s="269"/>
      <c r="H40" s="269"/>
      <c r="I40" s="269"/>
      <c r="J40" s="269"/>
      <c r="K40" s="269"/>
      <c r="L40" s="269"/>
      <c r="M40" s="269"/>
      <c r="N40" s="269"/>
      <c r="O40" s="269"/>
      <c r="P40" s="269"/>
      <c r="Q40" s="269"/>
      <c r="R40" s="269"/>
      <c r="S40" s="269"/>
      <c r="T40" s="269"/>
      <c r="U40" s="269"/>
      <c r="V40" s="269"/>
      <c r="W40" s="315"/>
    </row>
    <row r="41" spans="1:23" ht="25.5" customHeight="1">
      <c r="A41" s="9"/>
      <c r="B41" s="130" t="s">
        <v>205</v>
      </c>
      <c r="C41" s="285">
        <v>10000</v>
      </c>
      <c r="D41" s="131"/>
      <c r="E41" s="269"/>
      <c r="F41" s="269"/>
      <c r="G41" s="269"/>
      <c r="H41" s="269"/>
      <c r="I41" s="269"/>
      <c r="J41" s="269"/>
      <c r="K41" s="269"/>
      <c r="L41" s="269"/>
      <c r="M41" s="269"/>
      <c r="N41" s="269"/>
      <c r="O41" s="269"/>
      <c r="P41" s="269"/>
      <c r="Q41" s="269"/>
      <c r="R41" s="269"/>
      <c r="S41" s="269"/>
      <c r="T41" s="269"/>
      <c r="U41" s="269"/>
      <c r="V41" s="269"/>
      <c r="W41" s="315"/>
    </row>
    <row r="42" spans="1:23" ht="25.5" customHeight="1">
      <c r="A42" s="9"/>
      <c r="B42" s="130" t="s">
        <v>94</v>
      </c>
      <c r="C42" s="285">
        <v>10000</v>
      </c>
      <c r="D42" s="131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311"/>
    </row>
    <row r="43" spans="1:23" ht="25.5" customHeight="1">
      <c r="A43" s="9"/>
      <c r="B43" s="130" t="s">
        <v>95</v>
      </c>
      <c r="C43" s="192">
        <v>5000</v>
      </c>
      <c r="D43" s="131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</row>
    <row r="44" spans="1:23" ht="25.5" customHeight="1">
      <c r="A44" s="9"/>
      <c r="B44" s="130" t="s">
        <v>96</v>
      </c>
      <c r="C44" s="192">
        <v>5000</v>
      </c>
      <c r="D44" s="131"/>
      <c r="E44" s="269"/>
      <c r="F44" s="269"/>
      <c r="G44" s="269"/>
      <c r="H44" s="269"/>
      <c r="I44" s="269"/>
      <c r="J44" s="269"/>
      <c r="K44" s="269"/>
      <c r="L44" s="269"/>
      <c r="M44" s="269"/>
      <c r="N44" s="269"/>
      <c r="O44" s="269"/>
      <c r="P44" s="269"/>
      <c r="Q44" s="269"/>
      <c r="R44" s="269"/>
      <c r="S44" s="269"/>
      <c r="T44" s="269"/>
      <c r="U44" s="269"/>
      <c r="V44" s="269"/>
    </row>
    <row r="45" spans="1:23" ht="25.5" customHeight="1">
      <c r="A45" s="9"/>
      <c r="B45" s="130" t="s">
        <v>10</v>
      </c>
      <c r="C45" s="216">
        <f>144000+36000+78000+78000</f>
        <v>336000</v>
      </c>
      <c r="D45" s="133"/>
      <c r="E45" s="269">
        <v>10000</v>
      </c>
      <c r="F45" s="269">
        <v>3000</v>
      </c>
      <c r="G45" s="269"/>
      <c r="H45" s="269">
        <v>6500</v>
      </c>
      <c r="I45" s="269"/>
      <c r="J45" s="269"/>
      <c r="K45" s="269"/>
      <c r="L45" s="269"/>
      <c r="M45" s="269">
        <v>6500</v>
      </c>
      <c r="N45" s="269"/>
      <c r="O45" s="269"/>
      <c r="P45" s="269"/>
      <c r="Q45" s="269"/>
      <c r="R45" s="269"/>
      <c r="S45" s="269"/>
      <c r="T45" s="269"/>
      <c r="U45" s="269"/>
      <c r="V45" s="269"/>
    </row>
    <row r="46" spans="1:23" ht="25.5" customHeight="1">
      <c r="A46" s="9"/>
      <c r="B46" s="130" t="s">
        <v>9</v>
      </c>
      <c r="C46" s="216">
        <f>25000+10000+30000+20000</f>
        <v>85000</v>
      </c>
      <c r="D46" s="131"/>
      <c r="E46" s="269">
        <v>2100</v>
      </c>
      <c r="F46" s="269"/>
      <c r="G46" s="269"/>
      <c r="H46" s="269"/>
      <c r="I46" s="269"/>
      <c r="J46" s="269"/>
      <c r="K46" s="269"/>
      <c r="L46" s="269"/>
      <c r="M46" s="269"/>
      <c r="N46" s="269"/>
      <c r="O46" s="269"/>
      <c r="P46" s="269"/>
      <c r="Q46" s="269"/>
      <c r="R46" s="269"/>
      <c r="S46" s="269"/>
      <c r="T46" s="269"/>
      <c r="U46" s="269"/>
      <c r="V46" s="269"/>
    </row>
    <row r="47" spans="1:23" ht="25.5" customHeight="1">
      <c r="A47" s="197"/>
      <c r="B47" s="198" t="s">
        <v>241</v>
      </c>
      <c r="C47" s="286">
        <v>44200</v>
      </c>
      <c r="D47" s="131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269"/>
      <c r="T47" s="269"/>
      <c r="U47" s="269"/>
      <c r="V47" s="269"/>
    </row>
    <row r="48" spans="1:23" ht="25.5" customHeight="1" thickBot="1">
      <c r="A48" s="46"/>
      <c r="B48" s="47" t="s">
        <v>5</v>
      </c>
      <c r="C48" s="289">
        <f>SUM(C40:C47)</f>
        <v>500200</v>
      </c>
      <c r="D48" s="255">
        <f>SUM(D40:D47)</f>
        <v>0</v>
      </c>
      <c r="E48" s="254">
        <f>SUM(E40:E47)</f>
        <v>12100</v>
      </c>
      <c r="F48" s="254">
        <f>SUM(F40:F47)</f>
        <v>3000</v>
      </c>
      <c r="G48" s="254">
        <f t="shared" ref="G48:V48" si="3">SUM(G40:G47)</f>
        <v>0</v>
      </c>
      <c r="H48" s="254">
        <f>SUM(H40:H47)</f>
        <v>6500</v>
      </c>
      <c r="I48" s="255">
        <f t="shared" si="3"/>
        <v>0</v>
      </c>
      <c r="J48" s="255">
        <f t="shared" si="3"/>
        <v>0</v>
      </c>
      <c r="K48" s="255">
        <f t="shared" si="3"/>
        <v>0</v>
      </c>
      <c r="L48" s="255">
        <f t="shared" si="3"/>
        <v>0</v>
      </c>
      <c r="M48" s="254">
        <f>SUM(M40:M47)</f>
        <v>6500</v>
      </c>
      <c r="N48" s="255">
        <f t="shared" si="3"/>
        <v>0</v>
      </c>
      <c r="O48" s="255">
        <f t="shared" si="3"/>
        <v>0</v>
      </c>
      <c r="P48" s="255">
        <f t="shared" si="3"/>
        <v>0</v>
      </c>
      <c r="Q48" s="255">
        <f t="shared" si="3"/>
        <v>0</v>
      </c>
      <c r="R48" s="255">
        <f t="shared" si="3"/>
        <v>0</v>
      </c>
      <c r="S48" s="255">
        <f t="shared" si="3"/>
        <v>0</v>
      </c>
      <c r="T48" s="255"/>
      <c r="U48" s="255">
        <f t="shared" si="3"/>
        <v>0</v>
      </c>
      <c r="V48" s="255">
        <f t="shared" si="3"/>
        <v>0</v>
      </c>
      <c r="W48" s="314">
        <f>SUM(D48:V48)</f>
        <v>28100</v>
      </c>
    </row>
    <row r="49" spans="1:22" ht="25.5" customHeight="1" thickTop="1">
      <c r="A49" s="5" t="s">
        <v>99</v>
      </c>
      <c r="B49" s="6"/>
      <c r="C49" s="190"/>
      <c r="D49" s="133"/>
      <c r="E49" s="269"/>
      <c r="F49" s="136"/>
      <c r="G49" s="136"/>
      <c r="H49" s="136"/>
      <c r="I49" s="133"/>
      <c r="J49" s="133"/>
      <c r="K49" s="133"/>
      <c r="L49" s="133"/>
      <c r="M49" s="136"/>
      <c r="N49" s="133"/>
      <c r="O49" s="133"/>
      <c r="P49" s="133"/>
      <c r="Q49" s="133"/>
      <c r="R49" s="217"/>
      <c r="S49" s="219"/>
      <c r="T49" s="259"/>
      <c r="U49" s="258"/>
      <c r="V49" s="258"/>
    </row>
    <row r="50" spans="1:22" ht="25.5" customHeight="1">
      <c r="A50" s="5"/>
      <c r="B50" s="130" t="s">
        <v>100</v>
      </c>
      <c r="C50" s="281">
        <f>15000+7000+20000+15000</f>
        <v>57000</v>
      </c>
      <c r="D50" s="133"/>
      <c r="E50" s="269"/>
      <c r="F50" s="269"/>
      <c r="G50" s="269"/>
      <c r="H50" s="269"/>
      <c r="I50" s="269"/>
      <c r="J50" s="269"/>
      <c r="K50" s="269"/>
      <c r="L50" s="269"/>
      <c r="M50" s="269"/>
      <c r="N50" s="269"/>
      <c r="O50" s="269"/>
      <c r="P50" s="269"/>
      <c r="Q50" s="269"/>
      <c r="R50" s="269"/>
      <c r="S50" s="269"/>
      <c r="T50" s="269"/>
      <c r="U50" s="269"/>
      <c r="V50" s="269"/>
    </row>
    <row r="51" spans="1:22" ht="25.5" customHeight="1">
      <c r="A51" s="5"/>
      <c r="B51" s="130" t="s">
        <v>226</v>
      </c>
      <c r="C51" s="281">
        <f>1044000+124000+384000+296000-47000</f>
        <v>1801000</v>
      </c>
      <c r="D51" s="133"/>
      <c r="E51" s="269">
        <v>128000</v>
      </c>
      <c r="F51" s="269">
        <v>7000</v>
      </c>
      <c r="G51" s="269"/>
      <c r="H51" s="269">
        <v>46571</v>
      </c>
      <c r="I51" s="269"/>
      <c r="J51" s="269"/>
      <c r="K51" s="269"/>
      <c r="L51" s="269"/>
      <c r="M51" s="269">
        <v>37500</v>
      </c>
      <c r="N51" s="269"/>
      <c r="O51" s="269"/>
      <c r="P51" s="269"/>
      <c r="Q51" s="269"/>
      <c r="R51" s="269"/>
      <c r="S51" s="269"/>
      <c r="T51" s="269"/>
      <c r="U51" s="269"/>
      <c r="V51" s="269"/>
    </row>
    <row r="52" spans="1:22" ht="25.5" customHeight="1">
      <c r="A52" s="5"/>
      <c r="B52" s="130" t="s">
        <v>223</v>
      </c>
      <c r="C52" s="281">
        <v>200000</v>
      </c>
      <c r="D52" s="133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269"/>
      <c r="U52" s="269"/>
      <c r="V52" s="269"/>
    </row>
    <row r="53" spans="1:22" ht="25.5" customHeight="1">
      <c r="A53" s="5"/>
      <c r="B53" s="130" t="s">
        <v>224</v>
      </c>
      <c r="C53" s="281">
        <v>20000</v>
      </c>
      <c r="D53" s="133"/>
      <c r="E53" s="269"/>
      <c r="F53" s="269"/>
      <c r="G53" s="269"/>
      <c r="H53" s="269"/>
      <c r="I53" s="269"/>
      <c r="J53" s="269"/>
      <c r="K53" s="269"/>
      <c r="L53" s="269"/>
      <c r="M53" s="269"/>
      <c r="N53" s="269"/>
      <c r="O53" s="269"/>
      <c r="P53" s="269"/>
      <c r="Q53" s="269"/>
      <c r="R53" s="269"/>
      <c r="S53" s="269"/>
      <c r="T53" s="269"/>
      <c r="U53" s="269"/>
      <c r="V53" s="269"/>
    </row>
    <row r="54" spans="1:22" ht="25.5" customHeight="1">
      <c r="A54" s="5"/>
      <c r="B54" s="130" t="s">
        <v>225</v>
      </c>
      <c r="C54" s="281">
        <v>10000</v>
      </c>
      <c r="D54" s="133"/>
      <c r="E54" s="269">
        <v>2460</v>
      </c>
      <c r="F54" s="269"/>
      <c r="G54" s="269"/>
      <c r="H54" s="269"/>
      <c r="I54" s="269"/>
      <c r="J54" s="269"/>
      <c r="K54" s="269"/>
      <c r="L54" s="269"/>
      <c r="M54" s="269"/>
      <c r="N54" s="269"/>
      <c r="O54" s="269"/>
      <c r="P54" s="269"/>
      <c r="Q54" s="269"/>
      <c r="R54" s="269"/>
      <c r="S54" s="269"/>
      <c r="T54" s="269"/>
      <c r="U54" s="269"/>
      <c r="V54" s="269"/>
    </row>
    <row r="55" spans="1:22" ht="25.5" customHeight="1">
      <c r="A55" s="5"/>
      <c r="B55" s="130" t="s">
        <v>227</v>
      </c>
      <c r="C55" s="281">
        <v>40000</v>
      </c>
      <c r="D55" s="133"/>
      <c r="E55" s="269"/>
      <c r="F55" s="269"/>
      <c r="G55" s="269"/>
      <c r="H55" s="269"/>
      <c r="I55" s="269"/>
      <c r="J55" s="269"/>
      <c r="K55" s="269"/>
      <c r="L55" s="269"/>
      <c r="M55" s="269"/>
      <c r="N55" s="269"/>
      <c r="O55" s="269"/>
      <c r="P55" s="269"/>
      <c r="Q55" s="269"/>
      <c r="R55" s="269"/>
      <c r="S55" s="269"/>
      <c r="T55" s="269"/>
      <c r="U55" s="269"/>
      <c r="V55" s="269"/>
    </row>
    <row r="56" spans="1:22" ht="25.5" customHeight="1">
      <c r="A56" s="5"/>
      <c r="B56" s="130" t="s">
        <v>228</v>
      </c>
      <c r="C56" s="281">
        <v>9000</v>
      </c>
      <c r="D56" s="133"/>
      <c r="E56" s="269"/>
      <c r="F56" s="269"/>
      <c r="G56" s="269"/>
      <c r="H56" s="269"/>
      <c r="I56" s="269"/>
      <c r="J56" s="269"/>
      <c r="K56" s="269"/>
      <c r="L56" s="269"/>
      <c r="M56" s="269"/>
      <c r="N56" s="269"/>
      <c r="O56" s="269"/>
      <c r="P56" s="269"/>
      <c r="Q56" s="269"/>
      <c r="R56" s="269"/>
      <c r="S56" s="269"/>
      <c r="T56" s="269"/>
      <c r="U56" s="269"/>
      <c r="V56" s="269"/>
    </row>
    <row r="57" spans="1:22" ht="25.5" customHeight="1">
      <c r="A57" s="5"/>
      <c r="B57" s="130" t="s">
        <v>11</v>
      </c>
      <c r="C57" s="281">
        <f>10000+60000+20000</f>
        <v>90000</v>
      </c>
      <c r="D57" s="133"/>
      <c r="E57" s="269">
        <v>1098</v>
      </c>
      <c r="F57" s="269"/>
      <c r="G57" s="269"/>
      <c r="H57" s="269"/>
      <c r="I57" s="269"/>
      <c r="J57" s="269"/>
      <c r="K57" s="269"/>
      <c r="L57" s="269"/>
      <c r="M57" s="269"/>
      <c r="N57" s="269"/>
      <c r="O57" s="269"/>
      <c r="P57" s="269"/>
      <c r="Q57" s="269"/>
      <c r="R57" s="269"/>
      <c r="S57" s="269"/>
      <c r="T57" s="269"/>
      <c r="U57" s="269"/>
      <c r="V57" s="269"/>
    </row>
    <row r="58" spans="1:22" ht="25.5" customHeight="1">
      <c r="A58" s="5"/>
      <c r="B58" s="130" t="s">
        <v>229</v>
      </c>
      <c r="C58" s="281">
        <v>10000</v>
      </c>
      <c r="D58" s="133"/>
      <c r="E58" s="269">
        <v>1310</v>
      </c>
      <c r="F58" s="269"/>
      <c r="G58" s="269"/>
      <c r="H58" s="269"/>
      <c r="I58" s="269"/>
      <c r="J58" s="269"/>
      <c r="K58" s="269"/>
      <c r="L58" s="269"/>
      <c r="M58" s="269"/>
      <c r="N58" s="269"/>
      <c r="O58" s="269"/>
      <c r="P58" s="269"/>
      <c r="Q58" s="269"/>
      <c r="R58" s="269"/>
      <c r="S58" s="269"/>
      <c r="T58" s="269"/>
      <c r="U58" s="269"/>
      <c r="V58" s="269"/>
    </row>
    <row r="59" spans="1:22" ht="25.5" customHeight="1">
      <c r="A59" s="5"/>
      <c r="B59" s="130" t="s">
        <v>230</v>
      </c>
      <c r="C59" s="281">
        <v>20000</v>
      </c>
      <c r="D59" s="133"/>
      <c r="E59" s="269"/>
      <c r="F59" s="269"/>
      <c r="G59" s="269"/>
      <c r="H59" s="269"/>
      <c r="I59" s="269"/>
      <c r="J59" s="269"/>
      <c r="K59" s="269"/>
      <c r="L59" s="269"/>
      <c r="M59" s="269"/>
      <c r="N59" s="269"/>
      <c r="O59" s="269"/>
      <c r="P59" s="269"/>
      <c r="Q59" s="269"/>
      <c r="R59" s="269"/>
      <c r="S59" s="269"/>
      <c r="T59" s="269"/>
      <c r="U59" s="269"/>
      <c r="V59" s="269"/>
    </row>
    <row r="60" spans="1:22" ht="25.5" customHeight="1">
      <c r="A60" s="9"/>
      <c r="B60" s="130" t="s">
        <v>50</v>
      </c>
      <c r="C60" s="280">
        <v>10000</v>
      </c>
      <c r="D60" s="133"/>
      <c r="E60" s="269"/>
      <c r="F60" s="269"/>
      <c r="G60" s="269"/>
      <c r="H60" s="269"/>
      <c r="I60" s="269"/>
      <c r="J60" s="269"/>
      <c r="K60" s="269"/>
      <c r="L60" s="269"/>
      <c r="M60" s="269"/>
      <c r="N60" s="269"/>
      <c r="O60" s="269"/>
      <c r="P60" s="269"/>
      <c r="Q60" s="269"/>
      <c r="R60" s="269"/>
      <c r="S60" s="269"/>
      <c r="T60" s="269"/>
      <c r="U60" s="269"/>
      <c r="V60" s="269"/>
    </row>
    <row r="61" spans="1:22" ht="25.5" customHeight="1">
      <c r="A61" s="9"/>
      <c r="B61" s="130" t="s">
        <v>103</v>
      </c>
      <c r="C61" s="280">
        <v>10000</v>
      </c>
      <c r="D61" s="131"/>
      <c r="E61" s="269"/>
      <c r="F61" s="269"/>
      <c r="G61" s="269"/>
      <c r="H61" s="269"/>
      <c r="I61" s="269"/>
      <c r="J61" s="269"/>
      <c r="K61" s="269"/>
      <c r="L61" s="269"/>
      <c r="M61" s="269"/>
      <c r="N61" s="269"/>
      <c r="O61" s="269"/>
      <c r="P61" s="269"/>
      <c r="Q61" s="269"/>
      <c r="R61" s="269"/>
      <c r="S61" s="269"/>
      <c r="T61" s="269"/>
      <c r="U61" s="269"/>
      <c r="V61" s="269"/>
    </row>
    <row r="62" spans="1:22" ht="25.5" customHeight="1">
      <c r="A62" s="9"/>
      <c r="B62" s="187" t="s">
        <v>106</v>
      </c>
      <c r="C62" s="283">
        <f>200000+30000+30000+80000+19000+1000</f>
        <v>360000</v>
      </c>
      <c r="D62" s="131"/>
      <c r="E62" s="269">
        <v>31840</v>
      </c>
      <c r="F62" s="269"/>
      <c r="G62" s="269"/>
      <c r="H62" s="269">
        <v>5900</v>
      </c>
      <c r="I62" s="269"/>
      <c r="J62" s="269"/>
      <c r="K62" s="269"/>
      <c r="L62" s="269"/>
      <c r="M62" s="269">
        <v>620</v>
      </c>
      <c r="N62" s="269"/>
      <c r="O62" s="269"/>
      <c r="P62" s="269"/>
      <c r="Q62" s="269"/>
      <c r="R62" s="269"/>
      <c r="S62" s="269"/>
      <c r="T62" s="269"/>
      <c r="U62" s="269"/>
      <c r="V62" s="269"/>
    </row>
    <row r="63" spans="1:22" ht="25.5" customHeight="1">
      <c r="A63" s="9"/>
      <c r="B63" s="187" t="s">
        <v>231</v>
      </c>
      <c r="C63" s="283">
        <f>5000+8900</f>
        <v>13900</v>
      </c>
      <c r="D63" s="131"/>
      <c r="E63" s="269"/>
      <c r="F63" s="269"/>
      <c r="G63" s="269"/>
      <c r="H63" s="269"/>
      <c r="I63" s="269"/>
      <c r="J63" s="269"/>
      <c r="K63" s="269"/>
      <c r="L63" s="269"/>
      <c r="M63" s="269"/>
      <c r="N63" s="269"/>
      <c r="O63" s="269"/>
      <c r="P63" s="269"/>
      <c r="Q63" s="269"/>
      <c r="R63" s="269"/>
      <c r="S63" s="269"/>
      <c r="T63" s="269"/>
      <c r="U63" s="269"/>
      <c r="V63" s="269"/>
    </row>
    <row r="64" spans="1:22" ht="25.5" customHeight="1">
      <c r="A64" s="9"/>
      <c r="B64" s="187" t="s">
        <v>204</v>
      </c>
      <c r="C64" s="283">
        <v>5000</v>
      </c>
      <c r="D64" s="131"/>
      <c r="E64" s="269"/>
      <c r="F64" s="269"/>
      <c r="G64" s="269"/>
      <c r="H64" s="269"/>
      <c r="I64" s="269"/>
      <c r="J64" s="269"/>
      <c r="K64" s="269"/>
      <c r="L64" s="269"/>
      <c r="M64" s="269"/>
      <c r="N64" s="269"/>
      <c r="O64" s="269"/>
      <c r="P64" s="269"/>
      <c r="Q64" s="269"/>
      <c r="R64" s="269"/>
      <c r="S64" s="269"/>
      <c r="T64" s="269"/>
      <c r="U64" s="269"/>
      <c r="V64" s="269"/>
    </row>
    <row r="65" spans="1:22" ht="25.5" customHeight="1">
      <c r="A65" s="9"/>
      <c r="B65" s="187" t="s">
        <v>232</v>
      </c>
      <c r="C65" s="283">
        <f>120000+100000</f>
        <v>220000</v>
      </c>
      <c r="D65" s="131"/>
      <c r="E65" s="269">
        <v>157600</v>
      </c>
      <c r="F65" s="269"/>
      <c r="G65" s="269"/>
      <c r="H65" s="269"/>
      <c r="I65" s="269"/>
      <c r="J65" s="269"/>
      <c r="K65" s="269"/>
      <c r="L65" s="269"/>
      <c r="M65" s="269"/>
      <c r="N65" s="269"/>
      <c r="O65" s="269"/>
      <c r="P65" s="269"/>
      <c r="Q65" s="269"/>
      <c r="R65" s="269"/>
      <c r="S65" s="269"/>
      <c r="T65" s="269"/>
      <c r="U65" s="269"/>
      <c r="V65" s="269"/>
    </row>
    <row r="66" spans="1:22" ht="25.5" customHeight="1">
      <c r="A66" s="9"/>
      <c r="B66" s="187" t="s">
        <v>233</v>
      </c>
      <c r="C66" s="283">
        <f>125000-8900-16100</f>
        <v>100000</v>
      </c>
      <c r="D66" s="131"/>
      <c r="E66" s="269"/>
      <c r="F66" s="269"/>
      <c r="G66" s="269"/>
      <c r="H66" s="269"/>
      <c r="I66" s="269"/>
      <c r="J66" s="269"/>
      <c r="K66" s="269"/>
      <c r="L66" s="269"/>
      <c r="M66" s="269"/>
      <c r="N66" s="269"/>
      <c r="O66" s="269"/>
      <c r="P66" s="269"/>
      <c r="Q66" s="269"/>
      <c r="R66" s="269"/>
      <c r="S66" s="269"/>
      <c r="T66" s="269"/>
      <c r="U66" s="269"/>
      <c r="V66" s="269"/>
    </row>
    <row r="67" spans="1:22" ht="25.5" customHeight="1">
      <c r="A67" s="9"/>
      <c r="B67" s="187" t="s">
        <v>234</v>
      </c>
      <c r="C67" s="283">
        <v>5000</v>
      </c>
      <c r="D67" s="131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</row>
    <row r="68" spans="1:22" ht="25.5" customHeight="1">
      <c r="A68" s="9"/>
      <c r="B68" s="187" t="s">
        <v>235</v>
      </c>
      <c r="C68" s="283">
        <v>90000</v>
      </c>
      <c r="D68" s="131"/>
      <c r="E68" s="269"/>
      <c r="F68" s="269"/>
      <c r="G68" s="269"/>
      <c r="H68" s="269"/>
      <c r="I68" s="269"/>
      <c r="J68" s="269"/>
      <c r="K68" s="269"/>
      <c r="L68" s="269"/>
      <c r="M68" s="269"/>
      <c r="N68" s="269"/>
      <c r="O68" s="269"/>
      <c r="P68" s="269"/>
      <c r="Q68" s="269"/>
      <c r="R68" s="269"/>
      <c r="S68" s="269"/>
      <c r="T68" s="269"/>
      <c r="U68" s="269"/>
      <c r="V68" s="269"/>
    </row>
    <row r="69" spans="1:22" ht="25.5" customHeight="1">
      <c r="A69" s="9"/>
      <c r="B69" s="187" t="s">
        <v>236</v>
      </c>
      <c r="C69" s="283">
        <v>5000</v>
      </c>
      <c r="D69" s="131"/>
      <c r="E69" s="269"/>
      <c r="F69" s="269"/>
      <c r="G69" s="269"/>
      <c r="H69" s="269"/>
      <c r="I69" s="269"/>
      <c r="J69" s="269"/>
      <c r="K69" s="269"/>
      <c r="L69" s="269"/>
      <c r="M69" s="269"/>
      <c r="N69" s="269"/>
      <c r="O69" s="269"/>
      <c r="P69" s="269"/>
      <c r="Q69" s="269"/>
      <c r="R69" s="269"/>
      <c r="S69" s="269"/>
      <c r="T69" s="269"/>
      <c r="U69" s="269"/>
      <c r="V69" s="269"/>
    </row>
    <row r="70" spans="1:22" ht="25.5" customHeight="1">
      <c r="A70" s="9"/>
      <c r="B70" s="187" t="s">
        <v>237</v>
      </c>
      <c r="C70" s="283">
        <v>5000</v>
      </c>
      <c r="D70" s="131"/>
      <c r="E70" s="269"/>
      <c r="F70" s="269"/>
      <c r="G70" s="269"/>
      <c r="H70" s="269"/>
      <c r="I70" s="269"/>
      <c r="J70" s="269"/>
      <c r="K70" s="269"/>
      <c r="L70" s="269"/>
      <c r="M70" s="269"/>
      <c r="N70" s="269"/>
      <c r="O70" s="269"/>
      <c r="P70" s="269"/>
      <c r="Q70" s="269"/>
      <c r="R70" s="269"/>
      <c r="S70" s="269"/>
      <c r="T70" s="269"/>
      <c r="U70" s="269"/>
      <c r="V70" s="269"/>
    </row>
    <row r="71" spans="1:22" ht="25.5" customHeight="1">
      <c r="A71" s="165"/>
      <c r="B71" s="226" t="s">
        <v>277</v>
      </c>
      <c r="C71" s="279">
        <v>5000</v>
      </c>
      <c r="D71" s="131"/>
      <c r="E71" s="269"/>
      <c r="F71" s="269"/>
      <c r="G71" s="269"/>
      <c r="H71" s="269"/>
      <c r="I71" s="269"/>
      <c r="J71" s="269"/>
      <c r="K71" s="269"/>
      <c r="L71" s="269"/>
      <c r="M71" s="269"/>
      <c r="N71" s="269"/>
      <c r="O71" s="269"/>
      <c r="P71" s="269"/>
      <c r="Q71" s="269"/>
      <c r="R71" s="269"/>
      <c r="S71" s="269"/>
      <c r="T71" s="269"/>
      <c r="U71" s="269"/>
      <c r="V71" s="269"/>
    </row>
    <row r="72" spans="1:22" ht="25.5" customHeight="1">
      <c r="A72" s="165"/>
      <c r="B72" s="226" t="s">
        <v>107</v>
      </c>
      <c r="C72" s="279">
        <v>10000</v>
      </c>
      <c r="D72" s="131"/>
      <c r="E72" s="269"/>
      <c r="F72" s="269"/>
      <c r="G72" s="269"/>
      <c r="H72" s="269"/>
      <c r="I72" s="269"/>
      <c r="J72" s="269"/>
      <c r="K72" s="269"/>
      <c r="L72" s="269"/>
      <c r="M72" s="269"/>
      <c r="N72" s="269"/>
      <c r="O72" s="269"/>
      <c r="P72" s="269"/>
      <c r="Q72" s="269"/>
      <c r="R72" s="269"/>
      <c r="S72" s="269"/>
      <c r="T72" s="269"/>
      <c r="U72" s="269"/>
      <c r="V72" s="269"/>
    </row>
    <row r="73" spans="1:22" ht="25.5" customHeight="1">
      <c r="A73" s="9"/>
      <c r="B73" s="226" t="s">
        <v>278</v>
      </c>
      <c r="C73" s="279">
        <v>10000</v>
      </c>
      <c r="D73" s="195"/>
      <c r="E73" s="269"/>
      <c r="F73" s="269"/>
      <c r="G73" s="269"/>
      <c r="H73" s="269"/>
      <c r="I73" s="269"/>
      <c r="J73" s="269"/>
      <c r="K73" s="269"/>
      <c r="L73" s="269"/>
      <c r="M73" s="269"/>
      <c r="N73" s="269"/>
      <c r="O73" s="269"/>
      <c r="P73" s="269"/>
      <c r="Q73" s="269"/>
      <c r="R73" s="269"/>
      <c r="S73" s="269"/>
      <c r="T73" s="269"/>
      <c r="U73" s="269"/>
      <c r="V73" s="269"/>
    </row>
    <row r="74" spans="1:22" ht="25.5" customHeight="1">
      <c r="A74" s="165"/>
      <c r="B74" s="226" t="s">
        <v>279</v>
      </c>
      <c r="C74" s="279">
        <v>10000</v>
      </c>
      <c r="D74" s="195"/>
      <c r="E74" s="269"/>
      <c r="F74" s="269"/>
      <c r="G74" s="269"/>
      <c r="H74" s="269"/>
      <c r="I74" s="269"/>
      <c r="J74" s="269"/>
      <c r="K74" s="269"/>
      <c r="L74" s="269"/>
      <c r="M74" s="269"/>
      <c r="N74" s="269"/>
      <c r="O74" s="269"/>
      <c r="P74" s="269"/>
      <c r="Q74" s="269"/>
      <c r="R74" s="269"/>
      <c r="S74" s="269"/>
      <c r="T74" s="269"/>
      <c r="U74" s="269"/>
      <c r="V74" s="269"/>
    </row>
    <row r="75" spans="1:22" ht="25.5" customHeight="1">
      <c r="A75" s="9"/>
      <c r="B75" s="226" t="s">
        <v>280</v>
      </c>
      <c r="C75" s="279">
        <v>10000</v>
      </c>
      <c r="D75" s="195"/>
      <c r="E75" s="269"/>
      <c r="F75" s="269"/>
      <c r="G75" s="269"/>
      <c r="H75" s="269"/>
      <c r="I75" s="269"/>
      <c r="J75" s="269"/>
      <c r="K75" s="269"/>
      <c r="L75" s="269"/>
      <c r="M75" s="269"/>
      <c r="N75" s="269"/>
      <c r="O75" s="269"/>
      <c r="P75" s="269"/>
      <c r="Q75" s="269"/>
      <c r="R75" s="269"/>
      <c r="S75" s="269"/>
      <c r="T75" s="269"/>
      <c r="U75" s="269"/>
      <c r="V75" s="269"/>
    </row>
    <row r="76" spans="1:22" ht="25.5" customHeight="1">
      <c r="A76" s="9"/>
      <c r="B76" s="226" t="s">
        <v>281</v>
      </c>
      <c r="C76" s="279">
        <v>5000</v>
      </c>
      <c r="D76" s="195"/>
      <c r="E76" s="269"/>
      <c r="F76" s="269"/>
      <c r="G76" s="269"/>
      <c r="H76" s="269"/>
      <c r="I76" s="269"/>
      <c r="J76" s="269"/>
      <c r="K76" s="269"/>
      <c r="L76" s="269"/>
      <c r="M76" s="269"/>
      <c r="N76" s="269"/>
      <c r="O76" s="269"/>
      <c r="P76" s="269"/>
      <c r="Q76" s="269"/>
      <c r="R76" s="269"/>
      <c r="S76" s="269"/>
      <c r="T76" s="269"/>
      <c r="U76" s="269"/>
      <c r="V76" s="269"/>
    </row>
    <row r="77" spans="1:22" ht="25.5" customHeight="1">
      <c r="A77" s="9"/>
      <c r="B77" s="226" t="s">
        <v>282</v>
      </c>
      <c r="C77" s="279">
        <v>5000</v>
      </c>
      <c r="D77" s="195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</row>
    <row r="78" spans="1:22" ht="25.5" customHeight="1">
      <c r="A78" s="9"/>
      <c r="B78" s="226" t="s">
        <v>238</v>
      </c>
      <c r="C78" s="279">
        <f>70000+40000+10000+20000+30000+10000</f>
        <v>180000</v>
      </c>
      <c r="D78" s="195"/>
      <c r="E78" s="269"/>
      <c r="F78" s="269"/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  <c r="U78" s="269"/>
      <c r="V78" s="269"/>
    </row>
    <row r="79" spans="1:22" ht="25.5" customHeight="1">
      <c r="A79" s="9"/>
      <c r="B79" s="226" t="s">
        <v>121</v>
      </c>
      <c r="C79" s="279">
        <f>100000+47000+3000-140000</f>
        <v>10000</v>
      </c>
      <c r="D79" s="195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</row>
    <row r="80" spans="1:22" ht="25.5" customHeight="1">
      <c r="A80" s="9"/>
      <c r="B80" s="226" t="s">
        <v>295</v>
      </c>
      <c r="C80" s="279">
        <f>40000+50000</f>
        <v>90000</v>
      </c>
      <c r="D80" s="195"/>
      <c r="E80" s="269"/>
      <c r="F80" s="269"/>
      <c r="G80" s="269"/>
      <c r="H80" s="269"/>
      <c r="I80" s="269"/>
      <c r="J80" s="269"/>
      <c r="K80" s="269"/>
      <c r="L80" s="269"/>
      <c r="M80" s="269"/>
      <c r="N80" s="269"/>
      <c r="O80" s="269"/>
      <c r="P80" s="269"/>
      <c r="Q80" s="269"/>
      <c r="R80" s="269"/>
      <c r="S80" s="269"/>
      <c r="T80" s="269"/>
      <c r="U80" s="269"/>
      <c r="V80" s="269"/>
    </row>
    <row r="81" spans="1:22" ht="25.5" customHeight="1">
      <c r="A81" s="9"/>
      <c r="B81" s="226" t="s">
        <v>296</v>
      </c>
      <c r="C81" s="279">
        <v>30000</v>
      </c>
      <c r="D81" s="195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</row>
    <row r="82" spans="1:22" ht="25.5" customHeight="1">
      <c r="A82" s="9"/>
      <c r="B82" s="226" t="s">
        <v>210</v>
      </c>
      <c r="C82" s="279">
        <v>10000</v>
      </c>
      <c r="D82" s="195"/>
      <c r="E82" s="269"/>
      <c r="F82" s="269"/>
      <c r="G82" s="269"/>
      <c r="H82" s="269"/>
      <c r="I82" s="269"/>
      <c r="J82" s="269"/>
      <c r="K82" s="269"/>
      <c r="L82" s="269"/>
      <c r="M82" s="269"/>
      <c r="N82" s="269"/>
      <c r="O82" s="269"/>
      <c r="P82" s="269"/>
      <c r="Q82" s="269"/>
      <c r="R82" s="269"/>
      <c r="S82" s="269"/>
      <c r="T82" s="269"/>
      <c r="U82" s="269"/>
      <c r="V82" s="269"/>
    </row>
    <row r="83" spans="1:22" ht="25.5" customHeight="1">
      <c r="A83" s="9"/>
      <c r="B83" s="187" t="s">
        <v>297</v>
      </c>
      <c r="C83" s="279">
        <v>20000</v>
      </c>
      <c r="D83" s="195"/>
      <c r="E83" s="269"/>
      <c r="F83" s="269"/>
      <c r="G83" s="269"/>
      <c r="H83" s="269"/>
      <c r="I83" s="269"/>
      <c r="J83" s="269"/>
      <c r="K83" s="269"/>
      <c r="L83" s="269"/>
      <c r="M83" s="269"/>
      <c r="N83" s="269"/>
      <c r="O83" s="269"/>
      <c r="P83" s="269"/>
      <c r="Q83" s="269"/>
      <c r="R83" s="269"/>
      <c r="S83" s="269"/>
      <c r="T83" s="269"/>
      <c r="U83" s="269"/>
      <c r="V83" s="269"/>
    </row>
    <row r="84" spans="1:22" ht="25.5" customHeight="1">
      <c r="A84" s="9"/>
      <c r="B84" s="187" t="s">
        <v>298</v>
      </c>
      <c r="C84" s="279">
        <v>20000</v>
      </c>
      <c r="D84" s="195"/>
      <c r="E84" s="269"/>
      <c r="F84" s="269"/>
      <c r="G84" s="269"/>
      <c r="H84" s="269"/>
      <c r="I84" s="269"/>
      <c r="J84" s="269"/>
      <c r="K84" s="269"/>
      <c r="L84" s="269"/>
      <c r="M84" s="269"/>
      <c r="N84" s="269"/>
      <c r="O84" s="269"/>
      <c r="P84" s="269"/>
      <c r="Q84" s="269"/>
      <c r="R84" s="269"/>
      <c r="S84" s="269"/>
      <c r="T84" s="269"/>
      <c r="U84" s="269"/>
      <c r="V84" s="269"/>
    </row>
    <row r="85" spans="1:22" ht="25.5" customHeight="1">
      <c r="A85" s="9"/>
      <c r="B85" s="187" t="s">
        <v>299</v>
      </c>
      <c r="C85" s="279">
        <v>15000</v>
      </c>
      <c r="D85" s="195"/>
      <c r="E85" s="269"/>
      <c r="F85" s="269"/>
      <c r="G85" s="269"/>
      <c r="H85" s="269"/>
      <c r="I85" s="269"/>
      <c r="J85" s="269"/>
      <c r="K85" s="269"/>
      <c r="L85" s="269"/>
      <c r="M85" s="269"/>
      <c r="N85" s="269"/>
      <c r="O85" s="269"/>
      <c r="P85" s="269"/>
      <c r="Q85" s="269"/>
      <c r="R85" s="269"/>
      <c r="S85" s="269"/>
      <c r="T85" s="269"/>
      <c r="U85" s="269"/>
      <c r="V85" s="269"/>
    </row>
    <row r="86" spans="1:22" ht="25.5" customHeight="1">
      <c r="A86" s="9"/>
      <c r="B86" s="187" t="s">
        <v>300</v>
      </c>
      <c r="C86" s="279">
        <v>10000</v>
      </c>
      <c r="D86" s="195"/>
      <c r="E86" s="269"/>
      <c r="F86" s="269"/>
      <c r="G86" s="269"/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  <c r="U86" s="269"/>
      <c r="V86" s="269"/>
    </row>
    <row r="87" spans="1:22" ht="25.5" customHeight="1">
      <c r="A87" s="9"/>
      <c r="B87" s="187" t="s">
        <v>301</v>
      </c>
      <c r="C87" s="279">
        <v>345100</v>
      </c>
      <c r="D87" s="195"/>
      <c r="E87" s="269"/>
      <c r="F87" s="269"/>
      <c r="G87" s="269"/>
      <c r="H87" s="269"/>
      <c r="I87" s="269"/>
      <c r="J87" s="269"/>
      <c r="K87" s="269"/>
      <c r="L87" s="269"/>
      <c r="M87" s="269"/>
      <c r="N87" s="269"/>
      <c r="O87" s="269"/>
      <c r="P87" s="269"/>
      <c r="Q87" s="269"/>
      <c r="R87" s="269"/>
      <c r="S87" s="269"/>
      <c r="T87" s="269"/>
      <c r="U87" s="269"/>
      <c r="V87" s="269"/>
    </row>
    <row r="88" spans="1:22" ht="25.5" customHeight="1">
      <c r="A88" s="9"/>
      <c r="B88" s="187" t="s">
        <v>242</v>
      </c>
      <c r="C88" s="279">
        <v>40000</v>
      </c>
      <c r="D88" s="195"/>
      <c r="E88" s="269"/>
      <c r="F88" s="269"/>
      <c r="G88" s="269"/>
      <c r="H88" s="269"/>
      <c r="I88" s="269">
        <v>40000</v>
      </c>
      <c r="J88" s="269"/>
      <c r="K88" s="269"/>
      <c r="L88" s="269"/>
      <c r="M88" s="269"/>
      <c r="N88" s="269"/>
      <c r="O88" s="269"/>
      <c r="P88" s="269"/>
      <c r="Q88" s="269"/>
      <c r="R88" s="269"/>
      <c r="S88" s="269"/>
      <c r="T88" s="269"/>
      <c r="U88" s="269"/>
      <c r="V88" s="269"/>
    </row>
    <row r="89" spans="1:22" ht="25.5" customHeight="1">
      <c r="A89" s="9"/>
      <c r="B89" s="187" t="s">
        <v>307</v>
      </c>
      <c r="C89" s="279">
        <v>10000</v>
      </c>
      <c r="D89" s="131"/>
      <c r="E89" s="269"/>
      <c r="F89" s="269"/>
      <c r="G89" s="269"/>
      <c r="H89" s="269"/>
      <c r="I89" s="269"/>
      <c r="J89" s="269"/>
      <c r="K89" s="269"/>
      <c r="L89" s="269"/>
      <c r="M89" s="269"/>
      <c r="N89" s="269"/>
      <c r="O89" s="269"/>
      <c r="P89" s="269"/>
      <c r="Q89" s="269"/>
      <c r="R89" s="269"/>
      <c r="S89" s="269"/>
      <c r="T89" s="269"/>
      <c r="U89" s="269"/>
      <c r="V89" s="269"/>
    </row>
    <row r="90" spans="1:22" ht="25.5" customHeight="1">
      <c r="A90" s="9"/>
      <c r="B90" s="187" t="s">
        <v>134</v>
      </c>
      <c r="C90" s="279">
        <v>15000</v>
      </c>
      <c r="D90" s="195"/>
      <c r="E90" s="269"/>
      <c r="F90" s="269"/>
      <c r="G90" s="269"/>
      <c r="H90" s="269"/>
      <c r="I90" s="269"/>
      <c r="J90" s="269"/>
      <c r="K90" s="269"/>
      <c r="L90" s="269"/>
      <c r="M90" s="269"/>
      <c r="N90" s="269"/>
      <c r="O90" s="269"/>
      <c r="P90" s="269"/>
      <c r="Q90" s="269"/>
      <c r="R90" s="269"/>
      <c r="S90" s="269"/>
      <c r="T90" s="269"/>
      <c r="U90" s="269"/>
      <c r="V90" s="269"/>
    </row>
    <row r="91" spans="1:22" ht="25.5" customHeight="1">
      <c r="A91" s="9"/>
      <c r="B91" s="187" t="s">
        <v>308</v>
      </c>
      <c r="C91" s="279">
        <v>2500</v>
      </c>
      <c r="D91" s="195"/>
      <c r="E91" s="269"/>
      <c r="F91" s="269"/>
      <c r="G91" s="269"/>
      <c r="H91" s="269"/>
      <c r="I91" s="269"/>
      <c r="J91" s="269"/>
      <c r="K91" s="269"/>
      <c r="L91" s="269"/>
      <c r="M91" s="269"/>
      <c r="N91" s="269"/>
      <c r="O91" s="269"/>
      <c r="P91" s="269"/>
      <c r="Q91" s="269"/>
      <c r="R91" s="269"/>
      <c r="S91" s="269"/>
      <c r="T91" s="269"/>
      <c r="U91" s="269"/>
      <c r="V91" s="269"/>
    </row>
    <row r="92" spans="1:22" ht="25.5" customHeight="1">
      <c r="A92" s="9"/>
      <c r="B92" s="187" t="s">
        <v>309</v>
      </c>
      <c r="C92" s="279">
        <v>2500</v>
      </c>
      <c r="D92" s="195"/>
      <c r="E92" s="269"/>
      <c r="F92" s="269"/>
      <c r="G92" s="269"/>
      <c r="H92" s="269"/>
      <c r="I92" s="269"/>
      <c r="J92" s="269"/>
      <c r="K92" s="269"/>
      <c r="L92" s="269"/>
      <c r="M92" s="269"/>
      <c r="N92" s="269"/>
      <c r="O92" s="269"/>
      <c r="P92" s="269"/>
      <c r="Q92" s="269"/>
      <c r="R92" s="269"/>
      <c r="S92" s="269"/>
      <c r="T92" s="269"/>
      <c r="U92" s="269"/>
      <c r="V92" s="269"/>
    </row>
    <row r="93" spans="1:22" ht="25.5" customHeight="1">
      <c r="A93" s="9"/>
      <c r="B93" s="187" t="s">
        <v>310</v>
      </c>
      <c r="C93" s="279">
        <v>2500</v>
      </c>
      <c r="D93" s="195"/>
      <c r="E93" s="269"/>
      <c r="F93" s="269"/>
      <c r="G93" s="269"/>
      <c r="H93" s="269"/>
      <c r="I93" s="269"/>
      <c r="J93" s="269"/>
      <c r="K93" s="269"/>
      <c r="L93" s="269"/>
      <c r="M93" s="269"/>
      <c r="N93" s="269"/>
      <c r="O93" s="269"/>
      <c r="P93" s="269"/>
      <c r="Q93" s="269"/>
      <c r="R93" s="269"/>
      <c r="S93" s="269"/>
      <c r="T93" s="269"/>
      <c r="U93" s="269"/>
      <c r="V93" s="269"/>
    </row>
    <row r="94" spans="1:22" ht="25.5" customHeight="1">
      <c r="A94" s="9"/>
      <c r="B94" s="187" t="s">
        <v>311</v>
      </c>
      <c r="C94" s="279">
        <v>2500</v>
      </c>
      <c r="D94" s="195"/>
      <c r="E94" s="269"/>
      <c r="F94" s="269"/>
      <c r="G94" s="269"/>
      <c r="H94" s="269"/>
      <c r="I94" s="269"/>
      <c r="J94" s="269"/>
      <c r="K94" s="269"/>
      <c r="L94" s="269"/>
      <c r="M94" s="269"/>
      <c r="N94" s="269"/>
      <c r="O94" s="269"/>
      <c r="P94" s="269"/>
      <c r="Q94" s="269"/>
      <c r="R94" s="269"/>
      <c r="S94" s="269"/>
      <c r="T94" s="269"/>
      <c r="U94" s="269"/>
      <c r="V94" s="269"/>
    </row>
    <row r="95" spans="1:22" ht="25.5" customHeight="1">
      <c r="A95" s="9"/>
      <c r="B95" s="187" t="s">
        <v>243</v>
      </c>
      <c r="C95" s="279">
        <v>2000</v>
      </c>
      <c r="D95" s="195"/>
      <c r="E95" s="269"/>
      <c r="F95" s="269"/>
      <c r="G95" s="269"/>
      <c r="H95" s="269"/>
      <c r="I95" s="269"/>
      <c r="J95" s="269"/>
      <c r="K95" s="269"/>
      <c r="L95" s="269"/>
      <c r="M95" s="269"/>
      <c r="N95" s="269"/>
      <c r="O95" s="269"/>
      <c r="P95" s="269"/>
      <c r="Q95" s="269"/>
      <c r="R95" s="269"/>
      <c r="S95" s="269"/>
      <c r="T95" s="269"/>
      <c r="U95" s="269"/>
      <c r="V95" s="269"/>
    </row>
    <row r="96" spans="1:22" ht="25.5" customHeight="1">
      <c r="A96" s="9"/>
      <c r="B96" s="187" t="s">
        <v>248</v>
      </c>
      <c r="C96" s="279">
        <v>2000</v>
      </c>
      <c r="D96" s="195"/>
      <c r="E96" s="269"/>
      <c r="F96" s="269"/>
      <c r="G96" s="269"/>
      <c r="H96" s="269"/>
      <c r="I96" s="269"/>
      <c r="J96" s="269"/>
      <c r="K96" s="269"/>
      <c r="L96" s="269"/>
      <c r="M96" s="269"/>
      <c r="N96" s="269"/>
      <c r="O96" s="269"/>
      <c r="P96" s="269"/>
      <c r="Q96" s="269"/>
      <c r="R96" s="269"/>
      <c r="S96" s="269"/>
      <c r="T96" s="269"/>
      <c r="U96" s="269"/>
      <c r="V96" s="269"/>
    </row>
    <row r="97" spans="1:22" ht="25.5" customHeight="1">
      <c r="A97" s="9"/>
      <c r="B97" s="187" t="s">
        <v>244</v>
      </c>
      <c r="C97" s="279">
        <v>2000</v>
      </c>
      <c r="D97" s="195"/>
      <c r="E97" s="269"/>
      <c r="F97" s="269"/>
      <c r="G97" s="269"/>
      <c r="H97" s="269"/>
      <c r="I97" s="269"/>
      <c r="J97" s="269"/>
      <c r="K97" s="269"/>
      <c r="L97" s="269"/>
      <c r="M97" s="269"/>
      <c r="N97" s="269"/>
      <c r="O97" s="269"/>
      <c r="P97" s="269"/>
      <c r="Q97" s="269"/>
      <c r="R97" s="269"/>
      <c r="S97" s="269"/>
      <c r="T97" s="269"/>
      <c r="U97" s="269"/>
      <c r="V97" s="269"/>
    </row>
    <row r="98" spans="1:22" ht="25.5" customHeight="1">
      <c r="A98" s="9"/>
      <c r="B98" s="187" t="s">
        <v>245</v>
      </c>
      <c r="C98" s="279">
        <v>2000</v>
      </c>
      <c r="D98" s="195"/>
      <c r="E98" s="269"/>
      <c r="F98" s="269"/>
      <c r="G98" s="269"/>
      <c r="H98" s="269"/>
      <c r="I98" s="269"/>
      <c r="J98" s="269"/>
      <c r="K98" s="269"/>
      <c r="L98" s="269"/>
      <c r="M98" s="269"/>
      <c r="N98" s="269"/>
      <c r="O98" s="269"/>
      <c r="P98" s="269"/>
      <c r="Q98" s="269"/>
      <c r="R98" s="269"/>
      <c r="S98" s="269"/>
      <c r="T98" s="269"/>
      <c r="U98" s="269"/>
      <c r="V98" s="269"/>
    </row>
    <row r="99" spans="1:22" ht="25.5" customHeight="1">
      <c r="A99" s="9"/>
      <c r="B99" s="187" t="s">
        <v>246</v>
      </c>
      <c r="C99" s="279">
        <v>2000</v>
      </c>
      <c r="D99" s="195"/>
      <c r="E99" s="269"/>
      <c r="F99" s="269"/>
      <c r="G99" s="269"/>
      <c r="H99" s="269"/>
      <c r="I99" s="269"/>
      <c r="J99" s="269"/>
      <c r="K99" s="269"/>
      <c r="L99" s="269"/>
      <c r="M99" s="269"/>
      <c r="N99" s="269"/>
      <c r="O99" s="269"/>
      <c r="P99" s="269"/>
      <c r="Q99" s="269"/>
      <c r="R99" s="269"/>
      <c r="S99" s="269"/>
      <c r="T99" s="269"/>
      <c r="U99" s="269"/>
      <c r="V99" s="269"/>
    </row>
    <row r="100" spans="1:22" ht="25.5" customHeight="1">
      <c r="A100" s="9"/>
      <c r="B100" s="187" t="s">
        <v>247</v>
      </c>
      <c r="C100" s="279">
        <v>2000</v>
      </c>
      <c r="D100" s="195"/>
      <c r="E100" s="269"/>
      <c r="F100" s="269"/>
      <c r="G100" s="269"/>
      <c r="H100" s="269"/>
      <c r="I100" s="269"/>
      <c r="J100" s="269"/>
      <c r="K100" s="269"/>
      <c r="L100" s="269"/>
      <c r="M100" s="269"/>
      <c r="N100" s="269"/>
      <c r="O100" s="269"/>
      <c r="P100" s="269"/>
      <c r="Q100" s="269"/>
      <c r="R100" s="269"/>
      <c r="S100" s="269"/>
      <c r="T100" s="269"/>
      <c r="U100" s="269"/>
      <c r="V100" s="269"/>
    </row>
    <row r="101" spans="1:22" ht="25.5" customHeight="1">
      <c r="A101" s="9"/>
      <c r="B101" s="187" t="s">
        <v>249</v>
      </c>
      <c r="C101" s="279">
        <v>2000</v>
      </c>
      <c r="D101" s="195"/>
      <c r="E101" s="269"/>
      <c r="F101" s="269"/>
      <c r="G101" s="269"/>
      <c r="H101" s="269"/>
      <c r="I101" s="269"/>
      <c r="J101" s="269"/>
      <c r="K101" s="269"/>
      <c r="L101" s="269"/>
      <c r="M101" s="269"/>
      <c r="N101" s="269"/>
      <c r="O101" s="269"/>
      <c r="P101" s="269"/>
      <c r="Q101" s="269"/>
      <c r="R101" s="269"/>
      <c r="S101" s="269"/>
      <c r="T101" s="269"/>
      <c r="U101" s="269"/>
      <c r="V101" s="269"/>
    </row>
    <row r="102" spans="1:22" ht="25.5" customHeight="1">
      <c r="A102" s="9"/>
      <c r="B102" s="187" t="s">
        <v>250</v>
      </c>
      <c r="C102" s="279">
        <v>2000</v>
      </c>
      <c r="D102" s="195"/>
      <c r="E102" s="269"/>
      <c r="F102" s="269"/>
      <c r="G102" s="269"/>
      <c r="H102" s="269"/>
      <c r="I102" s="269"/>
      <c r="J102" s="269"/>
      <c r="K102" s="269"/>
      <c r="L102" s="269"/>
      <c r="M102" s="269"/>
      <c r="N102" s="269"/>
      <c r="O102" s="269"/>
      <c r="P102" s="269"/>
      <c r="Q102" s="269"/>
      <c r="R102" s="269"/>
      <c r="S102" s="269"/>
      <c r="T102" s="269"/>
      <c r="U102" s="269"/>
      <c r="V102" s="269"/>
    </row>
    <row r="103" spans="1:22" ht="25.5" customHeight="1">
      <c r="A103" s="9"/>
      <c r="B103" s="187" t="s">
        <v>251</v>
      </c>
      <c r="C103" s="279">
        <v>2000</v>
      </c>
      <c r="D103" s="195"/>
      <c r="E103" s="269"/>
      <c r="F103" s="269"/>
      <c r="G103" s="269"/>
      <c r="H103" s="269"/>
      <c r="I103" s="269"/>
      <c r="J103" s="269"/>
      <c r="K103" s="269"/>
      <c r="L103" s="269"/>
      <c r="M103" s="269"/>
      <c r="N103" s="269"/>
      <c r="O103" s="269"/>
      <c r="P103" s="269"/>
      <c r="Q103" s="269"/>
      <c r="R103" s="269"/>
      <c r="S103" s="269"/>
      <c r="T103" s="269"/>
      <c r="U103" s="269"/>
      <c r="V103" s="269"/>
    </row>
    <row r="104" spans="1:22" ht="25.5" customHeight="1">
      <c r="A104" s="9"/>
      <c r="B104" s="187" t="s">
        <v>252</v>
      </c>
      <c r="C104" s="279">
        <v>2000</v>
      </c>
      <c r="D104" s="195"/>
      <c r="E104" s="269"/>
      <c r="F104" s="269"/>
      <c r="G104" s="269"/>
      <c r="H104" s="269"/>
      <c r="I104" s="269"/>
      <c r="J104" s="269"/>
      <c r="K104" s="269"/>
      <c r="L104" s="269"/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</row>
    <row r="105" spans="1:22" ht="25.5" customHeight="1">
      <c r="A105" s="9"/>
      <c r="B105" s="187" t="s">
        <v>253</v>
      </c>
      <c r="C105" s="279">
        <v>2000</v>
      </c>
      <c r="D105" s="195"/>
      <c r="E105" s="269"/>
      <c r="F105" s="269"/>
      <c r="G105" s="269"/>
      <c r="H105" s="269"/>
      <c r="I105" s="269"/>
      <c r="J105" s="269"/>
      <c r="K105" s="269"/>
      <c r="L105" s="269"/>
      <c r="M105" s="269"/>
      <c r="N105" s="269"/>
      <c r="O105" s="269"/>
      <c r="P105" s="269"/>
      <c r="Q105" s="269"/>
      <c r="R105" s="269"/>
      <c r="S105" s="269"/>
      <c r="T105" s="269"/>
      <c r="U105" s="269"/>
      <c r="V105" s="269"/>
    </row>
    <row r="106" spans="1:22" ht="25.5" customHeight="1">
      <c r="A106" s="9"/>
      <c r="B106" s="187" t="s">
        <v>254</v>
      </c>
      <c r="C106" s="279">
        <v>2000</v>
      </c>
      <c r="D106" s="195"/>
      <c r="E106" s="269"/>
      <c r="F106" s="269"/>
      <c r="G106" s="269"/>
      <c r="H106" s="269"/>
      <c r="I106" s="269"/>
      <c r="J106" s="269"/>
      <c r="K106" s="269"/>
      <c r="L106" s="269"/>
      <c r="M106" s="269"/>
      <c r="N106" s="269"/>
      <c r="O106" s="269"/>
      <c r="P106" s="269"/>
      <c r="Q106" s="269"/>
      <c r="R106" s="269"/>
      <c r="S106" s="269"/>
      <c r="T106" s="269"/>
      <c r="U106" s="269"/>
      <c r="V106" s="269"/>
    </row>
    <row r="107" spans="1:22" ht="25.5" customHeight="1">
      <c r="A107" s="9"/>
      <c r="B107" s="187" t="s">
        <v>312</v>
      </c>
      <c r="C107" s="279">
        <v>2500</v>
      </c>
      <c r="D107" s="195"/>
      <c r="E107" s="269"/>
      <c r="F107" s="269"/>
      <c r="G107" s="269"/>
      <c r="H107" s="269"/>
      <c r="I107" s="269"/>
      <c r="J107" s="269"/>
      <c r="K107" s="269"/>
      <c r="L107" s="269"/>
      <c r="M107" s="269"/>
      <c r="N107" s="269"/>
      <c r="O107" s="269"/>
      <c r="P107" s="269"/>
      <c r="Q107" s="269"/>
      <c r="R107" s="269"/>
      <c r="S107" s="269"/>
      <c r="T107" s="269"/>
      <c r="U107" s="269"/>
      <c r="V107" s="269"/>
    </row>
    <row r="108" spans="1:22" ht="25.5" customHeight="1">
      <c r="A108" s="9"/>
      <c r="B108" s="187" t="s">
        <v>313</v>
      </c>
      <c r="C108" s="279">
        <v>2500</v>
      </c>
      <c r="D108" s="131"/>
      <c r="E108" s="269"/>
      <c r="F108" s="269"/>
      <c r="G108" s="269"/>
      <c r="H108" s="269"/>
      <c r="I108" s="269"/>
      <c r="J108" s="269"/>
      <c r="K108" s="269"/>
      <c r="L108" s="269"/>
      <c r="M108" s="269"/>
      <c r="N108" s="269"/>
      <c r="O108" s="269"/>
      <c r="P108" s="269"/>
      <c r="Q108" s="269"/>
      <c r="R108" s="269"/>
      <c r="S108" s="269"/>
      <c r="T108" s="269"/>
      <c r="U108" s="269"/>
      <c r="V108" s="269"/>
    </row>
    <row r="109" spans="1:22" ht="25.5" customHeight="1">
      <c r="A109" s="9"/>
      <c r="B109" s="187" t="s">
        <v>314</v>
      </c>
      <c r="C109" s="279">
        <v>2500</v>
      </c>
      <c r="D109" s="195"/>
      <c r="E109" s="269"/>
      <c r="F109" s="269"/>
      <c r="G109" s="269"/>
      <c r="H109" s="269"/>
      <c r="I109" s="269"/>
      <c r="J109" s="269"/>
      <c r="K109" s="269"/>
      <c r="L109" s="269"/>
      <c r="M109" s="269"/>
      <c r="N109" s="269"/>
      <c r="O109" s="269"/>
      <c r="P109" s="269"/>
      <c r="Q109" s="269"/>
      <c r="R109" s="269"/>
      <c r="S109" s="269"/>
      <c r="T109" s="269"/>
      <c r="U109" s="269"/>
      <c r="V109" s="269"/>
    </row>
    <row r="110" spans="1:22" ht="25.5" customHeight="1">
      <c r="A110" s="9"/>
      <c r="B110" s="187" t="s">
        <v>255</v>
      </c>
      <c r="C110" s="279">
        <v>4000</v>
      </c>
      <c r="D110" s="195"/>
      <c r="E110" s="269"/>
      <c r="F110" s="269"/>
      <c r="G110" s="269"/>
      <c r="H110" s="269"/>
      <c r="I110" s="269"/>
      <c r="J110" s="269"/>
      <c r="K110" s="269"/>
      <c r="L110" s="269"/>
      <c r="M110" s="269"/>
      <c r="N110" s="269"/>
      <c r="O110" s="269"/>
      <c r="P110" s="269"/>
      <c r="Q110" s="269"/>
      <c r="R110" s="269"/>
      <c r="S110" s="269"/>
      <c r="T110" s="269"/>
      <c r="U110" s="269"/>
      <c r="V110" s="269"/>
    </row>
    <row r="111" spans="1:22" ht="25.5" customHeight="1">
      <c r="A111" s="9"/>
      <c r="B111" s="187" t="s">
        <v>256</v>
      </c>
      <c r="C111" s="279">
        <v>2500</v>
      </c>
      <c r="D111" s="195"/>
      <c r="E111" s="269"/>
      <c r="F111" s="269"/>
      <c r="G111" s="269"/>
      <c r="H111" s="269"/>
      <c r="I111" s="269"/>
      <c r="J111" s="269"/>
      <c r="K111" s="269"/>
      <c r="L111" s="269"/>
      <c r="M111" s="269"/>
      <c r="N111" s="269"/>
      <c r="O111" s="269"/>
      <c r="P111" s="269"/>
      <c r="Q111" s="269"/>
      <c r="R111" s="269"/>
      <c r="S111" s="269"/>
      <c r="T111" s="269"/>
      <c r="U111" s="269"/>
      <c r="V111" s="269"/>
    </row>
    <row r="112" spans="1:22" ht="25.5" customHeight="1">
      <c r="A112" s="9"/>
      <c r="B112" s="187" t="s">
        <v>257</v>
      </c>
      <c r="C112" s="279">
        <v>2500</v>
      </c>
      <c r="D112" s="195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</row>
    <row r="113" spans="1:22" ht="25.5" customHeight="1">
      <c r="A113" s="9"/>
      <c r="B113" s="187" t="s">
        <v>258</v>
      </c>
      <c r="C113" s="279">
        <v>2500</v>
      </c>
      <c r="D113" s="195"/>
      <c r="E113" s="269"/>
      <c r="F113" s="269"/>
      <c r="G113" s="269"/>
      <c r="H113" s="269"/>
      <c r="I113" s="269"/>
      <c r="J113" s="269"/>
      <c r="K113" s="269"/>
      <c r="L113" s="269"/>
      <c r="M113" s="269"/>
      <c r="N113" s="269"/>
      <c r="O113" s="269"/>
      <c r="P113" s="269"/>
      <c r="Q113" s="269"/>
      <c r="R113" s="269"/>
      <c r="S113" s="269"/>
      <c r="T113" s="269"/>
      <c r="U113" s="269"/>
      <c r="V113" s="269"/>
    </row>
    <row r="114" spans="1:22" ht="25.5" customHeight="1">
      <c r="A114" s="9"/>
      <c r="B114" s="187" t="s">
        <v>259</v>
      </c>
      <c r="C114" s="279">
        <v>1000</v>
      </c>
      <c r="D114" s="195"/>
      <c r="E114" s="269"/>
      <c r="F114" s="269"/>
      <c r="G114" s="269"/>
      <c r="H114" s="269"/>
      <c r="I114" s="269"/>
      <c r="J114" s="269"/>
      <c r="K114" s="269"/>
      <c r="L114" s="269"/>
      <c r="M114" s="269"/>
      <c r="N114" s="269"/>
      <c r="O114" s="269"/>
      <c r="P114" s="269"/>
      <c r="Q114" s="269"/>
      <c r="R114" s="269"/>
      <c r="S114" s="269"/>
      <c r="T114" s="269"/>
      <c r="U114" s="269"/>
      <c r="V114" s="269"/>
    </row>
    <row r="115" spans="1:22" ht="25.5" customHeight="1">
      <c r="A115" s="9"/>
      <c r="B115" s="187" t="s">
        <v>260</v>
      </c>
      <c r="C115" s="279">
        <v>1000</v>
      </c>
      <c r="D115" s="195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</row>
    <row r="116" spans="1:22" ht="25.5" customHeight="1">
      <c r="A116" s="9"/>
      <c r="B116" s="187" t="s">
        <v>261</v>
      </c>
      <c r="C116" s="279">
        <v>1000</v>
      </c>
      <c r="D116" s="195"/>
      <c r="E116" s="269"/>
      <c r="F116" s="269"/>
      <c r="G116" s="269"/>
      <c r="H116" s="269"/>
      <c r="I116" s="269"/>
      <c r="J116" s="269"/>
      <c r="K116" s="269"/>
      <c r="L116" s="269"/>
      <c r="M116" s="269"/>
      <c r="N116" s="269"/>
      <c r="O116" s="269"/>
      <c r="P116" s="269"/>
      <c r="Q116" s="269"/>
      <c r="R116" s="269"/>
      <c r="S116" s="269"/>
      <c r="T116" s="269"/>
      <c r="U116" s="269"/>
      <c r="V116" s="269"/>
    </row>
    <row r="117" spans="1:22" ht="25.5" customHeight="1">
      <c r="A117" s="9"/>
      <c r="B117" s="187" t="s">
        <v>262</v>
      </c>
      <c r="C117" s="279">
        <v>1000</v>
      </c>
      <c r="D117" s="195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</row>
    <row r="118" spans="1:22" ht="25.5" customHeight="1">
      <c r="A118" s="9"/>
      <c r="B118" s="187" t="s">
        <v>211</v>
      </c>
      <c r="C118" s="279">
        <v>392000</v>
      </c>
      <c r="D118" s="195"/>
      <c r="E118" s="269"/>
      <c r="F118" s="269"/>
      <c r="G118" s="269"/>
      <c r="H118" s="269"/>
      <c r="I118" s="269"/>
      <c r="J118" s="269"/>
      <c r="K118" s="269"/>
      <c r="L118" s="269"/>
      <c r="M118" s="269"/>
      <c r="N118" s="269"/>
      <c r="O118" s="269"/>
      <c r="P118" s="269"/>
      <c r="Q118" s="269"/>
      <c r="R118" s="269"/>
      <c r="S118" s="269"/>
      <c r="T118" s="269"/>
      <c r="U118" s="269"/>
      <c r="V118" s="269"/>
    </row>
    <row r="119" spans="1:22" ht="25.5" customHeight="1">
      <c r="A119" s="9"/>
      <c r="B119" s="187" t="s">
        <v>263</v>
      </c>
      <c r="C119" s="279">
        <v>200900</v>
      </c>
      <c r="D119" s="195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</row>
    <row r="120" spans="1:22" ht="25.5" customHeight="1">
      <c r="A120" s="9"/>
      <c r="B120" s="187" t="s">
        <v>315</v>
      </c>
      <c r="C120" s="279">
        <v>230300</v>
      </c>
      <c r="D120" s="195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</row>
    <row r="121" spans="1:22" ht="25.5" customHeight="1">
      <c r="A121" s="9"/>
      <c r="B121" s="187" t="s">
        <v>212</v>
      </c>
      <c r="C121" s="279">
        <v>171500</v>
      </c>
      <c r="D121" s="195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</row>
    <row r="122" spans="1:22" ht="25.5" customHeight="1">
      <c r="A122" s="9"/>
      <c r="B122" s="187" t="s">
        <v>140</v>
      </c>
      <c r="C122" s="279">
        <v>50000</v>
      </c>
      <c r="D122" s="195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</row>
    <row r="123" spans="1:22" ht="25.5" customHeight="1">
      <c r="A123" s="9"/>
      <c r="B123" s="187" t="s">
        <v>206</v>
      </c>
      <c r="C123" s="279">
        <v>20000</v>
      </c>
      <c r="D123" s="195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</row>
    <row r="124" spans="1:22" ht="25.5" customHeight="1">
      <c r="A124" s="9"/>
      <c r="B124" s="187" t="s">
        <v>326</v>
      </c>
      <c r="C124" s="279">
        <v>5000</v>
      </c>
      <c r="D124" s="195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</row>
    <row r="125" spans="1:22" ht="25.5" customHeight="1">
      <c r="A125" s="9"/>
      <c r="B125" s="187" t="s">
        <v>327</v>
      </c>
      <c r="C125" s="279">
        <v>5000</v>
      </c>
      <c r="D125" s="195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</row>
    <row r="126" spans="1:22" ht="25.5" customHeight="1">
      <c r="A126" s="9"/>
      <c r="B126" s="187" t="s">
        <v>142</v>
      </c>
      <c r="C126" s="279">
        <v>20000</v>
      </c>
      <c r="D126" s="195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</row>
    <row r="127" spans="1:22" ht="25.5" customHeight="1">
      <c r="A127" s="9"/>
      <c r="B127" s="226" t="s">
        <v>328</v>
      </c>
      <c r="C127" s="279">
        <v>10000</v>
      </c>
      <c r="D127" s="195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</row>
    <row r="128" spans="1:22" ht="25.5" customHeight="1">
      <c r="A128" s="9"/>
      <c r="B128" s="226" t="s">
        <v>329</v>
      </c>
      <c r="C128" s="279">
        <v>10000</v>
      </c>
      <c r="D128" s="131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</row>
    <row r="129" spans="1:22" ht="25.5" customHeight="1">
      <c r="A129" s="9"/>
      <c r="B129" s="226" t="s">
        <v>330</v>
      </c>
      <c r="C129" s="279">
        <v>10000</v>
      </c>
      <c r="D129" s="195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</row>
    <row r="130" spans="1:22" ht="25.5" customHeight="1">
      <c r="A130" s="9"/>
      <c r="B130" s="226" t="s">
        <v>331</v>
      </c>
      <c r="C130" s="279">
        <f>10000-10000</f>
        <v>0</v>
      </c>
      <c r="D130" s="195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</row>
    <row r="131" spans="1:22" ht="25.5" customHeight="1">
      <c r="A131" s="9"/>
      <c r="B131" s="226" t="s">
        <v>333</v>
      </c>
      <c r="C131" s="279">
        <v>15000</v>
      </c>
      <c r="D131" s="195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</row>
    <row r="132" spans="1:22" ht="25.5" customHeight="1">
      <c r="A132" s="9"/>
      <c r="B132" s="226" t="s">
        <v>157</v>
      </c>
      <c r="C132" s="279">
        <v>10000</v>
      </c>
      <c r="D132" s="195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</row>
    <row r="133" spans="1:22" ht="25.5" customHeight="1">
      <c r="A133" s="9"/>
      <c r="B133" s="226" t="s">
        <v>158</v>
      </c>
      <c r="C133" s="279">
        <v>10000</v>
      </c>
      <c r="D133" s="195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</row>
    <row r="134" spans="1:22" ht="25.5" customHeight="1">
      <c r="A134" s="9"/>
      <c r="B134" s="226" t="s">
        <v>352</v>
      </c>
      <c r="C134" s="279">
        <f>10000+10000</f>
        <v>20000</v>
      </c>
      <c r="D134" s="195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</row>
    <row r="135" spans="1:22" ht="25.5" customHeight="1">
      <c r="A135" s="9"/>
      <c r="B135" s="226" t="s">
        <v>213</v>
      </c>
      <c r="C135" s="279">
        <v>15000</v>
      </c>
      <c r="D135" s="195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</row>
    <row r="136" spans="1:22" ht="25.5" customHeight="1">
      <c r="A136" s="9"/>
      <c r="B136" s="226" t="s">
        <v>265</v>
      </c>
      <c r="C136" s="279">
        <f>20000-20000</f>
        <v>0</v>
      </c>
      <c r="D136" s="195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</row>
    <row r="137" spans="1:22" ht="25.5" customHeight="1">
      <c r="A137" s="9"/>
      <c r="B137" s="226" t="s">
        <v>353</v>
      </c>
      <c r="C137" s="279">
        <v>5000</v>
      </c>
      <c r="D137" s="195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</row>
    <row r="138" spans="1:22" ht="25.5" customHeight="1">
      <c r="A138" s="9"/>
      <c r="B138" s="226" t="s">
        <v>354</v>
      </c>
      <c r="C138" s="279">
        <v>10000</v>
      </c>
      <c r="D138" s="195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</row>
    <row r="139" spans="1:22" ht="25.5" customHeight="1">
      <c r="A139" s="9"/>
      <c r="B139" s="187" t="s">
        <v>355</v>
      </c>
      <c r="C139" s="279">
        <v>20000</v>
      </c>
      <c r="D139" s="195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</row>
    <row r="140" spans="1:22" ht="25.5" customHeight="1">
      <c r="A140" s="9"/>
      <c r="B140" s="187" t="s">
        <v>356</v>
      </c>
      <c r="C140" s="279">
        <v>20000</v>
      </c>
      <c r="D140" s="195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</row>
    <row r="141" spans="1:22" ht="25.5" customHeight="1">
      <c r="A141" s="9"/>
      <c r="B141" s="187" t="s">
        <v>357</v>
      </c>
      <c r="C141" s="279">
        <v>10000</v>
      </c>
      <c r="D141" s="195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</row>
    <row r="142" spans="1:22" ht="25.5" customHeight="1">
      <c r="A142" s="9"/>
      <c r="B142" s="187" t="s">
        <v>358</v>
      </c>
      <c r="C142" s="279">
        <v>10000</v>
      </c>
      <c r="D142" s="195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</row>
    <row r="143" spans="1:22" ht="25.5" customHeight="1">
      <c r="A143" s="9"/>
      <c r="B143" s="187" t="s">
        <v>359</v>
      </c>
      <c r="C143" s="279">
        <v>5000</v>
      </c>
      <c r="D143" s="195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</row>
    <row r="144" spans="1:22" ht="25.5" customHeight="1">
      <c r="A144" s="9"/>
      <c r="B144" s="187" t="s">
        <v>360</v>
      </c>
      <c r="C144" s="279">
        <v>5000</v>
      </c>
      <c r="D144" s="195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</row>
    <row r="145" spans="1:22" ht="25.5" customHeight="1">
      <c r="A145" s="9"/>
      <c r="B145" s="187" t="s">
        <v>361</v>
      </c>
      <c r="C145" s="279">
        <v>5000</v>
      </c>
      <c r="D145" s="195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</row>
    <row r="146" spans="1:22" ht="25.5" customHeight="1">
      <c r="A146" s="9"/>
      <c r="B146" s="187" t="s">
        <v>362</v>
      </c>
      <c r="C146" s="279">
        <v>5000</v>
      </c>
      <c r="D146" s="195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</row>
    <row r="147" spans="1:22" ht="25.5" customHeight="1">
      <c r="A147" s="9"/>
      <c r="B147" s="187" t="s">
        <v>363</v>
      </c>
      <c r="C147" s="279">
        <v>5000</v>
      </c>
      <c r="D147" s="131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</row>
    <row r="148" spans="1:22" ht="25.5" customHeight="1">
      <c r="A148" s="9"/>
      <c r="B148" s="187" t="s">
        <v>364</v>
      </c>
      <c r="C148" s="279">
        <v>5000</v>
      </c>
      <c r="D148" s="131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</row>
    <row r="149" spans="1:22" ht="25.5" customHeight="1">
      <c r="A149" s="9"/>
      <c r="B149" s="187" t="s">
        <v>365</v>
      </c>
      <c r="C149" s="279">
        <v>5000</v>
      </c>
      <c r="D149" s="131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</row>
    <row r="150" spans="1:22" ht="25.5" customHeight="1">
      <c r="A150" s="9"/>
      <c r="B150" s="187" t="s">
        <v>366</v>
      </c>
      <c r="C150" s="279">
        <v>5000</v>
      </c>
      <c r="D150" s="131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</row>
    <row r="151" spans="1:22" ht="25.5" customHeight="1">
      <c r="A151" s="9"/>
      <c r="B151" s="187" t="s">
        <v>367</v>
      </c>
      <c r="C151" s="279">
        <v>5000</v>
      </c>
      <c r="D151" s="131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</row>
    <row r="152" spans="1:22" ht="25.5" customHeight="1">
      <c r="A152" s="9"/>
      <c r="B152" s="187" t="s">
        <v>368</v>
      </c>
      <c r="C152" s="279">
        <v>5000</v>
      </c>
      <c r="D152" s="131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</row>
    <row r="153" spans="1:22" ht="25.5" customHeight="1">
      <c r="A153" s="9"/>
      <c r="B153" s="187" t="s">
        <v>369</v>
      </c>
      <c r="C153" s="279">
        <f>10000-10000</f>
        <v>0</v>
      </c>
      <c r="D153" s="131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</row>
    <row r="154" spans="1:22" ht="25.5" customHeight="1">
      <c r="A154" s="9"/>
      <c r="B154" s="187" t="s">
        <v>370</v>
      </c>
      <c r="C154" s="279">
        <v>10000</v>
      </c>
      <c r="D154" s="131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</row>
    <row r="155" spans="1:22" ht="25.5" customHeight="1">
      <c r="A155" s="9"/>
      <c r="B155" s="187" t="s">
        <v>163</v>
      </c>
      <c r="C155" s="279">
        <v>350000</v>
      </c>
      <c r="D155" s="131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</row>
    <row r="156" spans="1:22" ht="25.5" customHeight="1">
      <c r="A156" s="9"/>
      <c r="B156" s="187" t="s">
        <v>214</v>
      </c>
      <c r="C156" s="279">
        <v>25000</v>
      </c>
      <c r="D156" s="131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</row>
    <row r="157" spans="1:22" ht="25.5" customHeight="1">
      <c r="A157" s="9"/>
      <c r="B157" s="187" t="s">
        <v>167</v>
      </c>
      <c r="C157" s="279">
        <f>30000-30000</f>
        <v>0</v>
      </c>
      <c r="D157" s="131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</row>
    <row r="158" spans="1:22" ht="25.5" customHeight="1">
      <c r="A158" s="9"/>
      <c r="B158" s="187" t="s">
        <v>371</v>
      </c>
      <c r="C158" s="279">
        <v>30000</v>
      </c>
      <c r="D158" s="131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</row>
    <row r="159" spans="1:22" ht="25.5" customHeight="1">
      <c r="A159" s="9"/>
      <c r="B159" s="187" t="s">
        <v>170</v>
      </c>
      <c r="C159" s="279">
        <v>40000</v>
      </c>
      <c r="D159" s="131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</row>
    <row r="160" spans="1:22" ht="25.5" customHeight="1">
      <c r="A160" s="9"/>
      <c r="B160" s="187" t="s">
        <v>266</v>
      </c>
      <c r="C160" s="279">
        <v>15000</v>
      </c>
      <c r="D160" s="131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</row>
    <row r="161" spans="1:23" ht="25.5" customHeight="1">
      <c r="A161" s="9"/>
      <c r="B161" s="187" t="s">
        <v>372</v>
      </c>
      <c r="C161" s="279">
        <v>65000</v>
      </c>
      <c r="D161" s="131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</row>
    <row r="162" spans="1:23" ht="25.5" customHeight="1">
      <c r="A162" s="9"/>
      <c r="B162" s="187" t="s">
        <v>373</v>
      </c>
      <c r="C162" s="279">
        <v>65000</v>
      </c>
      <c r="D162" s="131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</row>
    <row r="163" spans="1:23" ht="25.5" customHeight="1">
      <c r="A163" s="9"/>
      <c r="B163" s="187" t="s">
        <v>374</v>
      </c>
      <c r="C163" s="279">
        <v>20000</v>
      </c>
      <c r="D163" s="131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</row>
    <row r="164" spans="1:23" ht="25.5" customHeight="1">
      <c r="A164" s="9"/>
      <c r="B164" s="187" t="s">
        <v>375</v>
      </c>
      <c r="C164" s="279">
        <v>20000</v>
      </c>
      <c r="D164" s="131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</row>
    <row r="165" spans="1:23" ht="25.5" customHeight="1">
      <c r="A165" s="9"/>
      <c r="B165" s="187" t="s">
        <v>376</v>
      </c>
      <c r="C165" s="279">
        <v>25000</v>
      </c>
      <c r="D165" s="131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</row>
    <row r="166" spans="1:23" ht="25.5" customHeight="1">
      <c r="A166" s="9"/>
      <c r="B166" s="187" t="s">
        <v>377</v>
      </c>
      <c r="C166" s="279">
        <v>20000</v>
      </c>
      <c r="D166" s="131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</row>
    <row r="167" spans="1:23" ht="25.5" customHeight="1">
      <c r="A167" s="9"/>
      <c r="B167" s="187" t="s">
        <v>267</v>
      </c>
      <c r="C167" s="279">
        <v>15000</v>
      </c>
      <c r="D167" s="131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</row>
    <row r="168" spans="1:23" ht="25.5" customHeight="1">
      <c r="A168" s="9"/>
      <c r="B168" s="187" t="s">
        <v>215</v>
      </c>
      <c r="C168" s="279">
        <v>10000</v>
      </c>
      <c r="D168" s="131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</row>
    <row r="169" spans="1:23" ht="25.5" customHeight="1">
      <c r="A169" s="9"/>
      <c r="B169" s="187" t="s">
        <v>268</v>
      </c>
      <c r="C169" s="279">
        <v>5000</v>
      </c>
      <c r="D169" s="131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</row>
    <row r="170" spans="1:23" ht="25.5" customHeight="1">
      <c r="A170" s="9"/>
      <c r="B170" s="187" t="s">
        <v>413</v>
      </c>
      <c r="C170" s="279">
        <v>140000</v>
      </c>
      <c r="D170" s="131"/>
      <c r="E170" s="269"/>
      <c r="F170" s="269">
        <v>27080</v>
      </c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</row>
    <row r="171" spans="1:23" ht="25.5" customHeight="1">
      <c r="A171" s="9"/>
      <c r="B171" s="187" t="s">
        <v>414</v>
      </c>
      <c r="C171" s="279">
        <v>40000</v>
      </c>
      <c r="D171" s="131"/>
      <c r="E171" s="269"/>
      <c r="F171" s="269"/>
      <c r="G171" s="269"/>
      <c r="H171" s="269"/>
      <c r="I171" s="269"/>
      <c r="J171" s="269"/>
      <c r="K171" s="269">
        <v>37080</v>
      </c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</row>
    <row r="172" spans="1:23" ht="25.5" customHeight="1">
      <c r="A172" s="9"/>
      <c r="B172" s="187" t="s">
        <v>415</v>
      </c>
      <c r="C172" s="279"/>
      <c r="D172" s="131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>
        <v>1200</v>
      </c>
      <c r="Q172" s="269"/>
      <c r="R172" s="269"/>
      <c r="S172" s="269"/>
      <c r="T172" s="269"/>
      <c r="U172" s="269"/>
      <c r="V172" s="269"/>
    </row>
    <row r="173" spans="1:23" ht="25.5" customHeight="1">
      <c r="A173" s="9"/>
      <c r="B173" s="187" t="s">
        <v>330</v>
      </c>
      <c r="C173" s="279"/>
      <c r="D173" s="131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</row>
    <row r="174" spans="1:23" ht="25.5" customHeight="1">
      <c r="A174" s="9"/>
      <c r="B174" s="187"/>
      <c r="C174" s="279"/>
      <c r="D174" s="131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</row>
    <row r="175" spans="1:23" ht="25.5" customHeight="1" thickBot="1">
      <c r="A175" s="15"/>
      <c r="B175" s="14" t="s">
        <v>5</v>
      </c>
      <c r="C175" s="170">
        <f t="shared" ref="C175:V175" si="4">SUM(C50:C174)</f>
        <v>6202700</v>
      </c>
      <c r="D175" s="255">
        <f t="shared" si="4"/>
        <v>0</v>
      </c>
      <c r="E175" s="254">
        <f t="shared" si="4"/>
        <v>322308</v>
      </c>
      <c r="F175" s="254">
        <f t="shared" si="4"/>
        <v>34080</v>
      </c>
      <c r="G175" s="254">
        <f t="shared" si="4"/>
        <v>0</v>
      </c>
      <c r="H175" s="254">
        <f t="shared" si="4"/>
        <v>52471</v>
      </c>
      <c r="I175" s="255">
        <f t="shared" si="4"/>
        <v>40000</v>
      </c>
      <c r="J175" s="255">
        <f t="shared" si="4"/>
        <v>0</v>
      </c>
      <c r="K175" s="255">
        <f t="shared" si="4"/>
        <v>37080</v>
      </c>
      <c r="L175" s="255">
        <f t="shared" si="4"/>
        <v>0</v>
      </c>
      <c r="M175" s="254">
        <f t="shared" si="4"/>
        <v>38120</v>
      </c>
      <c r="N175" s="255">
        <f t="shared" si="4"/>
        <v>0</v>
      </c>
      <c r="O175" s="255">
        <f t="shared" si="4"/>
        <v>0</v>
      </c>
      <c r="P175" s="255">
        <f>SUM(P50:P174)</f>
        <v>1200</v>
      </c>
      <c r="Q175" s="255">
        <f t="shared" si="4"/>
        <v>0</v>
      </c>
      <c r="R175" s="255">
        <f t="shared" si="4"/>
        <v>0</v>
      </c>
      <c r="S175" s="255">
        <f t="shared" si="4"/>
        <v>0</v>
      </c>
      <c r="T175" s="255"/>
      <c r="U175" s="255">
        <f t="shared" si="4"/>
        <v>0</v>
      </c>
      <c r="V175" s="255">
        <f t="shared" si="4"/>
        <v>0</v>
      </c>
      <c r="W175" s="314">
        <f>SUM(D175:V175)</f>
        <v>525259</v>
      </c>
    </row>
    <row r="176" spans="1:23" ht="25.5" customHeight="1" thickTop="1">
      <c r="A176" s="3" t="s">
        <v>113</v>
      </c>
      <c r="B176" s="4"/>
      <c r="C176" s="287"/>
      <c r="D176" s="133"/>
      <c r="E176" s="269"/>
      <c r="F176" s="136"/>
      <c r="G176" s="136"/>
      <c r="H176" s="136"/>
      <c r="I176" s="133"/>
      <c r="J176" s="133"/>
      <c r="K176" s="133"/>
      <c r="L176" s="133"/>
      <c r="M176" s="136"/>
      <c r="N176" s="133"/>
      <c r="O176" s="133"/>
      <c r="P176" s="133"/>
      <c r="Q176" s="133"/>
      <c r="R176" s="258"/>
      <c r="S176" s="259"/>
      <c r="T176" s="259"/>
      <c r="U176" s="258"/>
      <c r="V176" s="258"/>
    </row>
    <row r="177" spans="1:23" ht="25.5" customHeight="1">
      <c r="A177" s="9"/>
      <c r="B177" s="130" t="s">
        <v>111</v>
      </c>
      <c r="C177" s="216">
        <f>50000+25000+5000+25000+10000+10000-8000</f>
        <v>117000</v>
      </c>
      <c r="D177" s="131"/>
      <c r="E177" s="267"/>
      <c r="F177" s="267">
        <v>5444</v>
      </c>
      <c r="G177" s="267"/>
      <c r="H177" s="267"/>
      <c r="I177" s="267"/>
      <c r="J177" s="267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</row>
    <row r="178" spans="1:23" s="67" customFormat="1" ht="25.5" customHeight="1">
      <c r="A178" s="9"/>
      <c r="B178" s="130" t="s">
        <v>302</v>
      </c>
      <c r="C178" s="216">
        <v>10000</v>
      </c>
      <c r="D178" s="131"/>
      <c r="E178" s="267"/>
      <c r="F178" s="267"/>
      <c r="G178" s="267"/>
      <c r="H178" s="267"/>
      <c r="I178" s="267"/>
      <c r="J178" s="267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312"/>
    </row>
    <row r="179" spans="1:23" s="67" customFormat="1" ht="25.5" customHeight="1">
      <c r="A179" s="9"/>
      <c r="B179" s="130" t="s">
        <v>16</v>
      </c>
      <c r="C179" s="216">
        <f>8000+200000+5000</f>
        <v>213000</v>
      </c>
      <c r="D179" s="131"/>
      <c r="E179" s="267"/>
      <c r="F179" s="267"/>
      <c r="G179" s="267"/>
      <c r="H179" s="267"/>
      <c r="I179" s="267"/>
      <c r="J179" s="267"/>
      <c r="K179" s="267"/>
      <c r="L179" s="267"/>
      <c r="M179" s="267"/>
      <c r="N179" s="267">
        <v>78500</v>
      </c>
      <c r="O179" s="267"/>
      <c r="P179" s="267"/>
      <c r="Q179" s="267"/>
      <c r="R179" s="267"/>
      <c r="S179" s="267"/>
      <c r="T179" s="267"/>
      <c r="U179" s="267"/>
      <c r="V179" s="267"/>
      <c r="W179" s="312"/>
    </row>
    <row r="180" spans="1:23" s="67" customFormat="1" ht="25.5" customHeight="1">
      <c r="A180" s="9"/>
      <c r="B180" s="130" t="s">
        <v>12</v>
      </c>
      <c r="C180" s="216">
        <f>15000+10000</f>
        <v>25000</v>
      </c>
      <c r="D180" s="131"/>
      <c r="E180" s="267"/>
      <c r="F180" s="267"/>
      <c r="G180" s="267"/>
      <c r="H180" s="267"/>
      <c r="I180" s="267"/>
      <c r="J180" s="267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312"/>
    </row>
    <row r="181" spans="1:23" ht="25.5" customHeight="1">
      <c r="A181" s="9"/>
      <c r="B181" s="130" t="s">
        <v>17</v>
      </c>
      <c r="C181" s="216">
        <f>15000+25000+20000-10000+8000</f>
        <v>58000</v>
      </c>
      <c r="D181" s="133"/>
      <c r="E181" s="267"/>
      <c r="F181" s="267"/>
      <c r="G181" s="267"/>
      <c r="H181" s="267"/>
      <c r="I181" s="267"/>
      <c r="J181" s="267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</row>
    <row r="182" spans="1:23" ht="25.5" customHeight="1">
      <c r="A182" s="9"/>
      <c r="B182" s="130" t="s">
        <v>13</v>
      </c>
      <c r="C182" s="216">
        <v>15000</v>
      </c>
      <c r="D182" s="131"/>
      <c r="E182" s="267"/>
      <c r="F182" s="267"/>
      <c r="G182" s="267"/>
      <c r="H182" s="267"/>
      <c r="I182" s="267"/>
      <c r="J182" s="267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</row>
    <row r="183" spans="1:23" ht="25.5" customHeight="1">
      <c r="A183" s="9"/>
      <c r="B183" s="130" t="s">
        <v>14</v>
      </c>
      <c r="C183" s="216">
        <f>240000+5000+20000</f>
        <v>265000</v>
      </c>
      <c r="D183" s="133"/>
      <c r="E183" s="267">
        <v>19696.5</v>
      </c>
      <c r="F183" s="267">
        <v>122.8</v>
      </c>
      <c r="G183" s="267"/>
      <c r="H183" s="267"/>
      <c r="I183" s="267"/>
      <c r="J183" s="267"/>
      <c r="K183" s="267"/>
      <c r="L183" s="267"/>
      <c r="M183" s="267">
        <v>1060.4000000000001</v>
      </c>
      <c r="N183" s="267"/>
      <c r="O183" s="267"/>
      <c r="P183" s="267"/>
      <c r="Q183" s="267"/>
      <c r="R183" s="267"/>
      <c r="S183" s="267"/>
      <c r="T183" s="267"/>
      <c r="U183" s="267"/>
      <c r="V183" s="267"/>
    </row>
    <row r="184" spans="1:23" ht="25.5" customHeight="1">
      <c r="A184" s="9"/>
      <c r="B184" s="130" t="s">
        <v>112</v>
      </c>
      <c r="C184" s="216">
        <f>5000+5000+5000</f>
        <v>15000</v>
      </c>
      <c r="D184" s="133"/>
      <c r="E184" s="267"/>
      <c r="F184" s="267"/>
      <c r="G184" s="267"/>
      <c r="H184" s="267"/>
      <c r="I184" s="267"/>
      <c r="J184" s="267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</row>
    <row r="185" spans="1:23" ht="25.5" customHeight="1">
      <c r="A185" s="9"/>
      <c r="B185" s="130" t="s">
        <v>208</v>
      </c>
      <c r="C185" s="216">
        <v>5000</v>
      </c>
      <c r="D185" s="133"/>
      <c r="E185" s="267"/>
      <c r="F185" s="267"/>
      <c r="G185" s="267"/>
      <c r="H185" s="267"/>
      <c r="I185" s="267"/>
      <c r="J185" s="267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</row>
    <row r="186" spans="1:23" ht="25.5" customHeight="1">
      <c r="A186" s="9"/>
      <c r="B186" s="130" t="s">
        <v>15</v>
      </c>
      <c r="C186" s="216">
        <f>40000+15000+15000+40000</f>
        <v>110000</v>
      </c>
      <c r="D186" s="195"/>
      <c r="E186" s="267"/>
      <c r="F186" s="267"/>
      <c r="G186" s="267"/>
      <c r="H186" s="267"/>
      <c r="I186" s="267"/>
      <c r="J186" s="267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</row>
    <row r="187" spans="1:23" ht="25.5" customHeight="1">
      <c r="A187" s="9"/>
      <c r="B187" s="130" t="s">
        <v>303</v>
      </c>
      <c r="C187" s="216">
        <v>10000</v>
      </c>
      <c r="D187" s="195"/>
      <c r="E187" s="267"/>
      <c r="F187" s="267"/>
      <c r="G187" s="267"/>
      <c r="H187" s="267"/>
      <c r="I187" s="267"/>
      <c r="J187" s="267"/>
      <c r="K187" s="267"/>
      <c r="L187" s="267"/>
      <c r="M187" s="267"/>
      <c r="N187" s="267"/>
      <c r="O187" s="267"/>
      <c r="P187" s="267"/>
      <c r="Q187" s="267"/>
      <c r="R187" s="267"/>
      <c r="S187" s="267"/>
      <c r="T187" s="267"/>
      <c r="U187" s="267"/>
      <c r="V187" s="267"/>
    </row>
    <row r="188" spans="1:23" ht="25.5" customHeight="1">
      <c r="A188" s="9"/>
      <c r="B188" s="130" t="s">
        <v>304</v>
      </c>
      <c r="C188" s="216">
        <f>5000+20000</f>
        <v>25000</v>
      </c>
      <c r="D188" s="195"/>
      <c r="E188" s="267"/>
      <c r="F188" s="267"/>
      <c r="G188" s="267"/>
      <c r="H188" s="267"/>
      <c r="I188" s="267"/>
      <c r="J188" s="267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>
        <v>3630</v>
      </c>
    </row>
    <row r="189" spans="1:23" ht="25.5" customHeight="1">
      <c r="A189" s="9"/>
      <c r="B189" s="130" t="s">
        <v>332</v>
      </c>
      <c r="C189" s="216">
        <v>10000</v>
      </c>
      <c r="D189" s="195"/>
      <c r="E189" s="267"/>
      <c r="F189" s="267"/>
      <c r="G189" s="267"/>
      <c r="H189" s="267"/>
      <c r="I189" s="267"/>
      <c r="J189" s="267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</row>
    <row r="190" spans="1:23" ht="25.5" customHeight="1">
      <c r="A190" s="9"/>
      <c r="B190" s="130" t="s">
        <v>46</v>
      </c>
      <c r="C190" s="216">
        <v>80000</v>
      </c>
      <c r="D190" s="195"/>
      <c r="E190" s="267"/>
      <c r="F190" s="267"/>
      <c r="G190" s="267"/>
      <c r="H190" s="267"/>
      <c r="I190" s="267"/>
      <c r="J190" s="267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</row>
    <row r="191" spans="1:23" ht="25.5" customHeight="1">
      <c r="A191" s="9"/>
      <c r="B191" s="130" t="s">
        <v>316</v>
      </c>
      <c r="C191" s="216">
        <v>413900</v>
      </c>
      <c r="D191" s="131"/>
      <c r="E191" s="267"/>
      <c r="F191" s="267"/>
      <c r="G191" s="267"/>
      <c r="H191" s="267"/>
      <c r="I191" s="267">
        <v>171612.98</v>
      </c>
      <c r="J191" s="267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</row>
    <row r="192" spans="1:23" ht="25.5" customHeight="1">
      <c r="A192" s="9"/>
      <c r="B192" s="130" t="s">
        <v>317</v>
      </c>
      <c r="C192" s="290">
        <v>525039</v>
      </c>
      <c r="D192" s="133"/>
      <c r="E192" s="267"/>
      <c r="F192" s="267"/>
      <c r="G192" s="267"/>
      <c r="H192" s="267"/>
      <c r="I192" s="267"/>
      <c r="J192" s="267"/>
      <c r="K192" s="267"/>
      <c r="L192" s="267"/>
      <c r="M192" s="267"/>
      <c r="N192" s="267"/>
      <c r="O192" s="267"/>
      <c r="P192" s="267"/>
      <c r="Q192" s="267"/>
      <c r="R192" s="267"/>
      <c r="S192" s="267"/>
      <c r="T192" s="267"/>
      <c r="U192" s="267"/>
      <c r="V192" s="267"/>
    </row>
    <row r="193" spans="1:23" ht="25.5" customHeight="1">
      <c r="A193" s="9"/>
      <c r="B193" s="130" t="s">
        <v>318</v>
      </c>
      <c r="C193" s="216">
        <v>277849</v>
      </c>
      <c r="D193" s="133"/>
      <c r="E193" s="267"/>
      <c r="F193" s="267"/>
      <c r="G193" s="267"/>
      <c r="H193" s="267"/>
      <c r="I193" s="324"/>
      <c r="J193" s="267"/>
      <c r="K193" s="267"/>
      <c r="L193" s="267"/>
      <c r="M193" s="267"/>
      <c r="N193" s="267"/>
      <c r="O193" s="267"/>
      <c r="P193" s="267"/>
      <c r="Q193" s="267"/>
      <c r="R193" s="267"/>
      <c r="S193" s="267"/>
      <c r="T193" s="267"/>
      <c r="U193" s="267"/>
      <c r="V193" s="267"/>
    </row>
    <row r="194" spans="1:23" ht="25.5" customHeight="1">
      <c r="A194" s="9"/>
      <c r="B194" s="185" t="s">
        <v>319</v>
      </c>
      <c r="C194" s="216">
        <v>153296</v>
      </c>
      <c r="D194" s="133"/>
      <c r="E194" s="267"/>
      <c r="F194" s="267"/>
      <c r="G194" s="267"/>
      <c r="H194" s="267"/>
      <c r="I194" s="267">
        <v>54614</v>
      </c>
      <c r="J194" s="267"/>
      <c r="K194" s="267"/>
      <c r="L194" s="267"/>
      <c r="M194" s="267"/>
      <c r="N194" s="267"/>
      <c r="O194" s="267"/>
      <c r="P194" s="267"/>
      <c r="Q194" s="267"/>
      <c r="R194" s="267"/>
      <c r="S194" s="267"/>
      <c r="T194" s="267"/>
      <c r="U194" s="267"/>
      <c r="V194" s="267"/>
    </row>
    <row r="195" spans="1:23" ht="25.5" customHeight="1">
      <c r="A195" s="9"/>
      <c r="B195" s="185" t="s">
        <v>320</v>
      </c>
      <c r="C195" s="216">
        <v>78565</v>
      </c>
      <c r="D195" s="133"/>
      <c r="E195" s="267"/>
      <c r="F195" s="267"/>
      <c r="G195" s="267"/>
      <c r="H195" s="267"/>
      <c r="I195" s="267"/>
      <c r="J195" s="267"/>
      <c r="K195" s="267"/>
      <c r="L195" s="267"/>
      <c r="M195" s="267"/>
      <c r="N195" s="267"/>
      <c r="O195" s="267"/>
      <c r="P195" s="267"/>
      <c r="Q195" s="267"/>
      <c r="R195" s="267"/>
      <c r="S195" s="267"/>
      <c r="T195" s="267"/>
      <c r="U195" s="267"/>
      <c r="V195" s="267"/>
    </row>
    <row r="196" spans="1:23" ht="25.5" customHeight="1">
      <c r="A196" s="9"/>
      <c r="B196" s="185" t="s">
        <v>321</v>
      </c>
      <c r="C196" s="216">
        <v>90062</v>
      </c>
      <c r="D196" s="133"/>
      <c r="E196" s="267"/>
      <c r="F196" s="267"/>
      <c r="G196" s="267"/>
      <c r="H196" s="267"/>
      <c r="I196" s="267"/>
      <c r="J196" s="267"/>
      <c r="K196" s="267"/>
      <c r="L196" s="267"/>
      <c r="M196" s="267"/>
      <c r="N196" s="267"/>
      <c r="O196" s="267"/>
      <c r="P196" s="267"/>
      <c r="Q196" s="267"/>
      <c r="R196" s="267"/>
      <c r="S196" s="267"/>
      <c r="T196" s="267"/>
      <c r="U196" s="267"/>
      <c r="V196" s="267"/>
    </row>
    <row r="197" spans="1:23" ht="25.5" customHeight="1">
      <c r="A197" s="165"/>
      <c r="B197" s="185" t="s">
        <v>322</v>
      </c>
      <c r="C197" s="216">
        <v>67067</v>
      </c>
      <c r="D197" s="133"/>
      <c r="E197" s="267"/>
      <c r="F197" s="267"/>
      <c r="G197" s="267"/>
      <c r="H197" s="267"/>
      <c r="I197" s="267"/>
      <c r="J197" s="267"/>
      <c r="K197" s="267"/>
      <c r="L197" s="267"/>
      <c r="M197" s="267"/>
      <c r="N197" s="267"/>
      <c r="O197" s="267"/>
      <c r="P197" s="267"/>
      <c r="Q197" s="267"/>
      <c r="R197" s="267"/>
      <c r="S197" s="267"/>
      <c r="T197" s="267"/>
      <c r="U197" s="267"/>
      <c r="V197" s="267"/>
    </row>
    <row r="198" spans="1:23" ht="25.5" customHeight="1">
      <c r="A198" s="9"/>
      <c r="B198" s="185"/>
      <c r="C198" s="216"/>
      <c r="D198" s="133"/>
      <c r="E198" s="269"/>
      <c r="F198" s="136"/>
      <c r="G198" s="136"/>
      <c r="H198" s="136"/>
      <c r="I198" s="133"/>
      <c r="J198" s="133"/>
      <c r="K198" s="133"/>
      <c r="L198" s="133"/>
      <c r="M198" s="136"/>
      <c r="N198" s="133"/>
      <c r="O198" s="133"/>
      <c r="P198" s="133"/>
      <c r="Q198" s="133"/>
      <c r="R198" s="217"/>
      <c r="S198" s="219"/>
      <c r="T198" s="219"/>
      <c r="U198" s="217"/>
      <c r="V198" s="217"/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30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197"/>
      <c r="B202" s="198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 thickBot="1">
      <c r="A203" s="46"/>
      <c r="B203" s="47" t="s">
        <v>5</v>
      </c>
      <c r="C203" s="170">
        <f>SUM(C177:C202)</f>
        <v>2563778</v>
      </c>
      <c r="D203" s="255">
        <f>SUM(D177:D202)</f>
        <v>0</v>
      </c>
      <c r="E203" s="254">
        <f>SUM(E177:E202)</f>
        <v>19696.5</v>
      </c>
      <c r="F203" s="254">
        <f>SUM(F177:F202)</f>
        <v>5566.8</v>
      </c>
      <c r="G203" s="254">
        <f t="shared" ref="G203:V203" si="5">SUM(G177:G202)</f>
        <v>0</v>
      </c>
      <c r="H203" s="254">
        <f>SUM(H177:H202)</f>
        <v>0</v>
      </c>
      <c r="I203" s="255">
        <f>SUM(I177:I202)</f>
        <v>226226.98</v>
      </c>
      <c r="J203" s="255">
        <f t="shared" si="5"/>
        <v>0</v>
      </c>
      <c r="K203" s="255">
        <f t="shared" si="5"/>
        <v>0</v>
      </c>
      <c r="L203" s="255">
        <f t="shared" si="5"/>
        <v>0</v>
      </c>
      <c r="M203" s="254">
        <f>SUM(M177:M202)</f>
        <v>1060.4000000000001</v>
      </c>
      <c r="N203" s="255">
        <f t="shared" si="5"/>
        <v>78500</v>
      </c>
      <c r="O203" s="255">
        <f t="shared" si="5"/>
        <v>0</v>
      </c>
      <c r="P203" s="255">
        <f t="shared" si="5"/>
        <v>0</v>
      </c>
      <c r="Q203" s="255">
        <f t="shared" si="5"/>
        <v>0</v>
      </c>
      <c r="R203" s="255">
        <f t="shared" si="5"/>
        <v>0</v>
      </c>
      <c r="S203" s="255">
        <f t="shared" si="5"/>
        <v>0</v>
      </c>
      <c r="T203" s="255"/>
      <c r="U203" s="255">
        <f t="shared" si="5"/>
        <v>0</v>
      </c>
      <c r="V203" s="255">
        <f t="shared" si="5"/>
        <v>3630</v>
      </c>
      <c r="W203" s="314">
        <f>SUM(D203:V203)</f>
        <v>334680.68</v>
      </c>
    </row>
    <row r="204" spans="1:23" ht="25.5" customHeight="1" thickTop="1">
      <c r="A204" s="5" t="s">
        <v>114</v>
      </c>
      <c r="B204" s="6"/>
      <c r="C204" s="190"/>
      <c r="D204" s="133"/>
      <c r="E204" s="269"/>
      <c r="F204" s="136"/>
      <c r="G204" s="136"/>
      <c r="H204" s="136"/>
      <c r="I204" s="133"/>
      <c r="J204" s="133"/>
      <c r="K204" s="133"/>
      <c r="L204" s="133"/>
      <c r="M204" s="136"/>
      <c r="N204" s="133"/>
      <c r="O204" s="133"/>
      <c r="P204" s="133"/>
      <c r="Q204" s="133"/>
      <c r="R204" s="258"/>
      <c r="S204" s="259"/>
      <c r="T204" s="259"/>
      <c r="U204" s="258"/>
      <c r="V204" s="258"/>
    </row>
    <row r="205" spans="1:23" ht="25.5" customHeight="1">
      <c r="A205" s="9"/>
      <c r="B205" s="130" t="s">
        <v>20</v>
      </c>
      <c r="C205" s="216">
        <f>240000+35000</f>
        <v>275000</v>
      </c>
      <c r="D205" s="261"/>
      <c r="E205" s="269">
        <v>20088.599999999999</v>
      </c>
      <c r="F205" s="269"/>
      <c r="G205" s="269"/>
      <c r="H205" s="269">
        <v>3570.3</v>
      </c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</row>
    <row r="206" spans="1:23" ht="25.5" customHeight="1">
      <c r="A206" s="9"/>
      <c r="B206" s="130" t="s">
        <v>283</v>
      </c>
      <c r="C206" s="216">
        <f>100000+12000</f>
        <v>112000</v>
      </c>
      <c r="D206" s="261"/>
      <c r="E206" s="269">
        <v>6979.54</v>
      </c>
      <c r="F206" s="269"/>
      <c r="G206" s="269"/>
      <c r="H206" s="269">
        <v>1000</v>
      </c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</row>
    <row r="207" spans="1:23" ht="25.5" customHeight="1">
      <c r="A207" s="9"/>
      <c r="B207" s="130" t="s">
        <v>284</v>
      </c>
      <c r="C207" s="216">
        <v>15000</v>
      </c>
      <c r="D207" s="131"/>
      <c r="E207" s="269">
        <v>475</v>
      </c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</row>
    <row r="208" spans="1:23" ht="25.5" customHeight="1">
      <c r="A208" s="9"/>
      <c r="B208" s="130" t="s">
        <v>285</v>
      </c>
      <c r="C208" s="216">
        <f>72000+32000+16100</f>
        <v>120100</v>
      </c>
      <c r="D208" s="131"/>
      <c r="E208" s="269">
        <v>5911.75</v>
      </c>
      <c r="F208" s="269"/>
      <c r="G208" s="269"/>
      <c r="H208" s="269">
        <v>2632.2</v>
      </c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</row>
    <row r="209" spans="1:23" ht="25.5" customHeight="1" thickBot="1">
      <c r="A209" s="15"/>
      <c r="B209" s="14" t="s">
        <v>5</v>
      </c>
      <c r="C209" s="170">
        <f>SUM(C205:C208)</f>
        <v>522100</v>
      </c>
      <c r="D209" s="132"/>
      <c r="E209" s="268">
        <f>SUM(E205:E208)</f>
        <v>33454.89</v>
      </c>
      <c r="F209" s="137"/>
      <c r="G209" s="137"/>
      <c r="H209" s="137">
        <f>SUM(H205:H208)</f>
        <v>7202.5</v>
      </c>
      <c r="I209" s="132"/>
      <c r="J209" s="132"/>
      <c r="K209" s="132"/>
      <c r="L209" s="132"/>
      <c r="M209" s="137"/>
      <c r="N209" s="132"/>
      <c r="O209" s="132"/>
      <c r="P209" s="132"/>
      <c r="Q209" s="132"/>
      <c r="R209" s="307"/>
      <c r="S209" s="308"/>
      <c r="T209" s="308"/>
      <c r="U209" s="307"/>
      <c r="V209" s="307"/>
      <c r="W209" s="318">
        <f>SUM(D209:V209)</f>
        <v>40657.39</v>
      </c>
    </row>
    <row r="210" spans="1:23" ht="25.5" customHeight="1" thickTop="1">
      <c r="A210" s="3" t="s">
        <v>122</v>
      </c>
      <c r="B210" s="4"/>
      <c r="C210" s="287"/>
      <c r="D210" s="133"/>
      <c r="E210" s="305"/>
      <c r="F210" s="306"/>
      <c r="G210" s="306"/>
      <c r="H210" s="306"/>
      <c r="I210" s="133"/>
      <c r="J210" s="133"/>
      <c r="K210" s="133"/>
      <c r="L210" s="133"/>
      <c r="M210" s="136"/>
      <c r="N210" s="133"/>
      <c r="O210" s="133"/>
      <c r="P210" s="133"/>
      <c r="Q210" s="133"/>
      <c r="R210" s="258"/>
      <c r="S210" s="259"/>
      <c r="T210" s="259"/>
      <c r="U210" s="258"/>
      <c r="V210" s="258"/>
    </row>
    <row r="211" spans="1:23" ht="25.5" customHeight="1">
      <c r="A211" s="169"/>
      <c r="B211" s="185" t="s">
        <v>323</v>
      </c>
      <c r="C211" s="190">
        <v>864000</v>
      </c>
      <c r="D211" s="131"/>
      <c r="E211" s="267"/>
      <c r="F211" s="267"/>
      <c r="G211" s="267"/>
      <c r="H211" s="267"/>
      <c r="I211" s="267"/>
      <c r="J211" s="267"/>
      <c r="K211" s="267"/>
      <c r="L211" s="267"/>
      <c r="M211" s="267"/>
      <c r="N211" s="267"/>
      <c r="O211" s="267"/>
      <c r="P211" s="267"/>
      <c r="Q211" s="267"/>
      <c r="R211" s="267"/>
      <c r="S211" s="267"/>
      <c r="T211" s="267"/>
      <c r="U211" s="267"/>
      <c r="V211" s="267"/>
    </row>
    <row r="212" spans="1:23" ht="25.5" customHeight="1">
      <c r="A212" s="169"/>
      <c r="B212" s="185" t="s">
        <v>324</v>
      </c>
      <c r="C212" s="190">
        <v>1096000</v>
      </c>
      <c r="D212" s="131"/>
      <c r="E212" s="267"/>
      <c r="F212" s="267"/>
      <c r="G212" s="267"/>
      <c r="H212" s="267"/>
      <c r="I212" s="267"/>
      <c r="J212" s="267"/>
      <c r="K212" s="267"/>
      <c r="L212" s="267"/>
      <c r="M212" s="267"/>
      <c r="N212" s="267"/>
      <c r="O212" s="267"/>
      <c r="P212" s="267"/>
      <c r="Q212" s="267"/>
      <c r="R212" s="267"/>
      <c r="S212" s="267"/>
      <c r="T212" s="267"/>
      <c r="U212" s="267"/>
      <c r="V212" s="267"/>
    </row>
    <row r="213" spans="1:23" ht="25.5" customHeight="1">
      <c r="A213" s="169"/>
      <c r="B213" s="185" t="s">
        <v>325</v>
      </c>
      <c r="C213" s="190">
        <v>580000</v>
      </c>
      <c r="D213" s="133"/>
      <c r="E213" s="267"/>
      <c r="F213" s="267"/>
      <c r="G213" s="267"/>
      <c r="H213" s="267"/>
      <c r="I213" s="267"/>
      <c r="J213" s="267"/>
      <c r="K213" s="267"/>
      <c r="L213" s="267"/>
      <c r="M213" s="267"/>
      <c r="N213" s="267"/>
      <c r="O213" s="267"/>
      <c r="P213" s="267"/>
      <c r="Q213" s="267"/>
      <c r="R213" s="267"/>
      <c r="S213" s="267"/>
      <c r="T213" s="267"/>
      <c r="U213" s="267"/>
      <c r="V213" s="267"/>
    </row>
    <row r="214" spans="1:23" ht="25.5" customHeight="1">
      <c r="A214" s="169"/>
      <c r="B214" s="185" t="s">
        <v>351</v>
      </c>
      <c r="C214" s="190">
        <v>223000</v>
      </c>
      <c r="D214" s="133"/>
      <c r="E214" s="267"/>
      <c r="F214" s="267"/>
      <c r="G214" s="267"/>
      <c r="H214" s="267"/>
      <c r="I214" s="267"/>
      <c r="J214" s="267"/>
      <c r="K214" s="267"/>
      <c r="L214" s="267"/>
      <c r="M214" s="267"/>
      <c r="N214" s="267"/>
      <c r="O214" s="267"/>
      <c r="P214" s="267"/>
      <c r="Q214" s="267"/>
      <c r="R214" s="267"/>
      <c r="S214" s="267"/>
      <c r="T214" s="267"/>
      <c r="U214" s="267"/>
      <c r="V214" s="267"/>
    </row>
    <row r="215" spans="1:23" ht="25.5" customHeight="1">
      <c r="A215" s="169"/>
      <c r="B215" s="185"/>
      <c r="C215" s="190"/>
      <c r="D215" s="133"/>
      <c r="E215" s="269"/>
      <c r="F215" s="136"/>
      <c r="G215" s="136"/>
      <c r="H215" s="136"/>
      <c r="I215" s="133"/>
      <c r="J215" s="133"/>
      <c r="K215" s="133"/>
      <c r="L215" s="133"/>
      <c r="M215" s="136"/>
      <c r="N215" s="133"/>
      <c r="O215" s="133"/>
      <c r="P215" s="133"/>
      <c r="Q215" s="133"/>
      <c r="R215" s="258"/>
      <c r="S215" s="259"/>
      <c r="T215" s="259"/>
      <c r="U215" s="258"/>
      <c r="V215" s="258"/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5"/>
      <c r="B218" s="185"/>
      <c r="C218" s="216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30"/>
      <c r="C219" s="285"/>
      <c r="D219" s="131"/>
      <c r="E219" s="267"/>
      <c r="F219" s="135"/>
      <c r="G219" s="135"/>
      <c r="H219" s="135"/>
      <c r="I219" s="131"/>
      <c r="J219" s="131"/>
      <c r="K219" s="131"/>
      <c r="L219" s="131"/>
      <c r="M219" s="135"/>
      <c r="N219" s="131"/>
      <c r="O219" s="131"/>
      <c r="P219" s="131"/>
      <c r="Q219" s="131"/>
      <c r="R219" s="217"/>
      <c r="S219" s="219"/>
      <c r="T219" s="219"/>
      <c r="U219" s="217"/>
      <c r="V219" s="217"/>
    </row>
    <row r="220" spans="1:23" ht="25.5" customHeight="1" thickBot="1">
      <c r="A220" s="15"/>
      <c r="B220" s="14" t="s">
        <v>5</v>
      </c>
      <c r="C220" s="170">
        <f>SUM(C211:C219)</f>
        <v>2763000</v>
      </c>
      <c r="D220" s="255">
        <f>SUM(D211:D219)</f>
        <v>0</v>
      </c>
      <c r="E220" s="254">
        <f t="shared" ref="E220:V220" si="6">SUM(E211:E219)</f>
        <v>0</v>
      </c>
      <c r="F220" s="254">
        <f t="shared" si="6"/>
        <v>0</v>
      </c>
      <c r="G220" s="254">
        <f t="shared" si="6"/>
        <v>0</v>
      </c>
      <c r="H220" s="254">
        <f t="shared" si="6"/>
        <v>0</v>
      </c>
      <c r="I220" s="255">
        <f>SUM(I211:I219)</f>
        <v>0</v>
      </c>
      <c r="J220" s="255">
        <f t="shared" si="6"/>
        <v>0</v>
      </c>
      <c r="K220" s="255">
        <f t="shared" si="6"/>
        <v>0</v>
      </c>
      <c r="L220" s="255">
        <f t="shared" si="6"/>
        <v>0</v>
      </c>
      <c r="M220" s="254">
        <f t="shared" si="6"/>
        <v>0</v>
      </c>
      <c r="N220" s="255">
        <f t="shared" si="6"/>
        <v>0</v>
      </c>
      <c r="O220" s="255">
        <f t="shared" si="6"/>
        <v>0</v>
      </c>
      <c r="P220" s="255">
        <f t="shared" si="6"/>
        <v>0</v>
      </c>
      <c r="Q220" s="255">
        <f t="shared" si="6"/>
        <v>0</v>
      </c>
      <c r="R220" s="255">
        <f t="shared" si="6"/>
        <v>0</v>
      </c>
      <c r="S220" s="255">
        <f t="shared" si="6"/>
        <v>0</v>
      </c>
      <c r="T220" s="255"/>
      <c r="U220" s="255">
        <f t="shared" si="6"/>
        <v>0</v>
      </c>
      <c r="V220" s="255">
        <f t="shared" si="6"/>
        <v>0</v>
      </c>
      <c r="W220" s="314">
        <f>SUM(D220:V220)</f>
        <v>0</v>
      </c>
    </row>
    <row r="221" spans="1:23" ht="25.5" customHeight="1" thickTop="1">
      <c r="A221" s="20" t="s">
        <v>71</v>
      </c>
      <c r="B221" s="82"/>
      <c r="C221" s="291"/>
      <c r="D221" s="133"/>
      <c r="E221" s="269"/>
      <c r="F221" s="136"/>
      <c r="G221" s="136"/>
      <c r="H221" s="136"/>
      <c r="I221" s="133"/>
      <c r="J221" s="133"/>
      <c r="K221" s="133"/>
      <c r="L221" s="133"/>
      <c r="M221" s="136"/>
      <c r="N221" s="133"/>
      <c r="O221" s="133"/>
      <c r="P221" s="133"/>
      <c r="Q221" s="133"/>
      <c r="R221" s="258"/>
      <c r="S221" s="259"/>
      <c r="T221" s="259"/>
      <c r="U221" s="258"/>
      <c r="V221" s="258"/>
    </row>
    <row r="222" spans="1:23" ht="25.5" customHeight="1">
      <c r="A222" s="66"/>
      <c r="B222" s="96"/>
      <c r="C222" s="216"/>
      <c r="D222" s="131"/>
      <c r="E222" s="267"/>
      <c r="F222" s="135"/>
      <c r="G222" s="135"/>
      <c r="H222" s="135"/>
      <c r="I222" s="131"/>
      <c r="J222" s="131"/>
      <c r="K222" s="131"/>
      <c r="L222" s="131"/>
      <c r="M222" s="135"/>
      <c r="N222" s="131"/>
      <c r="O222" s="131"/>
      <c r="P222" s="131"/>
      <c r="Q222" s="131"/>
      <c r="R222" s="217"/>
      <c r="S222" s="219"/>
      <c r="T222" s="219"/>
      <c r="U222" s="217"/>
      <c r="V222" s="217"/>
    </row>
    <row r="223" spans="1:23" ht="25.5" customHeight="1" thickBot="1">
      <c r="A223" s="167"/>
      <c r="B223" s="95" t="s">
        <v>5</v>
      </c>
      <c r="C223" s="292">
        <f>SUM(C221:C222)</f>
        <v>0</v>
      </c>
      <c r="D223" s="255"/>
      <c r="E223" s="271"/>
      <c r="F223" s="254"/>
      <c r="G223" s="254"/>
      <c r="H223" s="254"/>
      <c r="I223" s="255"/>
      <c r="J223" s="255"/>
      <c r="K223" s="255"/>
      <c r="L223" s="255"/>
      <c r="M223" s="254"/>
      <c r="N223" s="255"/>
      <c r="O223" s="255"/>
      <c r="P223" s="255"/>
      <c r="Q223" s="255"/>
      <c r="R223" s="256"/>
      <c r="S223" s="257"/>
      <c r="T223" s="257"/>
      <c r="U223" s="256"/>
      <c r="V223" s="256"/>
    </row>
    <row r="224" spans="1:23" ht="25.5" customHeight="1" thickTop="1">
      <c r="A224" s="20" t="s">
        <v>115</v>
      </c>
      <c r="B224" s="284"/>
      <c r="C224" s="293"/>
      <c r="D224" s="133"/>
      <c r="E224" s="269"/>
      <c r="F224" s="136"/>
      <c r="G224" s="136"/>
      <c r="H224" s="136"/>
      <c r="I224" s="133"/>
      <c r="J224" s="133"/>
      <c r="K224" s="133"/>
      <c r="L224" s="133"/>
      <c r="M224" s="136"/>
      <c r="N224" s="133"/>
      <c r="O224" s="133"/>
      <c r="P224" s="133"/>
      <c r="Q224" s="133"/>
      <c r="R224" s="258"/>
      <c r="S224" s="259"/>
      <c r="T224" s="259"/>
      <c r="U224" s="258"/>
      <c r="V224" s="258"/>
    </row>
    <row r="225" spans="1:22" ht="25.5" customHeight="1">
      <c r="A225" s="20"/>
      <c r="B225" s="252" t="s">
        <v>291</v>
      </c>
      <c r="C225" s="293"/>
      <c r="D225" s="131"/>
      <c r="E225" s="267"/>
      <c r="F225" s="135"/>
      <c r="G225" s="135"/>
      <c r="H225" s="135"/>
      <c r="I225" s="131"/>
      <c r="J225" s="131"/>
      <c r="K225" s="131"/>
      <c r="L225" s="131"/>
      <c r="M225" s="135"/>
      <c r="N225" s="131"/>
      <c r="O225" s="131"/>
      <c r="P225" s="131"/>
      <c r="Q225" s="131"/>
      <c r="R225" s="217"/>
      <c r="S225" s="219"/>
      <c r="T225" s="219"/>
      <c r="U225" s="217"/>
      <c r="V225" s="217"/>
    </row>
    <row r="226" spans="1:22" ht="25.5" customHeight="1">
      <c r="A226" s="20"/>
      <c r="B226" s="186" t="s">
        <v>286</v>
      </c>
      <c r="C226" s="294">
        <v>10000</v>
      </c>
      <c r="D226" s="131"/>
      <c r="E226" s="267">
        <f>+'ต.ค. '!E227+พ.ย.!E227+ธ.ค.!E227</f>
        <v>0</v>
      </c>
      <c r="F226" s="267">
        <f>+'ต.ค. '!F227+พ.ย.!F227+ธ.ค.!F227</f>
        <v>0</v>
      </c>
      <c r="G226" s="267">
        <f>+'ต.ค. '!G227+พ.ย.!G227+ธ.ค.!G227</f>
        <v>0</v>
      </c>
      <c r="H226" s="267">
        <f>+'ต.ค. '!H227+พ.ย.!H227+ธ.ค.!H227</f>
        <v>0</v>
      </c>
      <c r="I226" s="267">
        <f>+'ต.ค. '!I227+พ.ย.!I227+ธ.ค.!I227</f>
        <v>0</v>
      </c>
      <c r="J226" s="267">
        <f>+'ต.ค. '!J227+พ.ย.!J227+ธ.ค.!J227</f>
        <v>0</v>
      </c>
      <c r="K226" s="267">
        <f>+'ต.ค. '!K227+พ.ย.!K227+ธ.ค.!K227</f>
        <v>0</v>
      </c>
      <c r="L226" s="267">
        <f>+'ต.ค. '!L227+พ.ย.!L227+ธ.ค.!L227</f>
        <v>0</v>
      </c>
      <c r="M226" s="267">
        <f>+'ต.ค. '!M227+พ.ย.!M227+ธ.ค.!M227</f>
        <v>0</v>
      </c>
      <c r="N226" s="267">
        <f>+'ต.ค. '!N227+พ.ย.!N227+ธ.ค.!N227</f>
        <v>0</v>
      </c>
      <c r="O226" s="267">
        <f>+'ต.ค. '!O227+พ.ย.!O227+ธ.ค.!O227</f>
        <v>0</v>
      </c>
      <c r="P226" s="267">
        <f>+'ต.ค. '!P227+พ.ย.!P227+ธ.ค.!P227</f>
        <v>0</v>
      </c>
      <c r="Q226" s="267">
        <f>+'ต.ค. '!Q227+พ.ย.!Q227+ธ.ค.!Q227</f>
        <v>0</v>
      </c>
      <c r="R226" s="267">
        <f>+'ต.ค. '!R227+พ.ย.!R227+ธ.ค.!R227</f>
        <v>0</v>
      </c>
      <c r="S226" s="267">
        <f>+'ต.ค. '!S227+พ.ย.!S227+ธ.ค.!S227</f>
        <v>0</v>
      </c>
      <c r="T226" s="267"/>
      <c r="U226" s="267">
        <f>+'ต.ค. '!U227+พ.ย.!U227+ธ.ค.!U227</f>
        <v>0</v>
      </c>
      <c r="V226" s="267">
        <f>+'ต.ค. '!V227+พ.ย.!V227+ธ.ค.!V227</f>
        <v>0</v>
      </c>
    </row>
    <row r="227" spans="1:22" ht="25.5" customHeight="1">
      <c r="A227" s="20"/>
      <c r="B227" s="186" t="s">
        <v>287</v>
      </c>
      <c r="C227" s="294">
        <v>4500</v>
      </c>
      <c r="D227" s="131"/>
      <c r="E227" s="267">
        <f>+'ต.ค. '!E228+พ.ย.!E228+ธ.ค.!E228</f>
        <v>0</v>
      </c>
      <c r="F227" s="267">
        <f>+'ต.ค. '!F228+พ.ย.!F228+ธ.ค.!F228</f>
        <v>0</v>
      </c>
      <c r="G227" s="267">
        <f>+'ต.ค. '!G228+พ.ย.!G228+ธ.ค.!G228</f>
        <v>0</v>
      </c>
      <c r="H227" s="267">
        <f>+'ต.ค. '!H228+พ.ย.!H228+ธ.ค.!H228</f>
        <v>0</v>
      </c>
      <c r="I227" s="267">
        <f>+'ต.ค. '!I228+พ.ย.!I228+ธ.ค.!I228</f>
        <v>0</v>
      </c>
      <c r="J227" s="267">
        <f>+'ต.ค. '!J228+พ.ย.!J228+ธ.ค.!J228</f>
        <v>0</v>
      </c>
      <c r="K227" s="267">
        <f>+'ต.ค. '!K228+พ.ย.!K228+ธ.ค.!K228</f>
        <v>0</v>
      </c>
      <c r="L227" s="267">
        <f>+'ต.ค. '!L228+พ.ย.!L228+ธ.ค.!L228</f>
        <v>0</v>
      </c>
      <c r="M227" s="267">
        <f>+'ต.ค. '!M228+พ.ย.!M228+ธ.ค.!M228</f>
        <v>0</v>
      </c>
      <c r="N227" s="267">
        <f>+'ต.ค. '!N228+พ.ย.!N228+ธ.ค.!N228</f>
        <v>0</v>
      </c>
      <c r="O227" s="267">
        <f>+'ต.ค. '!O228+พ.ย.!O228+ธ.ค.!O228</f>
        <v>0</v>
      </c>
      <c r="P227" s="267">
        <f>+'ต.ค. '!P228+พ.ย.!P228+ธ.ค.!P228</f>
        <v>0</v>
      </c>
      <c r="Q227" s="267">
        <f>+'ต.ค. '!Q228+พ.ย.!Q228+ธ.ค.!Q228</f>
        <v>0</v>
      </c>
      <c r="R227" s="267">
        <f>+'ต.ค. '!R228+พ.ย.!R228+ธ.ค.!R228</f>
        <v>0</v>
      </c>
      <c r="S227" s="267">
        <f>+'ต.ค. '!S228+พ.ย.!S228+ธ.ค.!S228</f>
        <v>0</v>
      </c>
      <c r="T227" s="267"/>
      <c r="U227" s="267">
        <f>+'ต.ค. '!U228+พ.ย.!U228+ธ.ค.!U228</f>
        <v>0</v>
      </c>
      <c r="V227" s="267">
        <f>+'ต.ค. '!V228+พ.ย.!V228+ธ.ค.!V228</f>
        <v>0</v>
      </c>
    </row>
    <row r="228" spans="1:22" ht="25.5" customHeight="1">
      <c r="A228" s="20"/>
      <c r="B228" s="186" t="s">
        <v>288</v>
      </c>
      <c r="C228" s="294">
        <v>3000</v>
      </c>
      <c r="D228" s="131"/>
      <c r="E228" s="267">
        <v>1600</v>
      </c>
      <c r="F228" s="267">
        <f>+'ต.ค. '!F229+พ.ย.!F229+ธ.ค.!F229</f>
        <v>0</v>
      </c>
      <c r="G228" s="267">
        <f>+'ต.ค. '!G229+พ.ย.!G229+ธ.ค.!G229</f>
        <v>0</v>
      </c>
      <c r="H228" s="267">
        <f>+'ต.ค. '!H229+พ.ย.!H229+ธ.ค.!H229</f>
        <v>0</v>
      </c>
      <c r="I228" s="267">
        <f>+'ต.ค. '!I229+พ.ย.!I229+ธ.ค.!I229</f>
        <v>0</v>
      </c>
      <c r="J228" s="267">
        <f>+'ต.ค. '!J229+พ.ย.!J229+ธ.ค.!J229</f>
        <v>0</v>
      </c>
      <c r="K228" s="267">
        <f>+'ต.ค. '!K229+พ.ย.!K229+ธ.ค.!K229</f>
        <v>0</v>
      </c>
      <c r="L228" s="267">
        <f>+'ต.ค. '!L229+พ.ย.!L229+ธ.ค.!L229</f>
        <v>0</v>
      </c>
      <c r="M228" s="267">
        <f>+'ต.ค. '!M229+พ.ย.!M229+ธ.ค.!M229</f>
        <v>0</v>
      </c>
      <c r="N228" s="267">
        <f>+'ต.ค. '!N229+พ.ย.!N229+ธ.ค.!N229</f>
        <v>0</v>
      </c>
      <c r="O228" s="267">
        <f>+'ต.ค. '!O229+พ.ย.!O229+ธ.ค.!O229</f>
        <v>0</v>
      </c>
      <c r="P228" s="267">
        <f>+'ต.ค. '!P229+พ.ย.!P229+ธ.ค.!P229</f>
        <v>0</v>
      </c>
      <c r="Q228" s="267">
        <f>+'ต.ค. '!Q229+พ.ย.!Q229+ธ.ค.!Q229</f>
        <v>0</v>
      </c>
      <c r="R228" s="267">
        <f>+'ต.ค. '!R229+พ.ย.!R229+ธ.ค.!R229</f>
        <v>0</v>
      </c>
      <c r="S228" s="267">
        <f>+'ต.ค. '!S229+พ.ย.!S229+ธ.ค.!S229</f>
        <v>0</v>
      </c>
      <c r="T228" s="267"/>
      <c r="U228" s="267">
        <f>+'ต.ค. '!U229+พ.ย.!U229+ธ.ค.!U229</f>
        <v>0</v>
      </c>
      <c r="V228" s="267">
        <f>+'ต.ค. '!V229+พ.ย.!V229+ธ.ค.!V229</f>
        <v>0</v>
      </c>
    </row>
    <row r="229" spans="1:22" ht="25.5" customHeight="1">
      <c r="A229" s="20"/>
      <c r="B229" s="186" t="s">
        <v>289</v>
      </c>
      <c r="C229" s="294">
        <v>20000</v>
      </c>
      <c r="D229" s="131"/>
      <c r="E229" s="267">
        <f>+'ต.ค. '!E230+พ.ย.!E230+ธ.ค.!E230</f>
        <v>0</v>
      </c>
      <c r="F229" s="267">
        <f>+'ต.ค. '!F230+พ.ย.!F230+ธ.ค.!F230</f>
        <v>0</v>
      </c>
      <c r="G229" s="267">
        <f>+'ต.ค. '!G230+พ.ย.!G230+ธ.ค.!G230</f>
        <v>0</v>
      </c>
      <c r="H229" s="267">
        <f>+'ต.ค. '!H230+พ.ย.!H230+ธ.ค.!H230</f>
        <v>0</v>
      </c>
      <c r="I229" s="267">
        <f>+'ต.ค. '!I230+พ.ย.!I230+ธ.ค.!I230</f>
        <v>0</v>
      </c>
      <c r="J229" s="267">
        <f>+'ต.ค. '!J230+พ.ย.!J230+ธ.ค.!J230</f>
        <v>0</v>
      </c>
      <c r="K229" s="267">
        <f>+'ต.ค. '!K230+พ.ย.!K230+ธ.ค.!K230</f>
        <v>0</v>
      </c>
      <c r="L229" s="267">
        <f>+'ต.ค. '!L230+พ.ย.!L230+ธ.ค.!L230</f>
        <v>0</v>
      </c>
      <c r="M229" s="267">
        <f>+'ต.ค. '!M230+พ.ย.!M230+ธ.ค.!M230</f>
        <v>0</v>
      </c>
      <c r="N229" s="267">
        <f>+'ต.ค. '!N230+พ.ย.!N230+ธ.ค.!N230</f>
        <v>0</v>
      </c>
      <c r="O229" s="267">
        <f>+'ต.ค. '!O230+พ.ย.!O230+ธ.ค.!O230</f>
        <v>0</v>
      </c>
      <c r="P229" s="267">
        <f>+'ต.ค. '!P230+พ.ย.!P230+ธ.ค.!P230</f>
        <v>0</v>
      </c>
      <c r="Q229" s="267">
        <f>+'ต.ค. '!Q230+พ.ย.!Q230+ธ.ค.!Q230</f>
        <v>0</v>
      </c>
      <c r="R229" s="267">
        <f>+'ต.ค. '!R230+พ.ย.!R230+ธ.ค.!R230</f>
        <v>0</v>
      </c>
      <c r="S229" s="267">
        <f>+'ต.ค. '!S230+พ.ย.!S230+ธ.ค.!S230</f>
        <v>0</v>
      </c>
      <c r="T229" s="267"/>
      <c r="U229" s="267">
        <f>+'ต.ค. '!U230+พ.ย.!U230+ธ.ค.!U230</f>
        <v>0</v>
      </c>
      <c r="V229" s="267">
        <f>+'ต.ค. '!V230+พ.ย.!V230+ธ.ค.!V230</f>
        <v>0</v>
      </c>
    </row>
    <row r="230" spans="1:22" ht="25.5" customHeight="1">
      <c r="A230" s="20"/>
      <c r="B230" s="186" t="s">
        <v>290</v>
      </c>
      <c r="C230" s="295">
        <f>5500+5500</f>
        <v>11000</v>
      </c>
      <c r="D230" s="131"/>
      <c r="E230" s="267">
        <f>+'ต.ค. '!E231+พ.ย.!E231+ธ.ค.!E231</f>
        <v>0</v>
      </c>
      <c r="F230" s="267">
        <f>+'ต.ค. '!F231+พ.ย.!F231+ธ.ค.!F231</f>
        <v>0</v>
      </c>
      <c r="G230" s="267">
        <f>+'ต.ค. '!G231+พ.ย.!G231+ธ.ค.!G231</f>
        <v>0</v>
      </c>
      <c r="H230" s="267">
        <f>+'ต.ค. '!H231+พ.ย.!H231+ธ.ค.!H231</f>
        <v>0</v>
      </c>
      <c r="I230" s="267">
        <f>+'ต.ค. '!I231+พ.ย.!I231+ธ.ค.!I231</f>
        <v>0</v>
      </c>
      <c r="J230" s="267">
        <f>+'ต.ค. '!J231+พ.ย.!J231+ธ.ค.!J231</f>
        <v>0</v>
      </c>
      <c r="K230" s="267">
        <f>+'ต.ค. '!K231+พ.ย.!K231+ธ.ค.!K231</f>
        <v>0</v>
      </c>
      <c r="L230" s="267">
        <f>+'ต.ค. '!L231+พ.ย.!L231+ธ.ค.!L231</f>
        <v>0</v>
      </c>
      <c r="M230" s="267">
        <f>+'ต.ค. '!M231+พ.ย.!M231+ธ.ค.!M231</f>
        <v>0</v>
      </c>
      <c r="N230" s="267">
        <f>+'ต.ค. '!N231+พ.ย.!N231+ธ.ค.!N231</f>
        <v>0</v>
      </c>
      <c r="O230" s="267">
        <f>+'ต.ค. '!O231+พ.ย.!O231+ธ.ค.!O231</f>
        <v>0</v>
      </c>
      <c r="P230" s="267">
        <f>+'ต.ค. '!P231+พ.ย.!P231+ธ.ค.!P231</f>
        <v>0</v>
      </c>
      <c r="Q230" s="267">
        <f>+'ต.ค. '!Q231+พ.ย.!Q231+ธ.ค.!Q231</f>
        <v>0</v>
      </c>
      <c r="R230" s="267">
        <f>+'ต.ค. '!R231+พ.ย.!R231+ธ.ค.!R231</f>
        <v>0</v>
      </c>
      <c r="S230" s="267">
        <f>+'ต.ค. '!S231+พ.ย.!S231+ธ.ค.!S231</f>
        <v>0</v>
      </c>
      <c r="T230" s="267"/>
      <c r="U230" s="267">
        <f>+'ต.ค. '!U231+พ.ย.!U231+ธ.ค.!U231</f>
        <v>0</v>
      </c>
      <c r="V230" s="267">
        <f>+'ต.ค. '!V231+พ.ย.!V231+ธ.ค.!V231</f>
        <v>0</v>
      </c>
    </row>
    <row r="231" spans="1:22" ht="25.5" customHeight="1">
      <c r="A231" s="20"/>
      <c r="B231" s="186" t="s">
        <v>305</v>
      </c>
      <c r="C231" s="295">
        <v>16000</v>
      </c>
      <c r="D231" s="131"/>
      <c r="E231" s="267">
        <f>+'ต.ค. '!E232+พ.ย.!E232+ธ.ค.!E232</f>
        <v>0</v>
      </c>
      <c r="F231" s="267">
        <f>+'ต.ค. '!F232+พ.ย.!F232+ธ.ค.!F232</f>
        <v>0</v>
      </c>
      <c r="G231" s="267">
        <f>+'ต.ค. '!G232+พ.ย.!G232+ธ.ค.!G232</f>
        <v>0</v>
      </c>
      <c r="H231" s="267">
        <f>+'ต.ค. '!H232+พ.ย.!H232+ธ.ค.!H232</f>
        <v>0</v>
      </c>
      <c r="I231" s="267">
        <f>+'ต.ค. '!I232+พ.ย.!I232+ธ.ค.!I232</f>
        <v>0</v>
      </c>
      <c r="J231" s="267">
        <f>+'ต.ค. '!J232+พ.ย.!J232+ธ.ค.!J232</f>
        <v>0</v>
      </c>
      <c r="K231" s="267">
        <f>+'ต.ค. '!K232+พ.ย.!K232+ธ.ค.!K232</f>
        <v>0</v>
      </c>
      <c r="L231" s="267">
        <f>+'ต.ค. '!L232+พ.ย.!L232+ธ.ค.!L232</f>
        <v>0</v>
      </c>
      <c r="M231" s="267">
        <f>+'ต.ค. '!M232+พ.ย.!M232+ธ.ค.!M232</f>
        <v>0</v>
      </c>
      <c r="N231" s="267">
        <f>+'ต.ค. '!N232+พ.ย.!N232+ธ.ค.!N232</f>
        <v>0</v>
      </c>
      <c r="O231" s="267">
        <f>+'ต.ค. '!O232+พ.ย.!O232+ธ.ค.!O232</f>
        <v>0</v>
      </c>
      <c r="P231" s="267">
        <f>+'ต.ค. '!P232+พ.ย.!P232+ธ.ค.!P232</f>
        <v>0</v>
      </c>
      <c r="Q231" s="267">
        <f>+'ต.ค. '!Q232+พ.ย.!Q232+ธ.ค.!Q232</f>
        <v>0</v>
      </c>
      <c r="R231" s="267">
        <f>+'ต.ค. '!R232+พ.ย.!R232+ธ.ค.!R232</f>
        <v>0</v>
      </c>
      <c r="S231" s="267">
        <f>+'ต.ค. '!S232+พ.ย.!S232+ธ.ค.!S232</f>
        <v>0</v>
      </c>
      <c r="T231" s="267"/>
      <c r="U231" s="267">
        <f>+'ต.ค. '!U232+พ.ย.!U232+ธ.ค.!U232</f>
        <v>0</v>
      </c>
      <c r="V231" s="267">
        <f>+'ต.ค. '!V232+พ.ย.!V232+ธ.ค.!V232</f>
        <v>0</v>
      </c>
    </row>
    <row r="232" spans="1:22" ht="25.5" customHeight="1">
      <c r="A232" s="20"/>
      <c r="B232" s="186" t="s">
        <v>334</v>
      </c>
      <c r="C232" s="295">
        <v>4500</v>
      </c>
      <c r="D232" s="131"/>
      <c r="E232" s="267">
        <f>+'ต.ค. '!E233+พ.ย.!E233+ธ.ค.!E233</f>
        <v>0</v>
      </c>
      <c r="F232" s="267">
        <f>+'ต.ค. '!F233+พ.ย.!F233+ธ.ค.!F233</f>
        <v>0</v>
      </c>
      <c r="G232" s="267">
        <f>+'ต.ค. '!G233+พ.ย.!G233+ธ.ค.!G233</f>
        <v>0</v>
      </c>
      <c r="H232" s="267">
        <f>+'ต.ค. '!H233+พ.ย.!H233+ธ.ค.!H233</f>
        <v>0</v>
      </c>
      <c r="I232" s="267">
        <f>+'ต.ค. '!I233+พ.ย.!I233+ธ.ค.!I233</f>
        <v>0</v>
      </c>
      <c r="J232" s="267">
        <f>+'ต.ค. '!J233+พ.ย.!J233+ธ.ค.!J233</f>
        <v>0</v>
      </c>
      <c r="K232" s="267">
        <f>+'ต.ค. '!K233+พ.ย.!K233+ธ.ค.!K233</f>
        <v>0</v>
      </c>
      <c r="L232" s="267">
        <f>+'ต.ค. '!L233+พ.ย.!L233+ธ.ค.!L233</f>
        <v>0</v>
      </c>
      <c r="M232" s="267">
        <f>+'ต.ค. '!M233+พ.ย.!M233+ธ.ค.!M233</f>
        <v>0</v>
      </c>
      <c r="N232" s="267">
        <f>+'ต.ค. '!N233+พ.ย.!N233+ธ.ค.!N233</f>
        <v>0</v>
      </c>
      <c r="O232" s="267">
        <f>+'ต.ค. '!O233+พ.ย.!O233+ธ.ค.!O233</f>
        <v>0</v>
      </c>
      <c r="P232" s="267">
        <f>+'ต.ค. '!P233+พ.ย.!P233+ธ.ค.!P233</f>
        <v>0</v>
      </c>
      <c r="Q232" s="267">
        <f>+'ต.ค. '!Q233+พ.ย.!Q233+ธ.ค.!Q233</f>
        <v>0</v>
      </c>
      <c r="R232" s="267">
        <f>+'ต.ค. '!R233+พ.ย.!R233+ธ.ค.!R233</f>
        <v>0</v>
      </c>
      <c r="S232" s="267">
        <f>+'ต.ค. '!S233+พ.ย.!S233+ธ.ค.!S233</f>
        <v>0</v>
      </c>
      <c r="T232" s="267"/>
      <c r="U232" s="267">
        <f>+'ต.ค. '!U233+พ.ย.!U233+ธ.ค.!U233</f>
        <v>0</v>
      </c>
      <c r="V232" s="267">
        <f>+'ต.ค. '!V233+พ.ย.!V233+ธ.ค.!V233</f>
        <v>0</v>
      </c>
    </row>
    <row r="233" spans="1:22" ht="25.5" customHeight="1">
      <c r="A233" s="20"/>
      <c r="B233" s="186" t="s">
        <v>335</v>
      </c>
      <c r="C233" s="295">
        <v>4500</v>
      </c>
      <c r="D233" s="131"/>
      <c r="E233" s="267">
        <f>+'ต.ค. '!E234+พ.ย.!E234+ธ.ค.!E234</f>
        <v>0</v>
      </c>
      <c r="F233" s="267">
        <f>+'ต.ค. '!F234+พ.ย.!F234+ธ.ค.!F234</f>
        <v>0</v>
      </c>
      <c r="G233" s="267">
        <f>+'ต.ค. '!G234+พ.ย.!G234+ธ.ค.!G234</f>
        <v>0</v>
      </c>
      <c r="H233" s="267">
        <f>+'ต.ค. '!H234+พ.ย.!H234+ธ.ค.!H234</f>
        <v>0</v>
      </c>
      <c r="I233" s="267">
        <f>+'ต.ค. '!I234+พ.ย.!I234+ธ.ค.!I234</f>
        <v>0</v>
      </c>
      <c r="J233" s="267">
        <f>+'ต.ค. '!J234+พ.ย.!J234+ธ.ค.!J234</f>
        <v>0</v>
      </c>
      <c r="K233" s="267">
        <f>+'ต.ค. '!K234+พ.ย.!K234+ธ.ค.!K234</f>
        <v>0</v>
      </c>
      <c r="L233" s="267">
        <f>+'ต.ค. '!L234+พ.ย.!L234+ธ.ค.!L234</f>
        <v>0</v>
      </c>
      <c r="M233" s="267">
        <f>+'ต.ค. '!M234+พ.ย.!M234+ธ.ค.!M234</f>
        <v>0</v>
      </c>
      <c r="N233" s="267">
        <f>+'ต.ค. '!N234+พ.ย.!N234+ธ.ค.!N234</f>
        <v>0</v>
      </c>
      <c r="O233" s="267">
        <f>+'ต.ค. '!O234+พ.ย.!O234+ธ.ค.!O234</f>
        <v>0</v>
      </c>
      <c r="P233" s="267">
        <f>+'ต.ค. '!P234+พ.ย.!P234+ธ.ค.!P234</f>
        <v>0</v>
      </c>
      <c r="Q233" s="267">
        <f>+'ต.ค. '!Q234+พ.ย.!Q234+ธ.ค.!Q234</f>
        <v>0</v>
      </c>
      <c r="R233" s="267">
        <f>+'ต.ค. '!R234+พ.ย.!R234+ธ.ค.!R234</f>
        <v>0</v>
      </c>
      <c r="S233" s="267">
        <f>+'ต.ค. '!S234+พ.ย.!S234+ธ.ค.!S234</f>
        <v>0</v>
      </c>
      <c r="T233" s="267"/>
      <c r="U233" s="267">
        <f>+'ต.ค. '!U234+พ.ย.!U234+ธ.ค.!U234</f>
        <v>0</v>
      </c>
      <c r="V233" s="267">
        <f>+'ต.ค. '!V234+พ.ย.!V234+ธ.ค.!V234</f>
        <v>0</v>
      </c>
    </row>
    <row r="234" spans="1:22" ht="25.5" customHeight="1">
      <c r="A234" s="20"/>
      <c r="B234" s="252" t="s">
        <v>292</v>
      </c>
      <c r="C234" s="295"/>
      <c r="D234" s="131"/>
      <c r="E234" s="267"/>
      <c r="F234" s="135"/>
      <c r="G234" s="135"/>
      <c r="H234" s="135"/>
      <c r="I234" s="131"/>
      <c r="J234" s="131"/>
      <c r="K234" s="131"/>
      <c r="L234" s="131"/>
      <c r="M234" s="135"/>
      <c r="N234" s="131"/>
      <c r="O234" s="131"/>
      <c r="P234" s="131"/>
      <c r="Q234" s="131"/>
      <c r="R234" s="217"/>
      <c r="S234" s="219"/>
      <c r="T234" s="219"/>
      <c r="U234" s="217"/>
      <c r="V234" s="217"/>
    </row>
    <row r="235" spans="1:22" ht="25.5" customHeight="1">
      <c r="A235" s="20"/>
      <c r="B235" s="186" t="s">
        <v>293</v>
      </c>
      <c r="C235" s="295">
        <v>32000</v>
      </c>
      <c r="D235" s="131"/>
      <c r="E235" s="267">
        <f>+'ต.ค. '!E237+พ.ย.!E236+ธ.ค.!E236</f>
        <v>0</v>
      </c>
      <c r="F235" s="267">
        <f>+'ต.ค. '!F237+พ.ย.!F236+ธ.ค.!F236</f>
        <v>0</v>
      </c>
      <c r="G235" s="267">
        <f>+'ต.ค. '!G237+พ.ย.!G236+ธ.ค.!G236</f>
        <v>0</v>
      </c>
      <c r="H235" s="267">
        <f>+'ต.ค. '!H237+พ.ย.!H236+ธ.ค.!H236</f>
        <v>0</v>
      </c>
      <c r="I235" s="267">
        <f>+'ต.ค. '!I237+พ.ย.!I236+ธ.ค.!I236</f>
        <v>0</v>
      </c>
      <c r="J235" s="267">
        <f>+'ต.ค. '!J237+พ.ย.!J236+ธ.ค.!J236</f>
        <v>0</v>
      </c>
      <c r="K235" s="267">
        <f>+'ต.ค. '!K237+พ.ย.!K236+ธ.ค.!K236</f>
        <v>0</v>
      </c>
      <c r="L235" s="267">
        <f>+'ต.ค. '!L237+พ.ย.!L236+ธ.ค.!L236</f>
        <v>0</v>
      </c>
      <c r="M235" s="267">
        <f>+'ต.ค. '!M237+พ.ย.!M236+ธ.ค.!M236</f>
        <v>0</v>
      </c>
      <c r="N235" s="267">
        <f>+'ต.ค. '!N237+พ.ย.!N236+ธ.ค.!N236</f>
        <v>0</v>
      </c>
      <c r="O235" s="267">
        <f>+'ต.ค. '!O237+พ.ย.!O236+ธ.ค.!O236</f>
        <v>0</v>
      </c>
      <c r="P235" s="267">
        <f>+'ต.ค. '!P237+พ.ย.!P236+ธ.ค.!P236</f>
        <v>0</v>
      </c>
      <c r="Q235" s="267">
        <f>+'ต.ค. '!Q237+พ.ย.!Q236+ธ.ค.!Q236</f>
        <v>0</v>
      </c>
      <c r="R235" s="267">
        <f>+'ต.ค. '!R237+พ.ย.!R236+ธ.ค.!R236</f>
        <v>0</v>
      </c>
      <c r="S235" s="267">
        <f>+'ต.ค. '!S237+พ.ย.!S236+ธ.ค.!S236</f>
        <v>0</v>
      </c>
      <c r="T235" s="267"/>
      <c r="U235" s="267">
        <f>+'ต.ค. '!U237+พ.ย.!U236+ธ.ค.!U236</f>
        <v>0</v>
      </c>
      <c r="V235" s="267">
        <f>+'ต.ค. '!V237+พ.ย.!V236+ธ.ค.!V236</f>
        <v>0</v>
      </c>
    </row>
    <row r="236" spans="1:22" ht="25.5" customHeight="1">
      <c r="A236" s="20"/>
      <c r="B236" s="186" t="s">
        <v>125</v>
      </c>
      <c r="C236" s="295">
        <f>2800+2800+2300</f>
        <v>7900</v>
      </c>
      <c r="D236" s="131"/>
      <c r="E236" s="267">
        <f>+'ต.ค. '!E238+พ.ย.!E237+ธ.ค.!E237</f>
        <v>0</v>
      </c>
      <c r="F236" s="267">
        <f>+'ต.ค. '!F238+พ.ย.!F237+ธ.ค.!F237</f>
        <v>0</v>
      </c>
      <c r="G236" s="267">
        <f>+'ต.ค. '!G238+พ.ย.!G237+ธ.ค.!G237</f>
        <v>0</v>
      </c>
      <c r="H236" s="267">
        <f>+'ต.ค. '!H238+พ.ย.!H237+ธ.ค.!H237</f>
        <v>0</v>
      </c>
      <c r="I236" s="267">
        <f>+'ต.ค. '!I238+พ.ย.!I237+ธ.ค.!I237</f>
        <v>0</v>
      </c>
      <c r="J236" s="267">
        <f>+'ต.ค. '!J238+พ.ย.!J237+ธ.ค.!J237</f>
        <v>0</v>
      </c>
      <c r="K236" s="267">
        <f>+'ต.ค. '!K238+พ.ย.!K237+ธ.ค.!K237</f>
        <v>0</v>
      </c>
      <c r="L236" s="267">
        <f>+'ต.ค. '!L238+พ.ย.!L237+ธ.ค.!L237</f>
        <v>0</v>
      </c>
      <c r="M236" s="267">
        <f>+'ต.ค. '!M238+พ.ย.!M237+ธ.ค.!M237</f>
        <v>0</v>
      </c>
      <c r="N236" s="267">
        <f>+'ต.ค. '!N238+พ.ย.!N237+ธ.ค.!N237</f>
        <v>0</v>
      </c>
      <c r="O236" s="267">
        <f>+'ต.ค. '!O238+พ.ย.!O237+ธ.ค.!O237</f>
        <v>0</v>
      </c>
      <c r="P236" s="267">
        <f>+'ต.ค. '!P238+พ.ย.!P237+ธ.ค.!P237</f>
        <v>0</v>
      </c>
      <c r="Q236" s="267">
        <f>+'ต.ค. '!Q238+พ.ย.!Q237+ธ.ค.!Q237</f>
        <v>0</v>
      </c>
      <c r="R236" s="267">
        <f>+'ต.ค. '!R238+พ.ย.!R237+ธ.ค.!R237</f>
        <v>0</v>
      </c>
      <c r="S236" s="267">
        <f>+'ต.ค. '!S238+พ.ย.!S237+ธ.ค.!S237</f>
        <v>0</v>
      </c>
      <c r="T236" s="267"/>
      <c r="U236" s="267">
        <f>+'ต.ค. '!U238+พ.ย.!U237+ธ.ค.!U237</f>
        <v>0</v>
      </c>
      <c r="V236" s="267">
        <f>+'ต.ค. '!V238+พ.ย.!V237+ธ.ค.!V237</f>
        <v>0</v>
      </c>
    </row>
    <row r="237" spans="1:22" ht="25.5" customHeight="1">
      <c r="A237" s="20"/>
      <c r="B237" s="186" t="s">
        <v>294</v>
      </c>
      <c r="C237" s="295">
        <v>21000</v>
      </c>
      <c r="D237" s="131"/>
      <c r="E237" s="267">
        <f>+'ต.ค. '!E239+พ.ย.!E238+ธ.ค.!E238</f>
        <v>0</v>
      </c>
      <c r="F237" s="267">
        <f>+'ต.ค. '!F239+พ.ย.!F238+ธ.ค.!F238</f>
        <v>0</v>
      </c>
      <c r="G237" s="267">
        <f>+'ต.ค. '!G239+พ.ย.!G238+ธ.ค.!G238</f>
        <v>0</v>
      </c>
      <c r="H237" s="267">
        <f>+'ต.ค. '!H239+พ.ย.!H238+ธ.ค.!H238</f>
        <v>0</v>
      </c>
      <c r="I237" s="267">
        <f>+'ต.ค. '!I239+พ.ย.!I238+ธ.ค.!I238</f>
        <v>0</v>
      </c>
      <c r="J237" s="267">
        <f>+'ต.ค. '!J239+พ.ย.!J238+ธ.ค.!J238</f>
        <v>0</v>
      </c>
      <c r="K237" s="267">
        <f>+'ต.ค. '!K239+พ.ย.!K238+ธ.ค.!K238</f>
        <v>0</v>
      </c>
      <c r="L237" s="267">
        <f>+'ต.ค. '!L239+พ.ย.!L238+ธ.ค.!L238</f>
        <v>0</v>
      </c>
      <c r="M237" s="267">
        <f>+'ต.ค. '!M239+พ.ย.!M238+ธ.ค.!M238</f>
        <v>0</v>
      </c>
      <c r="N237" s="267">
        <f>+'ต.ค. '!N239+พ.ย.!N238+ธ.ค.!N238</f>
        <v>0</v>
      </c>
      <c r="O237" s="267">
        <f>+'ต.ค. '!O239+พ.ย.!O238+ธ.ค.!O238</f>
        <v>0</v>
      </c>
      <c r="P237" s="267">
        <f>+'ต.ค. '!P239+พ.ย.!P238+ธ.ค.!P238</f>
        <v>0</v>
      </c>
      <c r="Q237" s="267">
        <f>+'ต.ค. '!Q239+พ.ย.!Q238+ธ.ค.!Q238</f>
        <v>0</v>
      </c>
      <c r="R237" s="267">
        <f>+'ต.ค. '!R239+พ.ย.!R238+ธ.ค.!R238</f>
        <v>0</v>
      </c>
      <c r="S237" s="267">
        <f>+'ต.ค. '!S239+พ.ย.!S238+ธ.ค.!S238</f>
        <v>0</v>
      </c>
      <c r="T237" s="267"/>
      <c r="U237" s="267">
        <f>+'ต.ค. '!U239+พ.ย.!U238+ธ.ค.!U238</f>
        <v>0</v>
      </c>
      <c r="V237" s="267">
        <f>+'ต.ค. '!V239+พ.ย.!V238+ธ.ค.!V238</f>
        <v>0</v>
      </c>
    </row>
    <row r="238" spans="1:22" ht="25.5" customHeight="1">
      <c r="A238" s="20"/>
      <c r="B238" s="186" t="s">
        <v>293</v>
      </c>
      <c r="C238" s="295">
        <v>16000</v>
      </c>
      <c r="D238" s="131"/>
      <c r="E238" s="267">
        <f>+'ต.ค. '!E240+พ.ย.!E239+ธ.ค.!E239</f>
        <v>0</v>
      </c>
      <c r="F238" s="267">
        <f>+'ต.ค. '!F240+พ.ย.!F239+ธ.ค.!F239</f>
        <v>0</v>
      </c>
      <c r="G238" s="267">
        <f>+'ต.ค. '!G240+พ.ย.!G239+ธ.ค.!G239</f>
        <v>0</v>
      </c>
      <c r="H238" s="267">
        <f>+'ต.ค. '!H240+พ.ย.!H239+ธ.ค.!H239</f>
        <v>0</v>
      </c>
      <c r="I238" s="267">
        <f>+'ต.ค. '!I240+พ.ย.!I239+ธ.ค.!I239</f>
        <v>0</v>
      </c>
      <c r="J238" s="267">
        <f>+'ต.ค. '!J240+พ.ย.!J239+ธ.ค.!J239</f>
        <v>0</v>
      </c>
      <c r="K238" s="267">
        <f>+'ต.ค. '!K240+พ.ย.!K239+ธ.ค.!K239</f>
        <v>0</v>
      </c>
      <c r="L238" s="267">
        <f>+'ต.ค. '!L240+พ.ย.!L239+ธ.ค.!L239</f>
        <v>0</v>
      </c>
      <c r="M238" s="267">
        <f>+'ต.ค. '!M240+พ.ย.!M239+ธ.ค.!M239</f>
        <v>0</v>
      </c>
      <c r="N238" s="267">
        <f>+'ต.ค. '!N240+พ.ย.!N239+ธ.ค.!N239</f>
        <v>0</v>
      </c>
      <c r="O238" s="267">
        <f>+'ต.ค. '!O240+พ.ย.!O239+ธ.ค.!O239</f>
        <v>0</v>
      </c>
      <c r="P238" s="267">
        <f>+'ต.ค. '!P240+พ.ย.!P239+ธ.ค.!P239</f>
        <v>0</v>
      </c>
      <c r="Q238" s="267">
        <f>+'ต.ค. '!Q240+พ.ย.!Q239+ธ.ค.!Q239</f>
        <v>0</v>
      </c>
      <c r="R238" s="267">
        <f>+'ต.ค. '!R240+พ.ย.!R239+ธ.ค.!R239</f>
        <v>0</v>
      </c>
      <c r="S238" s="267">
        <f>+'ต.ค. '!S240+พ.ย.!S239+ธ.ค.!S239</f>
        <v>0</v>
      </c>
      <c r="T238" s="267"/>
      <c r="U238" s="267">
        <f>+'ต.ค. '!U240+พ.ย.!U239+ธ.ค.!U239</f>
        <v>0</v>
      </c>
      <c r="V238" s="267">
        <f>+'ต.ค. '!V240+พ.ย.!V239+ธ.ค.!V239</f>
        <v>0</v>
      </c>
    </row>
    <row r="239" spans="1:22" ht="25.5" customHeight="1">
      <c r="A239" s="20"/>
      <c r="B239" s="186" t="s">
        <v>306</v>
      </c>
      <c r="C239" s="295">
        <v>7700</v>
      </c>
      <c r="D239" s="131"/>
      <c r="E239" s="267">
        <f>+'ต.ค. '!E241+พ.ย.!E240+ธ.ค.!E240</f>
        <v>0</v>
      </c>
      <c r="F239" s="267">
        <f>+'ต.ค. '!F241+พ.ย.!F240+ธ.ค.!F240</f>
        <v>0</v>
      </c>
      <c r="G239" s="267">
        <f>+'ต.ค. '!G241+พ.ย.!G240+ธ.ค.!G240</f>
        <v>0</v>
      </c>
      <c r="H239" s="267">
        <f>+'ต.ค. '!H241+พ.ย.!H240+ธ.ค.!H240</f>
        <v>0</v>
      </c>
      <c r="I239" s="267">
        <f>+'ต.ค. '!I241+พ.ย.!I240+ธ.ค.!I240</f>
        <v>0</v>
      </c>
      <c r="J239" s="267">
        <f>+'ต.ค. '!J241+พ.ย.!J240+ธ.ค.!J240</f>
        <v>0</v>
      </c>
      <c r="K239" s="267">
        <f>+'ต.ค. '!K241+พ.ย.!K240+ธ.ค.!K240</f>
        <v>0</v>
      </c>
      <c r="L239" s="267">
        <f>+'ต.ค. '!L241+พ.ย.!L240+ธ.ค.!L240</f>
        <v>0</v>
      </c>
      <c r="M239" s="267">
        <f>+'ต.ค. '!M241+พ.ย.!M240+ธ.ค.!M240</f>
        <v>0</v>
      </c>
      <c r="N239" s="267">
        <f>+'ต.ค. '!N241+พ.ย.!N240+ธ.ค.!N240</f>
        <v>0</v>
      </c>
      <c r="O239" s="267">
        <f>+'ต.ค. '!O241+พ.ย.!O240+ธ.ค.!O240</f>
        <v>0</v>
      </c>
      <c r="P239" s="267">
        <f>+'ต.ค. '!P241+พ.ย.!P240+ธ.ค.!P240</f>
        <v>0</v>
      </c>
      <c r="Q239" s="267">
        <f>+'ต.ค. '!Q241+พ.ย.!Q240+ธ.ค.!Q240</f>
        <v>0</v>
      </c>
      <c r="R239" s="267">
        <f>+'ต.ค. '!R241+พ.ย.!R240+ธ.ค.!R240</f>
        <v>0</v>
      </c>
      <c r="S239" s="267">
        <f>+'ต.ค. '!S241+พ.ย.!S240+ธ.ค.!S240</f>
        <v>0</v>
      </c>
      <c r="T239" s="267"/>
      <c r="U239" s="267">
        <f>+'ต.ค. '!U241+พ.ย.!U240+ธ.ค.!U240</f>
        <v>0</v>
      </c>
      <c r="V239" s="267">
        <f>+'ต.ค. '!V241+พ.ย.!V240+ธ.ค.!V240</f>
        <v>0</v>
      </c>
    </row>
    <row r="240" spans="1:22" ht="25.5" customHeight="1">
      <c r="A240" s="20"/>
      <c r="B240" s="252" t="s">
        <v>336</v>
      </c>
      <c r="C240" s="295"/>
      <c r="D240" s="131"/>
      <c r="E240" s="267"/>
      <c r="F240" s="135"/>
      <c r="G240" s="135"/>
      <c r="H240" s="135"/>
      <c r="I240" s="131"/>
      <c r="J240" s="131"/>
      <c r="K240" s="131"/>
      <c r="L240" s="131"/>
      <c r="M240" s="135"/>
      <c r="N240" s="131"/>
      <c r="O240" s="131"/>
      <c r="P240" s="131"/>
      <c r="Q240" s="131"/>
      <c r="R240" s="217"/>
      <c r="S240" s="219"/>
      <c r="T240" s="219"/>
      <c r="U240" s="217"/>
      <c r="V240" s="217"/>
    </row>
    <row r="241" spans="1:22" ht="25.5" customHeight="1">
      <c r="A241" s="20"/>
      <c r="B241" s="186" t="s">
        <v>337</v>
      </c>
      <c r="C241" s="295">
        <v>9000</v>
      </c>
      <c r="D241" s="131"/>
      <c r="E241" s="267">
        <f>+'ต.ค. '!E244+พ.ย.!E242+ธ.ค.!E242</f>
        <v>0</v>
      </c>
      <c r="F241" s="267">
        <f>+'ต.ค. '!F244+พ.ย.!F242+ธ.ค.!F242</f>
        <v>0</v>
      </c>
      <c r="G241" s="267">
        <f>+'ต.ค. '!G244+พ.ย.!G242+ธ.ค.!G242</f>
        <v>0</v>
      </c>
      <c r="H241" s="267">
        <f>+'ต.ค. '!H244+พ.ย.!H242+ธ.ค.!H242</f>
        <v>0</v>
      </c>
      <c r="I241" s="267">
        <f>+'ต.ค. '!I244+พ.ย.!I242+ธ.ค.!I242</f>
        <v>0</v>
      </c>
      <c r="J241" s="267">
        <f>+'ต.ค. '!J244+พ.ย.!J242+ธ.ค.!J242</f>
        <v>0</v>
      </c>
      <c r="K241" s="267">
        <f>+'ต.ค. '!K244+พ.ย.!K242+ธ.ค.!K242</f>
        <v>0</v>
      </c>
      <c r="L241" s="267">
        <f>+'ต.ค. '!L244+พ.ย.!L242+ธ.ค.!L242</f>
        <v>0</v>
      </c>
      <c r="M241" s="267">
        <f>+'ต.ค. '!M244+พ.ย.!M242+ธ.ค.!M242</f>
        <v>0</v>
      </c>
      <c r="N241" s="267">
        <f>+'ต.ค. '!N244+พ.ย.!N242+ธ.ค.!N242</f>
        <v>0</v>
      </c>
      <c r="O241" s="267">
        <f>+'ต.ค. '!O244+พ.ย.!O242+ธ.ค.!O242</f>
        <v>0</v>
      </c>
      <c r="P241" s="267">
        <f>+'ต.ค. '!P244+พ.ย.!P242+ธ.ค.!P242</f>
        <v>0</v>
      </c>
      <c r="Q241" s="267">
        <f>+'ต.ค. '!Q244+พ.ย.!Q242+ธ.ค.!Q242</f>
        <v>0</v>
      </c>
      <c r="R241" s="267">
        <f>+'ต.ค. '!R244+พ.ย.!R242+ธ.ค.!R242</f>
        <v>0</v>
      </c>
      <c r="S241" s="267">
        <f>+'ต.ค. '!S244+พ.ย.!S242+ธ.ค.!S242</f>
        <v>0</v>
      </c>
      <c r="T241" s="267"/>
      <c r="U241" s="267">
        <f>+'ต.ค. '!U244+พ.ย.!U242+ธ.ค.!U242</f>
        <v>0</v>
      </c>
      <c r="V241" s="267">
        <f>+'ต.ค. '!V244+พ.ย.!V242+ธ.ค.!V242</f>
        <v>0</v>
      </c>
    </row>
    <row r="242" spans="1:22" ht="25.5" customHeight="1">
      <c r="A242" s="20"/>
      <c r="B242" s="252" t="s">
        <v>338</v>
      </c>
      <c r="C242" s="295"/>
      <c r="D242" s="131"/>
      <c r="E242" s="267"/>
      <c r="F242" s="135"/>
      <c r="G242" s="135"/>
      <c r="H242" s="135"/>
      <c r="I242" s="131"/>
      <c r="J242" s="131"/>
      <c r="K242" s="131"/>
      <c r="L242" s="131"/>
      <c r="M242" s="135"/>
      <c r="N242" s="131"/>
      <c r="O242" s="131"/>
      <c r="P242" s="131"/>
      <c r="Q242" s="131"/>
      <c r="R242" s="217"/>
      <c r="S242" s="219"/>
      <c r="T242" s="219"/>
      <c r="U242" s="217"/>
      <c r="V242" s="217"/>
    </row>
    <row r="243" spans="1:22" ht="25.5" customHeight="1">
      <c r="A243" s="20"/>
      <c r="B243" s="186" t="s">
        <v>339</v>
      </c>
      <c r="C243" s="295">
        <v>8000</v>
      </c>
      <c r="D243" s="131"/>
      <c r="E243" s="267">
        <f>+'ต.ค. '!E247+พ.ย.!E244+ธ.ค.!E244</f>
        <v>0</v>
      </c>
      <c r="F243" s="267">
        <f>+'ต.ค. '!F247+พ.ย.!F244+ธ.ค.!F244</f>
        <v>0</v>
      </c>
      <c r="G243" s="267">
        <f>+'ต.ค. '!G247+พ.ย.!G244+ธ.ค.!G244</f>
        <v>0</v>
      </c>
      <c r="H243" s="267">
        <f>+'ต.ค. '!H247+พ.ย.!H244+ธ.ค.!H244</f>
        <v>0</v>
      </c>
      <c r="I243" s="267">
        <f>+'ต.ค. '!I247+พ.ย.!I244+ธ.ค.!I244</f>
        <v>0</v>
      </c>
      <c r="J243" s="267">
        <f>+'ต.ค. '!J247+พ.ย.!J244+ธ.ค.!J244</f>
        <v>0</v>
      </c>
      <c r="K243" s="267">
        <f>+'ต.ค. '!K247+พ.ย.!K244+ธ.ค.!K244</f>
        <v>0</v>
      </c>
      <c r="L243" s="267">
        <f>+'ต.ค. '!L247+พ.ย.!L244+ธ.ค.!L244</f>
        <v>0</v>
      </c>
      <c r="M243" s="267">
        <f>+'ต.ค. '!M247+พ.ย.!M244+ธ.ค.!M244</f>
        <v>0</v>
      </c>
      <c r="N243" s="267">
        <f>+'ต.ค. '!N247+พ.ย.!N244+ธ.ค.!N244</f>
        <v>0</v>
      </c>
      <c r="O243" s="267">
        <f>+'ต.ค. '!O247+พ.ย.!O244+ธ.ค.!O244</f>
        <v>0</v>
      </c>
      <c r="P243" s="267">
        <f>+'ต.ค. '!P247+พ.ย.!P244+ธ.ค.!P244</f>
        <v>0</v>
      </c>
      <c r="Q243" s="267">
        <f>+'ต.ค. '!Q247+พ.ย.!Q244+ธ.ค.!Q244</f>
        <v>0</v>
      </c>
      <c r="R243" s="267">
        <f>+'ต.ค. '!R247+พ.ย.!R244+ธ.ค.!R244</f>
        <v>0</v>
      </c>
      <c r="S243" s="267">
        <f>+'ต.ค. '!S247+พ.ย.!S244+ธ.ค.!S244</f>
        <v>0</v>
      </c>
      <c r="T243" s="267"/>
      <c r="U243" s="267">
        <f>+'ต.ค. '!U247+พ.ย.!U244+ธ.ค.!U244</f>
        <v>0</v>
      </c>
      <c r="V243" s="267">
        <f>+'ต.ค. '!V247+พ.ย.!V244+ธ.ค.!V244</f>
        <v>0</v>
      </c>
    </row>
    <row r="244" spans="1:22" ht="25.5" customHeight="1">
      <c r="A244" s="20"/>
      <c r="B244" s="186" t="s">
        <v>340</v>
      </c>
      <c r="C244" s="295">
        <v>6000</v>
      </c>
      <c r="D244" s="131"/>
      <c r="E244" s="267">
        <f>+'ต.ค. '!E248+พ.ย.!E245+ธ.ค.!E245</f>
        <v>0</v>
      </c>
      <c r="F244" s="267">
        <f>+'ต.ค. '!F248+พ.ย.!F245+ธ.ค.!F245</f>
        <v>0</v>
      </c>
      <c r="G244" s="267">
        <f>+'ต.ค. '!G248+พ.ย.!G245+ธ.ค.!G245</f>
        <v>0</v>
      </c>
      <c r="H244" s="267">
        <f>+'ต.ค. '!H248+พ.ย.!H245+ธ.ค.!H245</f>
        <v>0</v>
      </c>
      <c r="I244" s="267">
        <f>+'ต.ค. '!I248+พ.ย.!I245+ธ.ค.!I245</f>
        <v>0</v>
      </c>
      <c r="J244" s="267">
        <f>+'ต.ค. '!J248+พ.ย.!J245+ธ.ค.!J245</f>
        <v>0</v>
      </c>
      <c r="K244" s="267">
        <f>+'ต.ค. '!K248+พ.ย.!K245+ธ.ค.!K245</f>
        <v>0</v>
      </c>
      <c r="L244" s="267">
        <f>+'ต.ค. '!L248+พ.ย.!L245+ธ.ค.!L245</f>
        <v>0</v>
      </c>
      <c r="M244" s="267">
        <f>+'ต.ค. '!M248+พ.ย.!M245+ธ.ค.!M245</f>
        <v>0</v>
      </c>
      <c r="N244" s="267">
        <f>+'ต.ค. '!N248+พ.ย.!N245+ธ.ค.!N245</f>
        <v>0</v>
      </c>
      <c r="O244" s="267">
        <f>+'ต.ค. '!O248+พ.ย.!O245+ธ.ค.!O245</f>
        <v>0</v>
      </c>
      <c r="P244" s="267">
        <f>+'ต.ค. '!P248+พ.ย.!P245+ธ.ค.!P245</f>
        <v>0</v>
      </c>
      <c r="Q244" s="267">
        <f>+'ต.ค. '!Q248+พ.ย.!Q245+ธ.ค.!Q245</f>
        <v>0</v>
      </c>
      <c r="R244" s="267">
        <f>+'ต.ค. '!R248+พ.ย.!R245+ธ.ค.!R245</f>
        <v>0</v>
      </c>
      <c r="S244" s="267">
        <f>+'ต.ค. '!S248+พ.ย.!S245+ธ.ค.!S245</f>
        <v>0</v>
      </c>
      <c r="T244" s="267"/>
      <c r="U244" s="267">
        <f>+'ต.ค. '!U248+พ.ย.!U245+ธ.ค.!U245</f>
        <v>0</v>
      </c>
      <c r="V244" s="267">
        <f>+'ต.ค. '!V248+พ.ย.!V245+ธ.ค.!V245</f>
        <v>0</v>
      </c>
    </row>
    <row r="245" spans="1:22" ht="25.5" customHeight="1">
      <c r="A245" s="20"/>
      <c r="B245" s="252" t="s">
        <v>341</v>
      </c>
      <c r="C245" s="295"/>
      <c r="D245" s="131"/>
      <c r="E245" s="267"/>
      <c r="F245" s="135"/>
      <c r="G245" s="135"/>
      <c r="H245" s="135"/>
      <c r="I245" s="131"/>
      <c r="J245" s="131"/>
      <c r="K245" s="131"/>
      <c r="L245" s="131"/>
      <c r="M245" s="135"/>
      <c r="N245" s="131"/>
      <c r="O245" s="131"/>
      <c r="P245" s="131"/>
      <c r="Q245" s="131"/>
      <c r="R245" s="217"/>
      <c r="S245" s="219"/>
      <c r="T245" s="219"/>
      <c r="U245" s="217"/>
      <c r="V245" s="217"/>
    </row>
    <row r="246" spans="1:22" ht="25.5" customHeight="1">
      <c r="A246" s="20"/>
      <c r="B246" s="186" t="s">
        <v>342</v>
      </c>
      <c r="C246" s="295">
        <v>45300</v>
      </c>
      <c r="D246" s="131"/>
      <c r="E246" s="267">
        <f>+'ต.ค. '!E251+พ.ย.!E247+ธ.ค.!E247</f>
        <v>0</v>
      </c>
      <c r="F246" s="267">
        <f>+'ต.ค. '!F251+พ.ย.!F247+ธ.ค.!F247</f>
        <v>0</v>
      </c>
      <c r="G246" s="267">
        <f>+'ต.ค. '!G251+พ.ย.!G247+ธ.ค.!G247</f>
        <v>0</v>
      </c>
      <c r="H246" s="267">
        <f>+'ต.ค. '!H251+พ.ย.!H247+ธ.ค.!H247</f>
        <v>0</v>
      </c>
      <c r="I246" s="267">
        <f>+'ต.ค. '!I251+พ.ย.!I247+ธ.ค.!I247</f>
        <v>0</v>
      </c>
      <c r="J246" s="267">
        <f>+'ต.ค. '!J251+พ.ย.!J247+ธ.ค.!J247</f>
        <v>0</v>
      </c>
      <c r="K246" s="267">
        <f>+'ต.ค. '!K251+พ.ย.!K247+ธ.ค.!K247</f>
        <v>0</v>
      </c>
      <c r="L246" s="267">
        <f>+'ต.ค. '!L251+พ.ย.!L247+ธ.ค.!L247</f>
        <v>0</v>
      </c>
      <c r="M246" s="267">
        <f>+'ต.ค. '!M251+พ.ย.!M247+ธ.ค.!M247</f>
        <v>0</v>
      </c>
      <c r="N246" s="267">
        <f>+'ต.ค. '!N251+พ.ย.!N247+ธ.ค.!N247</f>
        <v>0</v>
      </c>
      <c r="O246" s="267">
        <f>+'ต.ค. '!O251+พ.ย.!O247+ธ.ค.!O247</f>
        <v>0</v>
      </c>
      <c r="P246" s="267">
        <f>+'ต.ค. '!P251+พ.ย.!P247+ธ.ค.!P247</f>
        <v>0</v>
      </c>
      <c r="Q246" s="267">
        <f>+'ต.ค. '!Q251+พ.ย.!Q247+ธ.ค.!Q247</f>
        <v>0</v>
      </c>
      <c r="R246" s="267">
        <f>+'ต.ค. '!R251+พ.ย.!R247+ธ.ค.!R247</f>
        <v>0</v>
      </c>
      <c r="S246" s="267">
        <f>+'ต.ค. '!S251+พ.ย.!S247+ธ.ค.!S247</f>
        <v>0</v>
      </c>
      <c r="T246" s="267"/>
      <c r="U246" s="267">
        <f>+'ต.ค. '!U251+พ.ย.!U247+ธ.ค.!U247</f>
        <v>0</v>
      </c>
      <c r="V246" s="267">
        <f>+'ต.ค. '!V251+พ.ย.!V247+ธ.ค.!V247</f>
        <v>0</v>
      </c>
    </row>
    <row r="247" spans="1:22" ht="25.5" customHeight="1">
      <c r="A247" s="20"/>
      <c r="B247" s="186" t="s">
        <v>343</v>
      </c>
      <c r="C247" s="295">
        <v>128000</v>
      </c>
      <c r="D247" s="131"/>
      <c r="E247" s="267">
        <f>+'ต.ค. '!E252+พ.ย.!E248+ธ.ค.!E248</f>
        <v>0</v>
      </c>
      <c r="F247" s="267">
        <f>+'ต.ค. '!F252+พ.ย.!F248+ธ.ค.!F248</f>
        <v>0</v>
      </c>
      <c r="G247" s="267">
        <f>+'ต.ค. '!G252+พ.ย.!G248+ธ.ค.!G248</f>
        <v>0</v>
      </c>
      <c r="H247" s="267">
        <f>+'ต.ค. '!H252+พ.ย.!H248+ธ.ค.!H248</f>
        <v>0</v>
      </c>
      <c r="I247" s="267">
        <f>+'ต.ค. '!I252+พ.ย.!I248+ธ.ค.!I248</f>
        <v>0</v>
      </c>
      <c r="J247" s="267">
        <f>+'ต.ค. '!J252+พ.ย.!J248+ธ.ค.!J248</f>
        <v>0</v>
      </c>
      <c r="K247" s="267">
        <f>+'ต.ค. '!K252+พ.ย.!K248+ธ.ค.!K248</f>
        <v>0</v>
      </c>
      <c r="L247" s="267">
        <f>+'ต.ค. '!L252+พ.ย.!L248+ธ.ค.!L248</f>
        <v>0</v>
      </c>
      <c r="M247" s="267">
        <f>+'ต.ค. '!M252+พ.ย.!M248+ธ.ค.!M248</f>
        <v>0</v>
      </c>
      <c r="N247" s="267">
        <f>+'ต.ค. '!N252+พ.ย.!N248+ธ.ค.!N248</f>
        <v>0</v>
      </c>
      <c r="O247" s="267">
        <f>+'ต.ค. '!O252+พ.ย.!O248+ธ.ค.!O248</f>
        <v>0</v>
      </c>
      <c r="P247" s="267">
        <f>+'ต.ค. '!P252+พ.ย.!P248+ธ.ค.!P248</f>
        <v>0</v>
      </c>
      <c r="Q247" s="267">
        <f>+'ต.ค. '!Q252+พ.ย.!Q248+ธ.ค.!Q248</f>
        <v>0</v>
      </c>
      <c r="R247" s="267">
        <f>+'ต.ค. '!R252+พ.ย.!R248+ธ.ค.!R248</f>
        <v>0</v>
      </c>
      <c r="S247" s="267">
        <f>+'ต.ค. '!S252+พ.ย.!S248+ธ.ค.!S248</f>
        <v>0</v>
      </c>
      <c r="T247" s="267"/>
      <c r="U247" s="267">
        <f>+'ต.ค. '!U252+พ.ย.!U248+ธ.ค.!U248</f>
        <v>0</v>
      </c>
      <c r="V247" s="267">
        <f>+'ต.ค. '!V252+พ.ย.!V248+ธ.ค.!V248</f>
        <v>0</v>
      </c>
    </row>
    <row r="248" spans="1:22" ht="25.5" customHeight="1">
      <c r="A248" s="20"/>
      <c r="B248" s="186" t="s">
        <v>264</v>
      </c>
      <c r="C248" s="295">
        <v>204000</v>
      </c>
      <c r="D248" s="131"/>
      <c r="E248" s="267">
        <f>+'ต.ค. '!E253+พ.ย.!E249+ธ.ค.!E249</f>
        <v>0</v>
      </c>
      <c r="F248" s="267">
        <f>+'ต.ค. '!F253+พ.ย.!F249+ธ.ค.!F249</f>
        <v>0</v>
      </c>
      <c r="G248" s="267">
        <f>+'ต.ค. '!G253+พ.ย.!G249+ธ.ค.!G249</f>
        <v>0</v>
      </c>
      <c r="H248" s="267">
        <f>+'ต.ค. '!H253+พ.ย.!H249+ธ.ค.!H249</f>
        <v>0</v>
      </c>
      <c r="I248" s="267">
        <f>+'ต.ค. '!I253+พ.ย.!I249+ธ.ค.!I249</f>
        <v>0</v>
      </c>
      <c r="J248" s="267">
        <f>+'ต.ค. '!J253+พ.ย.!J249+ธ.ค.!J249</f>
        <v>0</v>
      </c>
      <c r="K248" s="267">
        <f>+'ต.ค. '!K253+พ.ย.!K249+ธ.ค.!K249</f>
        <v>0</v>
      </c>
      <c r="L248" s="267">
        <f>+'ต.ค. '!L253+พ.ย.!L249+ธ.ค.!L249</f>
        <v>0</v>
      </c>
      <c r="M248" s="267">
        <f>+'ต.ค. '!M253+พ.ย.!M249+ธ.ค.!M249</f>
        <v>0</v>
      </c>
      <c r="N248" s="267">
        <v>200000</v>
      </c>
      <c r="O248" s="267">
        <f>+'ต.ค. '!O253+พ.ย.!O249+ธ.ค.!O249</f>
        <v>0</v>
      </c>
      <c r="P248" s="267">
        <f>+'ต.ค. '!P253+พ.ย.!P249+ธ.ค.!P249</f>
        <v>0</v>
      </c>
      <c r="Q248" s="267">
        <f>+'ต.ค. '!Q253+พ.ย.!Q249+ธ.ค.!Q249</f>
        <v>0</v>
      </c>
      <c r="R248" s="267">
        <f>+'ต.ค. '!R253+พ.ย.!R249+ธ.ค.!R249</f>
        <v>0</v>
      </c>
      <c r="S248" s="267">
        <f>+'ต.ค. '!S253+พ.ย.!S249+ธ.ค.!S249</f>
        <v>0</v>
      </c>
      <c r="T248" s="267"/>
      <c r="U248" s="267">
        <f>+'ต.ค. '!U253+พ.ย.!U249+ธ.ค.!U249</f>
        <v>0</v>
      </c>
      <c r="V248" s="267">
        <f>+'ต.ค. '!V253+พ.ย.!V249+ธ.ค.!V249</f>
        <v>0</v>
      </c>
    </row>
    <row r="249" spans="1:22" ht="25.5" customHeight="1">
      <c r="A249" s="20"/>
      <c r="B249" s="186" t="s">
        <v>381</v>
      </c>
      <c r="C249" s="295">
        <v>204000</v>
      </c>
      <c r="D249" s="131"/>
      <c r="E249" s="267">
        <f>+'ต.ค. '!E254+พ.ย.!E250+ธ.ค.!E250</f>
        <v>0</v>
      </c>
      <c r="F249" s="267">
        <f>+'ต.ค. '!F254+พ.ย.!F250+ธ.ค.!F250</f>
        <v>0</v>
      </c>
      <c r="G249" s="267">
        <f>+'ต.ค. '!G254+พ.ย.!G250+ธ.ค.!G250</f>
        <v>0</v>
      </c>
      <c r="H249" s="267">
        <f>+'ต.ค. '!H254+พ.ย.!H250+ธ.ค.!H250</f>
        <v>0</v>
      </c>
      <c r="I249" s="267">
        <f>+'ต.ค. '!I254+พ.ย.!I250+ธ.ค.!I250</f>
        <v>0</v>
      </c>
      <c r="J249" s="267">
        <f>+'ต.ค. '!J254+พ.ย.!J250+ธ.ค.!J250</f>
        <v>0</v>
      </c>
      <c r="K249" s="267">
        <f>+'ต.ค. '!K254+พ.ย.!K250+ธ.ค.!K250</f>
        <v>0</v>
      </c>
      <c r="L249" s="267">
        <f>+'ต.ค. '!L254+พ.ย.!L250+ธ.ค.!L250</f>
        <v>0</v>
      </c>
      <c r="M249" s="267">
        <f>+'ต.ค. '!M254+พ.ย.!M250+ธ.ค.!M250</f>
        <v>0</v>
      </c>
      <c r="N249" s="267">
        <f>+'ต.ค. '!N254+พ.ย.!N250+ธ.ค.!N250</f>
        <v>0</v>
      </c>
      <c r="O249" s="267">
        <f>+'ต.ค. '!O254+พ.ย.!O250+ธ.ค.!O250</f>
        <v>0</v>
      </c>
      <c r="P249" s="267">
        <f>+'ต.ค. '!P254+พ.ย.!P250+ธ.ค.!P250</f>
        <v>0</v>
      </c>
      <c r="Q249" s="267">
        <f>+'ต.ค. '!Q254+พ.ย.!Q250+ธ.ค.!Q250</f>
        <v>0</v>
      </c>
      <c r="R249" s="267">
        <f>+'ต.ค. '!R254+พ.ย.!R250+ธ.ค.!R250</f>
        <v>0</v>
      </c>
      <c r="S249" s="267">
        <f>+'ต.ค. '!S254+พ.ย.!S250+ธ.ค.!S250</f>
        <v>0</v>
      </c>
      <c r="T249" s="267"/>
      <c r="U249" s="267">
        <f>+'ต.ค. '!U254+พ.ย.!U250+ธ.ค.!U250</f>
        <v>0</v>
      </c>
      <c r="V249" s="267">
        <f>+'ต.ค. '!V254+พ.ย.!V250+ธ.ค.!V250</f>
        <v>0</v>
      </c>
    </row>
    <row r="250" spans="1:22" ht="25.5" customHeight="1">
      <c r="A250" s="20"/>
      <c r="B250" s="186" t="s">
        <v>344</v>
      </c>
      <c r="C250" s="295">
        <v>204000</v>
      </c>
      <c r="D250" s="131"/>
      <c r="E250" s="267">
        <f>+'ต.ค. '!E255+พ.ย.!E251+ธ.ค.!E251</f>
        <v>0</v>
      </c>
      <c r="F250" s="267">
        <f>+'ต.ค. '!F255+พ.ย.!F251+ธ.ค.!F251</f>
        <v>0</v>
      </c>
      <c r="G250" s="267">
        <f>+'ต.ค. '!G255+พ.ย.!G251+ธ.ค.!G251</f>
        <v>0</v>
      </c>
      <c r="H250" s="267">
        <f>+'ต.ค. '!H255+พ.ย.!H251+ธ.ค.!H251</f>
        <v>0</v>
      </c>
      <c r="I250" s="267">
        <f>+'ต.ค. '!I255+พ.ย.!I251+ธ.ค.!I251</f>
        <v>0</v>
      </c>
      <c r="J250" s="267">
        <f>+'ต.ค. '!J255+พ.ย.!J251+ธ.ค.!J251</f>
        <v>0</v>
      </c>
      <c r="K250" s="267">
        <f>+'ต.ค. '!K255+พ.ย.!K251+ธ.ค.!K251</f>
        <v>0</v>
      </c>
      <c r="L250" s="267">
        <f>+'ต.ค. '!L255+พ.ย.!L251+ธ.ค.!L251</f>
        <v>0</v>
      </c>
      <c r="M250" s="267">
        <f>+'ต.ค. '!M255+พ.ย.!M251+ธ.ค.!M251</f>
        <v>0</v>
      </c>
      <c r="N250" s="267">
        <f>+'ต.ค. '!N255+พ.ย.!N251+ธ.ค.!N251</f>
        <v>0</v>
      </c>
      <c r="O250" s="267">
        <f>+'ต.ค. '!O255+พ.ย.!O251+ธ.ค.!O251</f>
        <v>0</v>
      </c>
      <c r="P250" s="267">
        <f>+'ต.ค. '!P255+พ.ย.!P251+ธ.ค.!P251</f>
        <v>0</v>
      </c>
      <c r="Q250" s="267">
        <f>+'ต.ค. '!Q255+พ.ย.!Q251+ธ.ค.!Q251</f>
        <v>0</v>
      </c>
      <c r="R250" s="267">
        <f>+'ต.ค. '!R255+พ.ย.!R251+ธ.ค.!R251</f>
        <v>0</v>
      </c>
      <c r="S250" s="267">
        <f>+'ต.ค. '!S255+พ.ย.!S251+ธ.ค.!S251</f>
        <v>0</v>
      </c>
      <c r="T250" s="267"/>
      <c r="U250" s="267">
        <f>+'ต.ค. '!U255+พ.ย.!U251+ธ.ค.!U251</f>
        <v>0</v>
      </c>
      <c r="V250" s="267">
        <f>+'ต.ค. '!V255+พ.ย.!V251+ธ.ค.!V251</f>
        <v>0</v>
      </c>
    </row>
    <row r="251" spans="1:22" ht="25.5" customHeight="1">
      <c r="A251" s="20"/>
      <c r="B251" s="186" t="s">
        <v>345</v>
      </c>
      <c r="C251" s="295">
        <v>217000</v>
      </c>
      <c r="D251" s="131"/>
      <c r="E251" s="267">
        <f>+'ต.ค. '!E256+พ.ย.!E252+ธ.ค.!E252</f>
        <v>0</v>
      </c>
      <c r="F251" s="267">
        <f>+'ต.ค. '!F256+พ.ย.!F252+ธ.ค.!F252</f>
        <v>0</v>
      </c>
      <c r="G251" s="267">
        <f>+'ต.ค. '!G256+พ.ย.!G252+ธ.ค.!G252</f>
        <v>0</v>
      </c>
      <c r="H251" s="267">
        <f>+'ต.ค. '!H256+พ.ย.!H252+ธ.ค.!H252</f>
        <v>0</v>
      </c>
      <c r="I251" s="267">
        <f>+'ต.ค. '!I256+พ.ย.!I252+ธ.ค.!I252</f>
        <v>0</v>
      </c>
      <c r="J251" s="267">
        <f>+'ต.ค. '!J256+พ.ย.!J252+ธ.ค.!J252</f>
        <v>0</v>
      </c>
      <c r="K251" s="267">
        <f>+'ต.ค. '!K256+พ.ย.!K252+ธ.ค.!K252</f>
        <v>0</v>
      </c>
      <c r="L251" s="267">
        <f>+'ต.ค. '!L256+พ.ย.!L252+ธ.ค.!L252</f>
        <v>0</v>
      </c>
      <c r="M251" s="267">
        <f>+'ต.ค. '!M256+พ.ย.!M252+ธ.ค.!M252</f>
        <v>0</v>
      </c>
      <c r="N251" s="267">
        <f>+'ต.ค. '!N256+พ.ย.!N252+ธ.ค.!N252</f>
        <v>0</v>
      </c>
      <c r="O251" s="267">
        <f>+'ต.ค. '!O256+พ.ย.!O252+ธ.ค.!O252</f>
        <v>0</v>
      </c>
      <c r="P251" s="267">
        <f>+'ต.ค. '!P256+พ.ย.!P252+ธ.ค.!P252</f>
        <v>0</v>
      </c>
      <c r="Q251" s="267">
        <f>+'ต.ค. '!Q256+พ.ย.!Q252+ธ.ค.!Q252</f>
        <v>0</v>
      </c>
      <c r="R251" s="267">
        <f>+'ต.ค. '!R256+พ.ย.!R252+ธ.ค.!R252</f>
        <v>0</v>
      </c>
      <c r="S251" s="267">
        <f>+'ต.ค. '!S256+พ.ย.!S252+ธ.ค.!S252</f>
        <v>0</v>
      </c>
      <c r="T251" s="267"/>
      <c r="U251" s="267">
        <f>+'ต.ค. '!U256+พ.ย.!U252+ธ.ค.!U252</f>
        <v>0</v>
      </c>
      <c r="V251" s="267">
        <f>+'ต.ค. '!V256+พ.ย.!V252+ธ.ค.!V252</f>
        <v>0</v>
      </c>
    </row>
    <row r="252" spans="1:22" ht="25.5" customHeight="1">
      <c r="A252" s="20"/>
      <c r="B252" s="186" t="s">
        <v>346</v>
      </c>
      <c r="C252" s="295">
        <v>27000</v>
      </c>
      <c r="D252" s="131"/>
      <c r="E252" s="267">
        <f>+'ต.ค. '!E257+พ.ย.!E253+ธ.ค.!E253</f>
        <v>0</v>
      </c>
      <c r="F252" s="267">
        <f>+'ต.ค. '!F257+พ.ย.!F253+ธ.ค.!F253</f>
        <v>0</v>
      </c>
      <c r="G252" s="267">
        <f>+'ต.ค. '!G257+พ.ย.!G253+ธ.ค.!G253</f>
        <v>0</v>
      </c>
      <c r="H252" s="267">
        <f>+'ต.ค. '!H257+พ.ย.!H253+ธ.ค.!H253</f>
        <v>0</v>
      </c>
      <c r="I252" s="267">
        <f>+'ต.ค. '!I257+พ.ย.!I253+ธ.ค.!I253</f>
        <v>0</v>
      </c>
      <c r="J252" s="267">
        <f>+'ต.ค. '!J257+พ.ย.!J253+ธ.ค.!J253</f>
        <v>0</v>
      </c>
      <c r="K252" s="267">
        <f>+'ต.ค. '!K257+พ.ย.!K253+ธ.ค.!K253</f>
        <v>0</v>
      </c>
      <c r="L252" s="267">
        <f>+'ต.ค. '!L257+พ.ย.!L253+ธ.ค.!L253</f>
        <v>0</v>
      </c>
      <c r="M252" s="267">
        <f>+'ต.ค. '!M257+พ.ย.!M253+ธ.ค.!M253</f>
        <v>0</v>
      </c>
      <c r="N252" s="267">
        <f>+'ต.ค. '!N257+พ.ย.!N253+ธ.ค.!N253</f>
        <v>0</v>
      </c>
      <c r="O252" s="267">
        <f>+'ต.ค. '!O257+พ.ย.!O253+ธ.ค.!O253</f>
        <v>0</v>
      </c>
      <c r="P252" s="267">
        <f>+'ต.ค. '!P257+พ.ย.!P253+ธ.ค.!P253</f>
        <v>0</v>
      </c>
      <c r="Q252" s="267">
        <f>+'ต.ค. '!Q257+พ.ย.!Q253+ธ.ค.!Q253</f>
        <v>0</v>
      </c>
      <c r="R252" s="267">
        <f>+'ต.ค. '!R257+พ.ย.!R253+ธ.ค.!R253</f>
        <v>0</v>
      </c>
      <c r="S252" s="267">
        <f>+'ต.ค. '!S257+พ.ย.!S253+ธ.ค.!S253</f>
        <v>0</v>
      </c>
      <c r="T252" s="267"/>
      <c r="U252" s="267">
        <f>+'ต.ค. '!U257+พ.ย.!U253+ธ.ค.!U253</f>
        <v>0</v>
      </c>
      <c r="V252" s="267">
        <f>+'ต.ค. '!V257+พ.ย.!V253+ธ.ค.!V253</f>
        <v>0</v>
      </c>
    </row>
    <row r="253" spans="1:22" ht="25.5" customHeight="1">
      <c r="A253" s="20"/>
      <c r="B253" s="186" t="s">
        <v>347</v>
      </c>
      <c r="C253" s="295">
        <v>211000</v>
      </c>
      <c r="D253" s="131"/>
      <c r="E253" s="267">
        <f>+'ต.ค. '!E258+พ.ย.!E254+ธ.ค.!E254</f>
        <v>0</v>
      </c>
      <c r="F253" s="267">
        <f>+'ต.ค. '!F258+พ.ย.!F254+ธ.ค.!F254</f>
        <v>0</v>
      </c>
      <c r="G253" s="267">
        <f>+'ต.ค. '!G258+พ.ย.!G254+ธ.ค.!G254</f>
        <v>0</v>
      </c>
      <c r="H253" s="267">
        <f>+'ต.ค. '!H258+พ.ย.!H254+ธ.ค.!H254</f>
        <v>0</v>
      </c>
      <c r="I253" s="267">
        <f>+'ต.ค. '!I258+พ.ย.!I254+ธ.ค.!I254</f>
        <v>0</v>
      </c>
      <c r="J253" s="267">
        <f>+'ต.ค. '!J258+พ.ย.!J254+ธ.ค.!J254</f>
        <v>0</v>
      </c>
      <c r="K253" s="267">
        <f>+'ต.ค. '!K258+พ.ย.!K254+ธ.ค.!K254</f>
        <v>0</v>
      </c>
      <c r="L253" s="267">
        <f>+'ต.ค. '!L258+พ.ย.!L254+ธ.ค.!L254</f>
        <v>0</v>
      </c>
      <c r="M253" s="267">
        <f>+'ต.ค. '!M258+พ.ย.!M254+ธ.ค.!M254</f>
        <v>0</v>
      </c>
      <c r="N253" s="267">
        <f>+'ต.ค. '!N258+พ.ย.!N254+ธ.ค.!N254</f>
        <v>0</v>
      </c>
      <c r="O253" s="267">
        <f>+'ต.ค. '!O258+พ.ย.!O254+ธ.ค.!O254</f>
        <v>0</v>
      </c>
      <c r="P253" s="267">
        <f>+'ต.ค. '!P258+พ.ย.!P254+ธ.ค.!P254</f>
        <v>0</v>
      </c>
      <c r="Q253" s="267">
        <f>+'ต.ค. '!Q258+พ.ย.!Q254+ธ.ค.!Q254</f>
        <v>0</v>
      </c>
      <c r="R253" s="267">
        <f>+'ต.ค. '!R258+พ.ย.!R254+ธ.ค.!R254</f>
        <v>0</v>
      </c>
      <c r="S253" s="267">
        <f>+'ต.ค. '!S258+พ.ย.!S254+ธ.ค.!S254</f>
        <v>0</v>
      </c>
      <c r="T253" s="267"/>
      <c r="U253" s="267">
        <f>+'ต.ค. '!U258+พ.ย.!U254+ธ.ค.!U254</f>
        <v>0</v>
      </c>
      <c r="V253" s="267">
        <f>+'ต.ค. '!V258+พ.ย.!V254+ธ.ค.!V254</f>
        <v>0</v>
      </c>
    </row>
    <row r="254" spans="1:22" ht="25.5" customHeight="1">
      <c r="A254" s="20"/>
      <c r="B254" s="186" t="s">
        <v>348</v>
      </c>
      <c r="C254" s="295">
        <v>211000</v>
      </c>
      <c r="D254" s="131"/>
      <c r="E254" s="267">
        <f>+'ต.ค. '!E259+พ.ย.!E255+ธ.ค.!E255</f>
        <v>0</v>
      </c>
      <c r="F254" s="267">
        <f>+'ต.ค. '!F259+พ.ย.!F255+ธ.ค.!F255</f>
        <v>0</v>
      </c>
      <c r="G254" s="267">
        <f>+'ต.ค. '!G259+พ.ย.!G255+ธ.ค.!G255</f>
        <v>0</v>
      </c>
      <c r="H254" s="267">
        <f>+'ต.ค. '!H259+พ.ย.!H255+ธ.ค.!H255</f>
        <v>0</v>
      </c>
      <c r="I254" s="267">
        <f>+'ต.ค. '!I259+พ.ย.!I255+ธ.ค.!I255</f>
        <v>0</v>
      </c>
      <c r="J254" s="267">
        <f>+'ต.ค. '!J259+พ.ย.!J255+ธ.ค.!J255</f>
        <v>0</v>
      </c>
      <c r="K254" s="267">
        <f>+'ต.ค. '!K259+พ.ย.!K255+ธ.ค.!K255</f>
        <v>0</v>
      </c>
      <c r="L254" s="267">
        <f>+'ต.ค. '!L259+พ.ย.!L255+ธ.ค.!L255</f>
        <v>0</v>
      </c>
      <c r="M254" s="267">
        <f>+'ต.ค. '!M259+พ.ย.!M255+ธ.ค.!M255</f>
        <v>0</v>
      </c>
      <c r="N254" s="267">
        <v>210000</v>
      </c>
      <c r="O254" s="267">
        <f>+'ต.ค. '!O259+พ.ย.!O255+ธ.ค.!O255</f>
        <v>0</v>
      </c>
      <c r="P254" s="267">
        <f>+'ต.ค. '!P259+พ.ย.!P255+ธ.ค.!P255</f>
        <v>0</v>
      </c>
      <c r="Q254" s="267">
        <f>+'ต.ค. '!Q259+พ.ย.!Q255+ธ.ค.!Q255</f>
        <v>0</v>
      </c>
      <c r="R254" s="267">
        <f>+'ต.ค. '!R259+พ.ย.!R255+ธ.ค.!R255</f>
        <v>0</v>
      </c>
      <c r="S254" s="267">
        <f>+'ต.ค. '!S259+พ.ย.!S255+ธ.ค.!S255</f>
        <v>0</v>
      </c>
      <c r="T254" s="267"/>
      <c r="U254" s="267">
        <f>+'ต.ค. '!U259+พ.ย.!U255+ธ.ค.!U255</f>
        <v>0</v>
      </c>
      <c r="V254" s="267">
        <f>+'ต.ค. '!V259+พ.ย.!V255+ธ.ค.!V255</f>
        <v>0</v>
      </c>
    </row>
    <row r="255" spans="1:22" ht="25.5" customHeight="1">
      <c r="A255" s="20"/>
      <c r="B255" s="186" t="s">
        <v>349</v>
      </c>
      <c r="C255" s="296">
        <v>688700</v>
      </c>
      <c r="D255" s="131"/>
      <c r="E255" s="267">
        <f>+'ต.ค. '!E260+พ.ย.!E256+ธ.ค.!E256</f>
        <v>0</v>
      </c>
      <c r="F255" s="267">
        <f>+'ต.ค. '!F260+พ.ย.!F256+ธ.ค.!F256</f>
        <v>0</v>
      </c>
      <c r="G255" s="267">
        <f>+'ต.ค. '!G260+พ.ย.!G256+ธ.ค.!G256</f>
        <v>0</v>
      </c>
      <c r="H255" s="267">
        <f>+'ต.ค. '!H260+พ.ย.!H256+ธ.ค.!H256</f>
        <v>0</v>
      </c>
      <c r="I255" s="267">
        <f>+'ต.ค. '!I260+พ.ย.!I256+ธ.ค.!I256</f>
        <v>0</v>
      </c>
      <c r="J255" s="267">
        <f>+'ต.ค. '!J260+พ.ย.!J256+ธ.ค.!J256</f>
        <v>0</v>
      </c>
      <c r="K255" s="267">
        <f>+'ต.ค. '!K260+พ.ย.!K256+ธ.ค.!K256</f>
        <v>0</v>
      </c>
      <c r="L255" s="267">
        <f>+'ต.ค. '!L260+พ.ย.!L256+ธ.ค.!L256</f>
        <v>0</v>
      </c>
      <c r="M255" s="267">
        <f>+'ต.ค. '!M260+พ.ย.!M256+ธ.ค.!M256</f>
        <v>0</v>
      </c>
      <c r="N255" s="267">
        <f>+'ต.ค. '!N260+พ.ย.!N256+ธ.ค.!N256</f>
        <v>0</v>
      </c>
      <c r="O255" s="267">
        <f>+'ต.ค. '!O260+พ.ย.!O256+ธ.ค.!O256</f>
        <v>0</v>
      </c>
      <c r="P255" s="267">
        <f>+'ต.ค. '!P260+พ.ย.!P256+ธ.ค.!P256</f>
        <v>0</v>
      </c>
      <c r="Q255" s="267">
        <f>+'ต.ค. '!Q260+พ.ย.!Q256+ธ.ค.!Q256</f>
        <v>0</v>
      </c>
      <c r="R255" s="267">
        <f>+'ต.ค. '!R260+พ.ย.!R256+ธ.ค.!R256</f>
        <v>0</v>
      </c>
      <c r="S255" s="267">
        <f>+'ต.ค. '!S260+พ.ย.!S256+ธ.ค.!S256</f>
        <v>0</v>
      </c>
      <c r="T255" s="267"/>
      <c r="U255" s="267">
        <f>+'ต.ค. '!U260+พ.ย.!U256+ธ.ค.!U256</f>
        <v>0</v>
      </c>
      <c r="V255" s="267">
        <f>+'ต.ค. '!V260+พ.ย.!V256+ธ.ค.!V256</f>
        <v>0</v>
      </c>
    </row>
    <row r="256" spans="1:22" ht="25.5" customHeight="1">
      <c r="A256" s="20"/>
      <c r="B256" s="186" t="s">
        <v>350</v>
      </c>
      <c r="C256" s="297">
        <v>62000</v>
      </c>
      <c r="D256" s="131"/>
      <c r="E256" s="267">
        <f>+'ต.ค. '!E261+พ.ย.!E257+ธ.ค.!E257</f>
        <v>0</v>
      </c>
      <c r="F256" s="267">
        <f>+'ต.ค. '!F261+พ.ย.!F257+ธ.ค.!F257</f>
        <v>0</v>
      </c>
      <c r="G256" s="267">
        <f>+'ต.ค. '!G261+พ.ย.!G257+ธ.ค.!G257</f>
        <v>0</v>
      </c>
      <c r="H256" s="267">
        <f>+'ต.ค. '!H261+พ.ย.!H257+ธ.ค.!H257</f>
        <v>0</v>
      </c>
      <c r="I256" s="267">
        <f>+'ต.ค. '!I261+พ.ย.!I257+ธ.ค.!I257</f>
        <v>0</v>
      </c>
      <c r="J256" s="267">
        <f>+'ต.ค. '!J261+พ.ย.!J257+ธ.ค.!J257</f>
        <v>0</v>
      </c>
      <c r="K256" s="267">
        <f>+'ต.ค. '!K261+พ.ย.!K257+ธ.ค.!K257</f>
        <v>0</v>
      </c>
      <c r="L256" s="267">
        <f>+'ต.ค. '!L261+พ.ย.!L257+ธ.ค.!L257</f>
        <v>0</v>
      </c>
      <c r="M256" s="267">
        <f>+'ต.ค. '!M261+พ.ย.!M257+ธ.ค.!M257</f>
        <v>0</v>
      </c>
      <c r="N256" s="267">
        <f>+'ต.ค. '!N261+พ.ย.!N257+ธ.ค.!N257</f>
        <v>0</v>
      </c>
      <c r="O256" s="267">
        <f>+'ต.ค. '!O261+พ.ย.!O257+ธ.ค.!O257</f>
        <v>0</v>
      </c>
      <c r="P256" s="267">
        <f>+'ต.ค. '!P261+พ.ย.!P257+ธ.ค.!P257</f>
        <v>0</v>
      </c>
      <c r="Q256" s="267">
        <f>+'ต.ค. '!Q261+พ.ย.!Q257+ธ.ค.!Q257</f>
        <v>0</v>
      </c>
      <c r="R256" s="267">
        <f>+'ต.ค. '!R261+พ.ย.!R257+ธ.ค.!R257</f>
        <v>0</v>
      </c>
      <c r="S256" s="267">
        <f>+'ต.ค. '!S261+พ.ย.!S257+ธ.ค.!S257</f>
        <v>0</v>
      </c>
      <c r="T256" s="267"/>
      <c r="U256" s="267">
        <f>+'ต.ค. '!U261+พ.ย.!U257+ธ.ค.!U257</f>
        <v>0</v>
      </c>
      <c r="V256" s="267">
        <f>+'ต.ค. '!V261+พ.ย.!V257+ธ.ค.!V257</f>
        <v>0</v>
      </c>
    </row>
    <row r="257" spans="1:23" ht="25.5" customHeight="1" thickBot="1">
      <c r="A257" s="24"/>
      <c r="B257" s="45" t="s">
        <v>5</v>
      </c>
      <c r="C257" s="170">
        <f>SUM(C226:C256)</f>
        <v>2383100</v>
      </c>
      <c r="D257" s="255">
        <f>SUM(D226:D256)</f>
        <v>0</v>
      </c>
      <c r="E257" s="254">
        <f t="shared" ref="E257:V257" si="7">SUM(E226:E256)</f>
        <v>1600</v>
      </c>
      <c r="F257" s="254">
        <f t="shared" si="7"/>
        <v>0</v>
      </c>
      <c r="G257" s="254">
        <f t="shared" si="7"/>
        <v>0</v>
      </c>
      <c r="H257" s="254">
        <f t="shared" si="7"/>
        <v>0</v>
      </c>
      <c r="I257" s="255">
        <f t="shared" si="7"/>
        <v>0</v>
      </c>
      <c r="J257" s="255">
        <f t="shared" si="7"/>
        <v>0</v>
      </c>
      <c r="K257" s="255">
        <f t="shared" si="7"/>
        <v>0</v>
      </c>
      <c r="L257" s="255">
        <f t="shared" si="7"/>
        <v>0</v>
      </c>
      <c r="M257" s="254">
        <f t="shared" si="7"/>
        <v>0</v>
      </c>
      <c r="N257" s="255">
        <f t="shared" si="7"/>
        <v>410000</v>
      </c>
      <c r="O257" s="255">
        <f t="shared" si="7"/>
        <v>0</v>
      </c>
      <c r="P257" s="255">
        <f t="shared" si="7"/>
        <v>0</v>
      </c>
      <c r="Q257" s="255">
        <f t="shared" si="7"/>
        <v>0</v>
      </c>
      <c r="R257" s="255">
        <f t="shared" si="7"/>
        <v>0</v>
      </c>
      <c r="S257" s="255">
        <f t="shared" si="7"/>
        <v>0</v>
      </c>
      <c r="T257" s="255"/>
      <c r="U257" s="255">
        <f t="shared" si="7"/>
        <v>0</v>
      </c>
      <c r="V257" s="255">
        <f t="shared" si="7"/>
        <v>0</v>
      </c>
      <c r="W257" s="314">
        <f>SUM(D257:V257)</f>
        <v>411600</v>
      </c>
    </row>
    <row r="258" spans="1:23" ht="25.5" customHeight="1" thickTop="1">
      <c r="A258" s="50" t="s">
        <v>149</v>
      </c>
      <c r="B258" s="4"/>
      <c r="C258" s="193"/>
      <c r="D258" s="133"/>
      <c r="E258" s="269"/>
      <c r="F258" s="136"/>
      <c r="G258" s="136"/>
      <c r="H258" s="136"/>
      <c r="I258" s="133"/>
      <c r="J258" s="133"/>
      <c r="K258" s="133"/>
      <c r="L258" s="133"/>
      <c r="M258" s="136"/>
      <c r="N258" s="133"/>
      <c r="O258" s="133"/>
      <c r="P258" s="133"/>
      <c r="Q258" s="133"/>
      <c r="R258" s="258"/>
      <c r="S258" s="259"/>
      <c r="T258" s="259"/>
      <c r="U258" s="258"/>
      <c r="V258" s="258"/>
    </row>
    <row r="259" spans="1:23" ht="25.5" customHeight="1">
      <c r="A259" s="9"/>
      <c r="B259" s="186"/>
      <c r="C259" s="296"/>
      <c r="D259" s="133"/>
      <c r="E259" s="269"/>
      <c r="F259" s="136"/>
      <c r="G259" s="136"/>
      <c r="H259" s="136"/>
      <c r="I259" s="133"/>
      <c r="J259" s="133"/>
      <c r="K259" s="133"/>
      <c r="L259" s="133"/>
      <c r="M259" s="136"/>
      <c r="N259" s="133"/>
      <c r="O259" s="133"/>
      <c r="P259" s="133"/>
      <c r="Q259" s="133"/>
      <c r="R259" s="258"/>
      <c r="S259" s="259"/>
      <c r="T259" s="259"/>
      <c r="U259" s="258"/>
      <c r="V259" s="258"/>
    </row>
    <row r="260" spans="1:23" ht="25.5" customHeight="1">
      <c r="A260" s="9"/>
      <c r="B260" s="186"/>
      <c r="C260" s="296"/>
      <c r="D260" s="133"/>
      <c r="E260" s="269"/>
      <c r="F260" s="136"/>
      <c r="G260" s="136"/>
      <c r="H260" s="136"/>
      <c r="I260" s="133"/>
      <c r="J260" s="133"/>
      <c r="K260" s="133"/>
      <c r="L260" s="133"/>
      <c r="M260" s="136"/>
      <c r="N260" s="133"/>
      <c r="O260" s="133"/>
      <c r="P260" s="133"/>
      <c r="Q260" s="133"/>
      <c r="R260" s="258"/>
      <c r="S260" s="259"/>
      <c r="T260" s="259"/>
      <c r="U260" s="258"/>
      <c r="V260" s="258"/>
    </row>
    <row r="261" spans="1:23" ht="25.5" customHeight="1">
      <c r="A261" s="9"/>
      <c r="B261" s="186"/>
      <c r="C261" s="296"/>
      <c r="D261" s="133"/>
      <c r="E261" s="269"/>
      <c r="F261" s="136"/>
      <c r="G261" s="136"/>
      <c r="H261" s="136"/>
      <c r="I261" s="133"/>
      <c r="J261" s="133"/>
      <c r="K261" s="133"/>
      <c r="L261" s="133"/>
      <c r="M261" s="136"/>
      <c r="N261" s="133"/>
      <c r="O261" s="133"/>
      <c r="P261" s="133"/>
      <c r="Q261" s="133"/>
      <c r="R261" s="258"/>
      <c r="S261" s="259"/>
      <c r="T261" s="259"/>
      <c r="U261" s="258"/>
      <c r="V261" s="258"/>
    </row>
    <row r="262" spans="1:23" ht="25.5" customHeight="1">
      <c r="A262" s="9"/>
      <c r="B262" s="186"/>
      <c r="C262" s="296"/>
      <c r="D262" s="131"/>
      <c r="E262" s="267"/>
      <c r="F262" s="135"/>
      <c r="G262" s="135"/>
      <c r="H262" s="135"/>
      <c r="I262" s="131"/>
      <c r="J262" s="131"/>
      <c r="K262" s="131"/>
      <c r="L262" s="131"/>
      <c r="M262" s="135"/>
      <c r="N262" s="131"/>
      <c r="O262" s="131"/>
      <c r="P262" s="131"/>
      <c r="Q262" s="131"/>
      <c r="R262" s="217"/>
      <c r="S262" s="219"/>
      <c r="T262" s="219"/>
      <c r="U262" s="217"/>
      <c r="V262" s="217"/>
    </row>
    <row r="263" spans="1:23" ht="25.5" customHeight="1">
      <c r="A263" s="9"/>
      <c r="B263" s="186"/>
      <c r="C263" s="296"/>
      <c r="D263" s="131"/>
      <c r="E263" s="267"/>
      <c r="F263" s="135"/>
      <c r="G263" s="135"/>
      <c r="H263" s="135"/>
      <c r="I263" s="131"/>
      <c r="J263" s="131"/>
      <c r="K263" s="131"/>
      <c r="L263" s="131"/>
      <c r="M263" s="135"/>
      <c r="N263" s="131"/>
      <c r="O263" s="131"/>
      <c r="P263" s="131"/>
      <c r="Q263" s="131"/>
      <c r="R263" s="217"/>
      <c r="S263" s="219"/>
      <c r="T263" s="219"/>
      <c r="U263" s="217"/>
      <c r="V263" s="217"/>
    </row>
    <row r="264" spans="1:23" ht="25.5" customHeight="1">
      <c r="A264" s="9"/>
      <c r="B264" s="186"/>
      <c r="C264" s="296"/>
      <c r="D264" s="131"/>
      <c r="E264" s="267"/>
      <c r="F264" s="135"/>
      <c r="G264" s="135"/>
      <c r="H264" s="135"/>
      <c r="I264" s="131"/>
      <c r="J264" s="131"/>
      <c r="K264" s="131"/>
      <c r="L264" s="131"/>
      <c r="M264" s="135"/>
      <c r="N264" s="131"/>
      <c r="O264" s="131"/>
      <c r="P264" s="131"/>
      <c r="Q264" s="131"/>
      <c r="R264" s="217"/>
      <c r="S264" s="219"/>
      <c r="T264" s="219"/>
      <c r="U264" s="217"/>
      <c r="V264" s="217"/>
    </row>
    <row r="265" spans="1:23" ht="25.5" customHeight="1">
      <c r="A265" s="9"/>
      <c r="B265" s="186"/>
      <c r="C265" s="296"/>
      <c r="D265" s="131"/>
      <c r="E265" s="267"/>
      <c r="F265" s="135"/>
      <c r="G265" s="135"/>
      <c r="H265" s="135"/>
      <c r="I265" s="131"/>
      <c r="J265" s="131"/>
      <c r="K265" s="131"/>
      <c r="L265" s="131"/>
      <c r="M265" s="135"/>
      <c r="N265" s="131"/>
      <c r="O265" s="131"/>
      <c r="P265" s="131"/>
      <c r="Q265" s="131"/>
      <c r="R265" s="217"/>
      <c r="S265" s="219"/>
      <c r="T265" s="219"/>
      <c r="U265" s="217"/>
      <c r="V265" s="217"/>
    </row>
    <row r="266" spans="1:23" ht="25.5" customHeight="1">
      <c r="A266" s="9"/>
      <c r="B266" s="186"/>
      <c r="C266" s="296"/>
      <c r="D266" s="131"/>
      <c r="E266" s="267"/>
      <c r="F266" s="135"/>
      <c r="G266" s="135"/>
      <c r="H266" s="135"/>
      <c r="I266" s="131"/>
      <c r="J266" s="131"/>
      <c r="K266" s="131"/>
      <c r="L266" s="131"/>
      <c r="M266" s="135"/>
      <c r="N266" s="131"/>
      <c r="O266" s="131"/>
      <c r="P266" s="131"/>
      <c r="Q266" s="131"/>
      <c r="R266" s="217"/>
      <c r="S266" s="219"/>
      <c r="T266" s="219"/>
      <c r="U266" s="217"/>
      <c r="V266" s="217"/>
    </row>
    <row r="267" spans="1:23" ht="25.5" customHeight="1" thickBot="1">
      <c r="A267" s="15"/>
      <c r="B267" s="14" t="s">
        <v>5</v>
      </c>
      <c r="C267" s="170">
        <f>SUM(C259:C266)</f>
        <v>0</v>
      </c>
      <c r="D267" s="255">
        <f>SUM(D259:D266)</f>
        <v>0</v>
      </c>
      <c r="E267" s="254">
        <f t="shared" ref="E267:V267" si="8">SUM(E259:E266)</f>
        <v>0</v>
      </c>
      <c r="F267" s="254">
        <f t="shared" si="8"/>
        <v>0</v>
      </c>
      <c r="G267" s="254">
        <f t="shared" si="8"/>
        <v>0</v>
      </c>
      <c r="H267" s="254">
        <f t="shared" si="8"/>
        <v>0</v>
      </c>
      <c r="I267" s="255">
        <f t="shared" si="8"/>
        <v>0</v>
      </c>
      <c r="J267" s="255">
        <f t="shared" si="8"/>
        <v>0</v>
      </c>
      <c r="K267" s="255">
        <f t="shared" si="8"/>
        <v>0</v>
      </c>
      <c r="L267" s="255">
        <f t="shared" si="8"/>
        <v>0</v>
      </c>
      <c r="M267" s="254">
        <f t="shared" si="8"/>
        <v>0</v>
      </c>
      <c r="N267" s="255">
        <f t="shared" si="8"/>
        <v>0</v>
      </c>
      <c r="O267" s="255">
        <f t="shared" si="8"/>
        <v>0</v>
      </c>
      <c r="P267" s="255">
        <f t="shared" si="8"/>
        <v>0</v>
      </c>
      <c r="Q267" s="255">
        <f t="shared" si="8"/>
        <v>0</v>
      </c>
      <c r="R267" s="255">
        <f t="shared" si="8"/>
        <v>0</v>
      </c>
      <c r="S267" s="255">
        <f t="shared" si="8"/>
        <v>0</v>
      </c>
      <c r="T267" s="255"/>
      <c r="U267" s="255">
        <f t="shared" si="8"/>
        <v>0</v>
      </c>
      <c r="V267" s="255">
        <f t="shared" si="8"/>
        <v>0</v>
      </c>
      <c r="W267" s="314">
        <f>SUM(D267:V267)</f>
        <v>0</v>
      </c>
    </row>
    <row r="268" spans="1:23" ht="25.5" customHeight="1" thickTop="1">
      <c r="A268" s="20" t="s">
        <v>24</v>
      </c>
      <c r="B268" s="23"/>
      <c r="C268" s="190"/>
      <c r="D268" s="133"/>
      <c r="E268" s="269"/>
      <c r="F268" s="136"/>
      <c r="G268" s="136"/>
      <c r="H268" s="136"/>
      <c r="I268" s="133"/>
      <c r="J268" s="133"/>
      <c r="K268" s="133"/>
      <c r="L268" s="133"/>
      <c r="M268" s="136"/>
      <c r="N268" s="133"/>
      <c r="O268" s="133"/>
      <c r="P268" s="133"/>
      <c r="Q268" s="133"/>
      <c r="R268" s="258"/>
      <c r="S268" s="259"/>
      <c r="T268" s="259"/>
      <c r="U268" s="258"/>
      <c r="V268" s="258"/>
    </row>
    <row r="269" spans="1:23" ht="25.5" customHeight="1">
      <c r="A269" s="20"/>
      <c r="B269" s="130"/>
      <c r="C269" s="192"/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20"/>
      <c r="B270" s="130"/>
      <c r="C270" s="192"/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 thickBot="1">
      <c r="A271" s="15"/>
      <c r="B271" s="14" t="s">
        <v>5</v>
      </c>
      <c r="C271" s="298">
        <f>SUM(C269:C270)</f>
        <v>0</v>
      </c>
      <c r="D271" s="255">
        <f>SUM(D269:D270)</f>
        <v>0</v>
      </c>
      <c r="E271" s="254">
        <f t="shared" ref="E271:V271" si="9">SUM(E269:E270)</f>
        <v>0</v>
      </c>
      <c r="F271" s="254">
        <f t="shared" si="9"/>
        <v>0</v>
      </c>
      <c r="G271" s="254">
        <f t="shared" si="9"/>
        <v>0</v>
      </c>
      <c r="H271" s="254">
        <f t="shared" si="9"/>
        <v>0</v>
      </c>
      <c r="I271" s="255">
        <f t="shared" si="9"/>
        <v>0</v>
      </c>
      <c r="J271" s="255">
        <f t="shared" si="9"/>
        <v>0</v>
      </c>
      <c r="K271" s="255">
        <f t="shared" si="9"/>
        <v>0</v>
      </c>
      <c r="L271" s="255">
        <f t="shared" si="9"/>
        <v>0</v>
      </c>
      <c r="M271" s="254">
        <f t="shared" si="9"/>
        <v>0</v>
      </c>
      <c r="N271" s="255">
        <f t="shared" si="9"/>
        <v>0</v>
      </c>
      <c r="O271" s="255">
        <f t="shared" si="9"/>
        <v>0</v>
      </c>
      <c r="P271" s="255">
        <f t="shared" si="9"/>
        <v>0</v>
      </c>
      <c r="Q271" s="255">
        <f t="shared" si="9"/>
        <v>0</v>
      </c>
      <c r="R271" s="255">
        <f t="shared" si="9"/>
        <v>0</v>
      </c>
      <c r="S271" s="255">
        <f t="shared" si="9"/>
        <v>0</v>
      </c>
      <c r="T271" s="255"/>
      <c r="U271" s="255">
        <f t="shared" si="9"/>
        <v>0</v>
      </c>
      <c r="V271" s="255">
        <f t="shared" si="9"/>
        <v>0</v>
      </c>
      <c r="W271" s="314">
        <f>SUM(D271:V271)</f>
        <v>0</v>
      </c>
    </row>
    <row r="272" spans="1:23" ht="25.5" customHeight="1" thickTop="1">
      <c r="A272" s="20" t="s">
        <v>44</v>
      </c>
      <c r="B272" s="23"/>
      <c r="C272" s="193"/>
      <c r="D272" s="133"/>
      <c r="E272" s="269"/>
      <c r="F272" s="136"/>
      <c r="G272" s="136"/>
      <c r="H272" s="136"/>
      <c r="I272" s="133"/>
      <c r="J272" s="133"/>
      <c r="K272" s="133"/>
      <c r="L272" s="133"/>
      <c r="M272" s="136"/>
      <c r="N272" s="133"/>
      <c r="O272" s="133"/>
      <c r="P272" s="133"/>
      <c r="Q272" s="133"/>
      <c r="R272" s="258"/>
      <c r="S272" s="259"/>
      <c r="T272" s="259"/>
      <c r="U272" s="258"/>
      <c r="V272" s="258"/>
    </row>
    <row r="273" spans="1:23" ht="25.5" customHeight="1">
      <c r="A273" s="20"/>
      <c r="B273" s="185"/>
      <c r="C273" s="192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85"/>
      <c r="C274" s="190"/>
      <c r="D274" s="133"/>
      <c r="E274" s="269"/>
      <c r="F274" s="136"/>
      <c r="G274" s="136"/>
      <c r="H274" s="136"/>
      <c r="I274" s="133"/>
      <c r="J274" s="133"/>
      <c r="K274" s="133"/>
      <c r="L274" s="133"/>
      <c r="M274" s="136"/>
      <c r="N274" s="133"/>
      <c r="O274" s="133"/>
      <c r="P274" s="133"/>
      <c r="Q274" s="133"/>
      <c r="R274" s="258"/>
      <c r="S274" s="259"/>
      <c r="T274" s="259"/>
      <c r="U274" s="258"/>
      <c r="V274" s="258"/>
    </row>
    <row r="275" spans="1:23" ht="25.5" customHeight="1" thickBot="1">
      <c r="A275" s="15"/>
      <c r="B275" s="53" t="s">
        <v>5</v>
      </c>
      <c r="C275" s="105">
        <f>SUM(C273:C274)</f>
        <v>0</v>
      </c>
      <c r="D275" s="255">
        <f>SUM(D273:D274)</f>
        <v>0</v>
      </c>
      <c r="E275" s="254">
        <f t="shared" ref="E275:V275" si="10">SUM(E273:E274)</f>
        <v>0</v>
      </c>
      <c r="F275" s="254">
        <f t="shared" si="10"/>
        <v>0</v>
      </c>
      <c r="G275" s="254">
        <f t="shared" si="10"/>
        <v>0</v>
      </c>
      <c r="H275" s="254">
        <f t="shared" si="10"/>
        <v>0</v>
      </c>
      <c r="I275" s="255">
        <f t="shared" si="10"/>
        <v>0</v>
      </c>
      <c r="J275" s="255">
        <f t="shared" si="10"/>
        <v>0</v>
      </c>
      <c r="K275" s="255">
        <f t="shared" si="10"/>
        <v>0</v>
      </c>
      <c r="L275" s="255">
        <f t="shared" si="10"/>
        <v>0</v>
      </c>
      <c r="M275" s="254">
        <f t="shared" si="10"/>
        <v>0</v>
      </c>
      <c r="N275" s="255">
        <f t="shared" si="10"/>
        <v>0</v>
      </c>
      <c r="O275" s="255">
        <f t="shared" si="10"/>
        <v>0</v>
      </c>
      <c r="P275" s="255">
        <f t="shared" si="10"/>
        <v>0</v>
      </c>
      <c r="Q275" s="255">
        <f t="shared" si="10"/>
        <v>0</v>
      </c>
      <c r="R275" s="255">
        <f t="shared" si="10"/>
        <v>0</v>
      </c>
      <c r="S275" s="255">
        <f t="shared" si="10"/>
        <v>0</v>
      </c>
      <c r="T275" s="255"/>
      <c r="U275" s="255">
        <f t="shared" si="10"/>
        <v>0</v>
      </c>
      <c r="V275" s="255">
        <f t="shared" si="10"/>
        <v>0</v>
      </c>
      <c r="W275" s="314">
        <f>SUM(D275:V275)</f>
        <v>0</v>
      </c>
    </row>
    <row r="276" spans="1:23" ht="25.5" customHeight="1" thickTop="1">
      <c r="A276" s="20" t="s">
        <v>276</v>
      </c>
      <c r="B276" s="23"/>
      <c r="C276" s="193"/>
      <c r="D276" s="133"/>
      <c r="E276" s="269"/>
      <c r="F276" s="136"/>
      <c r="G276" s="136"/>
      <c r="H276" s="136"/>
      <c r="I276" s="133"/>
      <c r="J276" s="133"/>
      <c r="K276" s="133"/>
      <c r="L276" s="133"/>
      <c r="M276" s="136"/>
      <c r="N276" s="133"/>
      <c r="O276" s="133"/>
      <c r="P276" s="133"/>
      <c r="Q276" s="133"/>
      <c r="R276" s="258"/>
      <c r="S276" s="259"/>
      <c r="T276" s="259"/>
      <c r="U276" s="258"/>
      <c r="V276" s="258"/>
    </row>
    <row r="277" spans="1:23" ht="25.5" customHeight="1">
      <c r="A277" s="20"/>
      <c r="B277" s="185" t="s">
        <v>226</v>
      </c>
      <c r="C277" s="192">
        <f>+'ต.ค. '!E284+'ต.ค. '!F284+'ต.ค. '!H284+'ต.ค. '!M284</f>
        <v>37500</v>
      </c>
      <c r="D277" s="133"/>
      <c r="E277" s="136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133"/>
      <c r="S277" s="133"/>
      <c r="T277" s="133"/>
      <c r="U277" s="133"/>
      <c r="V277" s="133"/>
    </row>
    <row r="278" spans="1:23" ht="25.5" customHeight="1">
      <c r="A278" s="20"/>
      <c r="B278" s="185" t="s">
        <v>233</v>
      </c>
      <c r="C278" s="299">
        <v>7500</v>
      </c>
      <c r="D278" s="133"/>
      <c r="E278" s="136"/>
      <c r="F278" s="136"/>
      <c r="G278" s="136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133"/>
      <c r="S278" s="133"/>
      <c r="T278" s="133"/>
      <c r="U278" s="133"/>
      <c r="V278" s="133"/>
    </row>
    <row r="279" spans="1:23" ht="25.5" customHeight="1">
      <c r="A279" s="20"/>
      <c r="B279" s="274" t="s">
        <v>378</v>
      </c>
      <c r="C279" s="299">
        <v>37500</v>
      </c>
      <c r="D279" s="133"/>
      <c r="E279" s="136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133"/>
      <c r="S279" s="133"/>
      <c r="T279" s="133"/>
      <c r="U279" s="133"/>
      <c r="V279" s="133"/>
    </row>
    <row r="280" spans="1:23" ht="25.5" customHeight="1">
      <c r="A280" s="20"/>
      <c r="B280" s="185" t="s">
        <v>379</v>
      </c>
      <c r="C280" s="299">
        <v>10000</v>
      </c>
      <c r="D280" s="133"/>
      <c r="E280" s="136"/>
      <c r="F280" s="136"/>
      <c r="G280" s="136"/>
      <c r="H280" s="136"/>
      <c r="I280" s="133"/>
      <c r="J280" s="133"/>
      <c r="K280" s="133"/>
      <c r="L280" s="133"/>
      <c r="M280" s="136"/>
      <c r="N280" s="133"/>
      <c r="O280" s="133"/>
      <c r="P280" s="133"/>
      <c r="Q280" s="133"/>
      <c r="R280" s="133"/>
      <c r="S280" s="133"/>
      <c r="T280" s="133"/>
      <c r="U280" s="133"/>
      <c r="V280" s="133"/>
    </row>
    <row r="281" spans="1:23" ht="25.5" customHeight="1">
      <c r="A281" s="20"/>
      <c r="B281" s="185" t="s">
        <v>382</v>
      </c>
      <c r="C281" s="299">
        <v>1950</v>
      </c>
      <c r="D281" s="133"/>
      <c r="E281" s="136"/>
      <c r="F281" s="136"/>
      <c r="G281" s="136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133"/>
      <c r="S281" s="133"/>
      <c r="T281" s="133"/>
      <c r="U281" s="133"/>
      <c r="V281" s="133"/>
    </row>
    <row r="282" spans="1:23" ht="25.5" customHeight="1">
      <c r="A282" s="20"/>
      <c r="B282" s="185" t="s">
        <v>380</v>
      </c>
      <c r="C282" s="299">
        <v>4550</v>
      </c>
      <c r="D282" s="133"/>
      <c r="E282" s="136"/>
      <c r="F282" s="136"/>
      <c r="G282" s="136"/>
      <c r="H282" s="136"/>
      <c r="I282" s="133"/>
      <c r="J282" s="133"/>
      <c r="K282" s="133"/>
      <c r="L282" s="133"/>
      <c r="M282" s="136"/>
      <c r="N282" s="133"/>
      <c r="O282" s="133"/>
      <c r="P282" s="133"/>
      <c r="Q282" s="133"/>
      <c r="R282" s="133"/>
      <c r="S282" s="133"/>
      <c r="T282" s="133"/>
      <c r="U282" s="133"/>
      <c r="V282" s="133"/>
    </row>
    <row r="283" spans="1:23" ht="25.5" customHeight="1">
      <c r="A283" s="20"/>
      <c r="B283" s="185" t="s">
        <v>386</v>
      </c>
      <c r="C283" s="192">
        <v>409940.96</v>
      </c>
      <c r="D283" s="133"/>
      <c r="E283" s="136"/>
      <c r="F283" s="136"/>
      <c r="G283" s="136"/>
      <c r="H283" s="136"/>
      <c r="I283" s="133"/>
      <c r="J283" s="133"/>
      <c r="K283" s="133"/>
      <c r="L283" s="133"/>
      <c r="M283" s="136"/>
      <c r="N283" s="133"/>
      <c r="O283" s="133"/>
      <c r="P283" s="133"/>
      <c r="Q283" s="133"/>
      <c r="R283" s="133"/>
      <c r="S283" s="133"/>
      <c r="T283" s="133"/>
      <c r="U283" s="133"/>
      <c r="V283" s="133"/>
    </row>
    <row r="284" spans="1:23" ht="25.5" customHeight="1">
      <c r="A284" s="20"/>
      <c r="B284" s="185" t="s">
        <v>387</v>
      </c>
      <c r="C284" s="192">
        <v>40000</v>
      </c>
      <c r="D284" s="133"/>
      <c r="E284" s="136"/>
      <c r="F284" s="136"/>
      <c r="G284" s="136"/>
      <c r="H284" s="136"/>
      <c r="I284" s="133"/>
      <c r="J284" s="133"/>
      <c r="K284" s="133"/>
      <c r="L284" s="133"/>
      <c r="M284" s="136"/>
      <c r="N284" s="133"/>
      <c r="O284" s="133"/>
      <c r="P284" s="133"/>
      <c r="Q284" s="133"/>
      <c r="R284" s="133"/>
      <c r="S284" s="133"/>
      <c r="T284" s="133"/>
      <c r="U284" s="133"/>
      <c r="V284" s="133"/>
    </row>
    <row r="285" spans="1:23" ht="25.5" customHeight="1">
      <c r="A285" s="20"/>
      <c r="D285" s="131"/>
      <c r="E285" s="135"/>
      <c r="F285" s="135"/>
      <c r="G285" s="135"/>
      <c r="H285" s="135"/>
      <c r="I285" s="131"/>
      <c r="J285" s="131"/>
      <c r="K285" s="131"/>
      <c r="L285" s="131"/>
      <c r="M285" s="135"/>
      <c r="N285" s="131"/>
      <c r="O285" s="131"/>
      <c r="P285" s="131"/>
      <c r="Q285" s="131"/>
      <c r="R285" s="131"/>
      <c r="S285" s="131"/>
      <c r="T285" s="131"/>
      <c r="U285" s="131"/>
      <c r="V285" s="131"/>
    </row>
    <row r="286" spans="1:23" ht="25.5" customHeight="1">
      <c r="A286" s="20"/>
      <c r="B286" s="632"/>
      <c r="C286" s="285"/>
      <c r="D286" s="131"/>
      <c r="E286" s="135"/>
      <c r="F286" s="135"/>
      <c r="G286" s="135"/>
      <c r="H286" s="135"/>
      <c r="I286" s="131"/>
      <c r="J286" s="131"/>
      <c r="K286" s="131"/>
      <c r="L286" s="131"/>
      <c r="M286" s="135"/>
      <c r="N286" s="131"/>
      <c r="O286" s="131"/>
      <c r="P286" s="131"/>
      <c r="Q286" s="131"/>
      <c r="R286" s="131"/>
      <c r="S286" s="131"/>
      <c r="T286" s="131"/>
      <c r="U286" s="131"/>
      <c r="V286" s="131"/>
    </row>
    <row r="287" spans="1:23" ht="25.5" customHeight="1">
      <c r="A287" s="20"/>
      <c r="B287" s="632"/>
      <c r="C287" s="285"/>
      <c r="D287" s="131"/>
      <c r="E287" s="135"/>
      <c r="F287" s="135"/>
      <c r="G287" s="135"/>
      <c r="H287" s="135"/>
      <c r="I287" s="131"/>
      <c r="J287" s="131"/>
      <c r="K287" s="131"/>
      <c r="L287" s="131"/>
      <c r="M287" s="135"/>
      <c r="N287" s="131"/>
      <c r="O287" s="131"/>
      <c r="P287" s="131"/>
      <c r="Q287" s="131"/>
      <c r="R287" s="131"/>
      <c r="S287" s="131"/>
      <c r="T287" s="131"/>
      <c r="U287" s="131"/>
      <c r="V287" s="131"/>
    </row>
    <row r="288" spans="1:23" ht="25.5" customHeight="1">
      <c r="A288" s="20"/>
      <c r="B288" s="632"/>
      <c r="C288" s="285"/>
      <c r="D288" s="131"/>
      <c r="E288" s="135"/>
      <c r="F288" s="135"/>
      <c r="G288" s="135"/>
      <c r="H288" s="135"/>
      <c r="I288" s="131"/>
      <c r="J288" s="131"/>
      <c r="K288" s="131"/>
      <c r="L288" s="131"/>
      <c r="M288" s="135"/>
      <c r="N288" s="131"/>
      <c r="O288" s="131"/>
      <c r="P288" s="131"/>
      <c r="Q288" s="131"/>
      <c r="R288" s="131"/>
      <c r="S288" s="131"/>
      <c r="T288" s="131"/>
      <c r="U288" s="131"/>
      <c r="V288" s="131"/>
    </row>
    <row r="289" spans="1:23" ht="25.5" customHeight="1">
      <c r="A289" s="20"/>
      <c r="B289" s="632"/>
      <c r="C289" s="285"/>
      <c r="D289" s="131"/>
      <c r="E289" s="135"/>
      <c r="F289" s="135"/>
      <c r="G289" s="135"/>
      <c r="H289" s="135"/>
      <c r="I289" s="131"/>
      <c r="J289" s="131"/>
      <c r="K289" s="131"/>
      <c r="L289" s="131"/>
      <c r="M289" s="135"/>
      <c r="N289" s="131"/>
      <c r="O289" s="131"/>
      <c r="P289" s="131"/>
      <c r="Q289" s="131"/>
      <c r="R289" s="131"/>
      <c r="S289" s="131"/>
      <c r="T289" s="131"/>
      <c r="U289" s="131"/>
      <c r="V289" s="131"/>
    </row>
    <row r="290" spans="1:23" ht="25.5" customHeight="1">
      <c r="A290" s="20"/>
      <c r="B290" s="632"/>
      <c r="C290" s="285"/>
      <c r="D290" s="131"/>
      <c r="E290" s="135"/>
      <c r="F290" s="135"/>
      <c r="G290" s="135"/>
      <c r="H290" s="135"/>
      <c r="I290" s="131"/>
      <c r="J290" s="131"/>
      <c r="K290" s="131"/>
      <c r="L290" s="131"/>
      <c r="M290" s="135"/>
      <c r="N290" s="131"/>
      <c r="O290" s="131"/>
      <c r="P290" s="131"/>
      <c r="Q290" s="131"/>
      <c r="R290" s="131"/>
      <c r="S290" s="131"/>
      <c r="T290" s="131"/>
      <c r="U290" s="131"/>
      <c r="V290" s="131"/>
    </row>
    <row r="291" spans="1:23" ht="25.5" customHeight="1">
      <c r="A291" s="20"/>
      <c r="B291" s="185" t="s">
        <v>453</v>
      </c>
      <c r="C291" s="216">
        <v>175000</v>
      </c>
      <c r="D291" s="345"/>
      <c r="E291" s="346"/>
      <c r="F291" s="346"/>
      <c r="G291" s="346"/>
      <c r="H291" s="346"/>
      <c r="I291" s="345"/>
      <c r="J291" s="345"/>
      <c r="K291" s="345"/>
      <c r="L291" s="345"/>
      <c r="M291" s="346"/>
      <c r="N291" s="345">
        <v>175000</v>
      </c>
      <c r="O291" s="345"/>
      <c r="P291" s="345"/>
      <c r="Q291" s="345"/>
      <c r="R291" s="345"/>
      <c r="S291" s="345"/>
      <c r="T291" s="345"/>
      <c r="U291" s="345"/>
      <c r="V291" s="345"/>
    </row>
    <row r="292" spans="1:23" ht="25.5" customHeight="1" thickBot="1">
      <c r="A292" s="15"/>
      <c r="B292" s="53" t="s">
        <v>5</v>
      </c>
      <c r="C292" s="105">
        <f>SUM(C277:C291)</f>
        <v>723940.96</v>
      </c>
      <c r="D292" s="132">
        <f>SUM(D277:D284)</f>
        <v>0</v>
      </c>
      <c r="E292" s="137">
        <f>SUM(E277:E284)</f>
        <v>0</v>
      </c>
      <c r="F292" s="137">
        <f>SUM(F277:F284)</f>
        <v>0</v>
      </c>
      <c r="G292" s="137">
        <f t="shared" ref="G292:V292" si="11">SUM(G277:G284)</f>
        <v>0</v>
      </c>
      <c r="H292" s="137">
        <f>SUM(H277:H284)</f>
        <v>0</v>
      </c>
      <c r="I292" s="132">
        <f>SUM(I277:I284)</f>
        <v>0</v>
      </c>
      <c r="J292" s="132">
        <f t="shared" si="11"/>
        <v>0</v>
      </c>
      <c r="K292" s="132">
        <f t="shared" si="11"/>
        <v>0</v>
      </c>
      <c r="L292" s="132">
        <f t="shared" si="11"/>
        <v>0</v>
      </c>
      <c r="M292" s="137">
        <f>SUM(M277:M284)</f>
        <v>0</v>
      </c>
      <c r="N292" s="132">
        <f>SUM(N277:N291)</f>
        <v>175000</v>
      </c>
      <c r="O292" s="132">
        <f t="shared" si="11"/>
        <v>0</v>
      </c>
      <c r="P292" s="132">
        <f t="shared" si="11"/>
        <v>0</v>
      </c>
      <c r="Q292" s="132">
        <f t="shared" si="11"/>
        <v>0</v>
      </c>
      <c r="R292" s="132">
        <f t="shared" si="11"/>
        <v>0</v>
      </c>
      <c r="S292" s="132">
        <f t="shared" si="11"/>
        <v>0</v>
      </c>
      <c r="T292" s="132"/>
      <c r="U292" s="132">
        <f t="shared" si="11"/>
        <v>0</v>
      </c>
      <c r="V292" s="132">
        <f t="shared" si="11"/>
        <v>0</v>
      </c>
      <c r="W292" s="318">
        <f>SUM(D292:V292)</f>
        <v>175000</v>
      </c>
    </row>
    <row r="293" spans="1:23" ht="25.5" customHeight="1" thickTop="1" thickBot="1">
      <c r="A293" s="16"/>
      <c r="B293" s="52" t="s">
        <v>49</v>
      </c>
      <c r="C293" s="229">
        <f t="shared" ref="C293:V293" si="12">+C267+C257+C220+C209+C203++C48+C38+C21+C175+C28+C223</f>
        <v>39148280</v>
      </c>
      <c r="D293" s="229">
        <f t="shared" si="12"/>
        <v>744054</v>
      </c>
      <c r="E293" s="229">
        <f t="shared" si="12"/>
        <v>908079.39</v>
      </c>
      <c r="F293" s="229">
        <f t="shared" si="12"/>
        <v>183301.8</v>
      </c>
      <c r="G293" s="229">
        <f t="shared" si="12"/>
        <v>0</v>
      </c>
      <c r="H293" s="229">
        <f t="shared" si="12"/>
        <v>392843.5</v>
      </c>
      <c r="I293" s="229">
        <f t="shared" si="12"/>
        <v>266226.98</v>
      </c>
      <c r="J293" s="229">
        <f t="shared" si="12"/>
        <v>0</v>
      </c>
      <c r="K293" s="229">
        <f t="shared" si="12"/>
        <v>37080</v>
      </c>
      <c r="L293" s="229">
        <f t="shared" si="12"/>
        <v>0</v>
      </c>
      <c r="M293" s="229">
        <f t="shared" si="12"/>
        <v>186410.4</v>
      </c>
      <c r="N293" s="229">
        <f t="shared" si="12"/>
        <v>488500</v>
      </c>
      <c r="O293" s="229">
        <f t="shared" si="12"/>
        <v>0</v>
      </c>
      <c r="P293" s="229">
        <f t="shared" si="12"/>
        <v>1200</v>
      </c>
      <c r="Q293" s="229">
        <f t="shared" si="12"/>
        <v>0</v>
      </c>
      <c r="R293" s="229">
        <f t="shared" si="12"/>
        <v>0</v>
      </c>
      <c r="S293" s="229">
        <f t="shared" si="12"/>
        <v>0</v>
      </c>
      <c r="T293" s="229"/>
      <c r="U293" s="229">
        <f t="shared" si="12"/>
        <v>0</v>
      </c>
      <c r="V293" s="51">
        <f t="shared" si="12"/>
        <v>3630</v>
      </c>
      <c r="W293" s="314">
        <f>SUM(D293:V293)</f>
        <v>3211326.0700000003</v>
      </c>
    </row>
    <row r="294" spans="1:23" ht="25.5" customHeight="1" thickTop="1" thickBot="1">
      <c r="A294" s="16"/>
      <c r="B294" s="41" t="s">
        <v>25</v>
      </c>
      <c r="C294" s="260">
        <f t="shared" ref="C294:V294" si="13">+C292+C275+C271+C267+C257+C223+C220+C209+C175+C48+C28+C21+C38++C203</f>
        <v>39872220.960000001</v>
      </c>
      <c r="D294" s="260">
        <f>+D292+D275+D271+D267+D257+D223+D220+D209+D175+D48+D28+D21+D38++D203</f>
        <v>744054</v>
      </c>
      <c r="E294" s="260">
        <f t="shared" si="13"/>
        <v>908079.39</v>
      </c>
      <c r="F294" s="260">
        <f t="shared" si="13"/>
        <v>183301.8</v>
      </c>
      <c r="G294" s="260">
        <f t="shared" si="13"/>
        <v>0</v>
      </c>
      <c r="H294" s="260">
        <f t="shared" si="13"/>
        <v>392843.5</v>
      </c>
      <c r="I294" s="260">
        <f t="shared" si="13"/>
        <v>266226.98</v>
      </c>
      <c r="J294" s="260">
        <f t="shared" si="13"/>
        <v>0</v>
      </c>
      <c r="K294" s="260">
        <f t="shared" si="13"/>
        <v>37080</v>
      </c>
      <c r="L294" s="260">
        <f t="shared" si="13"/>
        <v>0</v>
      </c>
      <c r="M294" s="260">
        <f t="shared" si="13"/>
        <v>186410.4</v>
      </c>
      <c r="N294" s="260">
        <f t="shared" si="13"/>
        <v>663500</v>
      </c>
      <c r="O294" s="260">
        <f t="shared" si="13"/>
        <v>0</v>
      </c>
      <c r="P294" s="260">
        <f t="shared" si="13"/>
        <v>1200</v>
      </c>
      <c r="Q294" s="260">
        <f t="shared" si="13"/>
        <v>0</v>
      </c>
      <c r="R294" s="260">
        <f t="shared" si="13"/>
        <v>0</v>
      </c>
      <c r="S294" s="260">
        <f t="shared" si="13"/>
        <v>0</v>
      </c>
      <c r="T294" s="260"/>
      <c r="U294" s="260">
        <f t="shared" si="13"/>
        <v>0</v>
      </c>
      <c r="V294" s="309">
        <f t="shared" si="13"/>
        <v>3630</v>
      </c>
      <c r="W294" s="319">
        <f>SUM(D294:V294)</f>
        <v>3386326.0700000003</v>
      </c>
    </row>
    <row r="295" spans="1:23" ht="25.5" customHeight="1" thickTop="1">
      <c r="B295" s="246"/>
      <c r="C295" s="182"/>
      <c r="D295" s="300"/>
      <c r="E295" s="301"/>
      <c r="F295" s="302"/>
      <c r="G295" s="302"/>
      <c r="H295" s="302"/>
      <c r="I295" s="300"/>
      <c r="J295" s="300"/>
      <c r="K295" s="300"/>
      <c r="L295" s="300"/>
      <c r="M295" s="302"/>
      <c r="N295" s="300"/>
      <c r="O295" s="300"/>
      <c r="P295" s="300"/>
      <c r="Q295" s="300"/>
      <c r="R295" s="303"/>
      <c r="S295" s="304"/>
      <c r="T295" s="304"/>
      <c r="U295" s="303"/>
      <c r="V295" s="303"/>
      <c r="W295" s="246" t="s">
        <v>416</v>
      </c>
    </row>
    <row r="296" spans="1:23" ht="25.5" customHeight="1">
      <c r="C296" s="182"/>
      <c r="D296" s="35"/>
      <c r="E296" s="266"/>
      <c r="F296" s="134"/>
      <c r="G296" s="134"/>
      <c r="H296" s="134"/>
      <c r="I296" s="35"/>
      <c r="J296" s="35"/>
      <c r="K296" s="35"/>
      <c r="L296" s="35"/>
      <c r="M296" s="134"/>
      <c r="N296" s="35"/>
      <c r="O296" s="35"/>
      <c r="P296" s="35"/>
      <c r="Q296" s="35"/>
      <c r="R296" s="34"/>
      <c r="S296" s="171"/>
      <c r="T296" s="171"/>
      <c r="U296" s="34"/>
      <c r="V296" s="34"/>
      <c r="W296"/>
    </row>
    <row r="297" spans="1:23" ht="25.5" customHeight="1">
      <c r="C297" s="182"/>
      <c r="D297" s="35"/>
      <c r="E297" s="266"/>
      <c r="F297" s="134"/>
      <c r="G297" s="134"/>
      <c r="H297" s="134"/>
      <c r="I297" s="35"/>
      <c r="J297" s="35"/>
      <c r="K297" s="35"/>
      <c r="L297" s="35"/>
      <c r="M297" s="134"/>
      <c r="N297" s="35"/>
      <c r="O297" s="35"/>
      <c r="P297" s="35"/>
      <c r="Q297" s="35"/>
      <c r="R297" s="34"/>
      <c r="S297" s="171"/>
      <c r="T297" s="171"/>
      <c r="U297" s="34"/>
      <c r="V297" s="34"/>
      <c r="W297" s="253">
        <f>39148280-C293</f>
        <v>0</v>
      </c>
    </row>
    <row r="298" spans="1:23" ht="25.5" customHeight="1">
      <c r="B298" s="253">
        <f>39148280-C293</f>
        <v>0</v>
      </c>
      <c r="C298" s="182"/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  <c r="W298" s="322">
        <v>3179676.07</v>
      </c>
    </row>
    <row r="299" spans="1:23" ht="25.5" customHeight="1">
      <c r="C299" s="182"/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  <c r="W299" s="328">
        <v>3354676.07</v>
      </c>
    </row>
    <row r="300" spans="1:23" ht="25.5" customHeight="1">
      <c r="C300" s="182"/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  <c r="W300" s="321"/>
    </row>
    <row r="301" spans="1:23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  <c r="W301" s="321"/>
    </row>
    <row r="302" spans="1:23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3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3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1:24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1:24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1:24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1:24" ht="25.5" customHeight="1"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</row>
    <row r="309" spans="1:24" ht="25.5" customHeight="1"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</row>
    <row r="310" spans="1:24" ht="25.5" customHeight="1"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</row>
    <row r="311" spans="1:24" ht="25.5" customHeight="1"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</row>
    <row r="312" spans="1:24" ht="25.5" customHeight="1"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</row>
    <row r="313" spans="1:24" s="310" customFormat="1" ht="25.5" customHeight="1">
      <c r="A313"/>
      <c r="B313"/>
      <c r="C313" s="282"/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  <c r="X313"/>
    </row>
    <row r="314" spans="1:24" s="310" customFormat="1" ht="25.5" customHeight="1">
      <c r="A314"/>
      <c r="B314"/>
      <c r="C314" s="282"/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  <c r="X314"/>
    </row>
    <row r="315" spans="1:24" s="310" customFormat="1" ht="25.5" customHeight="1">
      <c r="A315"/>
      <c r="B315"/>
      <c r="C315" s="282"/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  <c r="X315"/>
    </row>
    <row r="316" spans="1:24" s="310" customFormat="1" ht="25.5" customHeight="1">
      <c r="A316"/>
      <c r="B316"/>
      <c r="C316" s="282"/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  <c r="X316"/>
    </row>
    <row r="317" spans="1:24" s="310" customFormat="1" ht="25.5" customHeight="1">
      <c r="A317"/>
      <c r="B317"/>
      <c r="C317" s="282"/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  <c r="X317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/>
    </row>
    <row r="377" spans="1:24" s="310" customFormat="1" ht="25.5" customHeight="1">
      <c r="A377"/>
      <c r="B377"/>
      <c r="C377" s="282"/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  <c r="X377"/>
    </row>
    <row r="378" spans="1:24" s="310" customFormat="1" ht="25.5" customHeight="1">
      <c r="A378"/>
      <c r="B378"/>
      <c r="C378" s="282"/>
      <c r="D378" s="181"/>
      <c r="E378" s="272"/>
      <c r="F378" s="265"/>
      <c r="G378" s="265"/>
      <c r="H378" s="265"/>
      <c r="I378" s="181"/>
      <c r="J378" s="181"/>
      <c r="K378" s="181"/>
      <c r="L378" s="181"/>
      <c r="M378" s="265"/>
      <c r="N378" s="181"/>
      <c r="O378" s="181"/>
      <c r="P378" s="181"/>
      <c r="Q378" s="181"/>
      <c r="R378" s="221"/>
      <c r="S378" s="234"/>
      <c r="T378" s="234"/>
      <c r="U378" s="221"/>
      <c r="V378" s="221"/>
      <c r="X378"/>
    </row>
    <row r="379" spans="1:24" s="310" customFormat="1" ht="25.5" customHeight="1">
      <c r="A379"/>
      <c r="B379"/>
      <c r="C379" s="282"/>
      <c r="D379" s="181"/>
      <c r="E379" s="272"/>
      <c r="F379" s="265"/>
      <c r="G379" s="265"/>
      <c r="H379" s="265"/>
      <c r="I379" s="181"/>
      <c r="J379" s="181"/>
      <c r="K379" s="181"/>
      <c r="L379" s="181"/>
      <c r="M379" s="265"/>
      <c r="N379" s="181"/>
      <c r="O379" s="181"/>
      <c r="P379" s="181"/>
      <c r="Q379" s="181"/>
      <c r="R379" s="221"/>
      <c r="S379" s="234"/>
      <c r="T379" s="234"/>
      <c r="U379" s="221"/>
      <c r="V379" s="221"/>
      <c r="X379"/>
    </row>
    <row r="380" spans="1:24" s="310" customFormat="1" ht="25.5" customHeight="1">
      <c r="A380"/>
      <c r="B380"/>
      <c r="C380" s="282"/>
      <c r="D380" s="181"/>
      <c r="E380" s="272"/>
      <c r="F380" s="265"/>
      <c r="G380" s="265"/>
      <c r="H380" s="265"/>
      <c r="I380" s="181"/>
      <c r="J380" s="181"/>
      <c r="K380" s="181"/>
      <c r="L380" s="181"/>
      <c r="M380" s="265"/>
      <c r="N380" s="181"/>
      <c r="O380" s="181"/>
      <c r="P380" s="181"/>
      <c r="Q380" s="181"/>
      <c r="R380" s="221"/>
      <c r="S380" s="234"/>
      <c r="T380" s="234"/>
      <c r="U380" s="221"/>
      <c r="V380" s="221"/>
      <c r="X380"/>
    </row>
    <row r="381" spans="1:24" s="310" customFormat="1" ht="25.5" customHeight="1">
      <c r="A381"/>
      <c r="B381"/>
      <c r="C381" s="282"/>
      <c r="D381" s="181"/>
      <c r="E381" s="272"/>
      <c r="F381" s="265"/>
      <c r="G381" s="265"/>
      <c r="H381" s="265"/>
      <c r="I381" s="181"/>
      <c r="J381" s="181"/>
      <c r="K381" s="181"/>
      <c r="L381" s="181"/>
      <c r="M381" s="265"/>
      <c r="N381" s="181"/>
      <c r="O381" s="181"/>
      <c r="P381" s="181"/>
      <c r="Q381" s="181"/>
      <c r="R381" s="221"/>
      <c r="S381" s="234"/>
      <c r="T381" s="234"/>
      <c r="U381" s="221"/>
      <c r="V381" s="221"/>
      <c r="X381"/>
    </row>
  </sheetData>
  <mergeCells count="32"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R7:R8"/>
    <mergeCell ref="S7:S8"/>
    <mergeCell ref="U7:U8"/>
    <mergeCell ref="V7:V8"/>
  </mergeCells>
  <pageMargins left="0.17" right="0.19685039370078741" top="0.19685039370078741" bottom="0.17" header="0.19685039370078741" footer="0.15748031496062992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X381"/>
  <sheetViews>
    <sheetView workbookViewId="0">
      <pane ySplit="8" topLeftCell="A285" activePane="bottomLeft" state="frozen"/>
      <selection activeCell="C78" sqref="C78"/>
      <selection pane="bottomLeft" activeCell="M296" sqref="M296"/>
    </sheetView>
  </sheetViews>
  <sheetFormatPr defaultRowHeight="25.5" customHeight="1"/>
  <cols>
    <col min="1" max="1" width="1.140625" customWidth="1"/>
    <col min="2" max="2" width="33.85546875" customWidth="1"/>
    <col min="3" max="3" width="11.28515625" style="282" customWidth="1"/>
    <col min="4" max="4" width="9.7109375" style="33" customWidth="1"/>
    <col min="5" max="5" width="9.5703125" style="273" customWidth="1"/>
    <col min="6" max="6" width="8.85546875" style="138" customWidth="1"/>
    <col min="7" max="7" width="0.5703125" style="138" customWidth="1"/>
    <col min="8" max="8" width="9.5703125" style="138" customWidth="1"/>
    <col min="9" max="9" width="9.7109375" style="33" customWidth="1"/>
    <col min="10" max="10" width="1.28515625" style="33" customWidth="1"/>
    <col min="11" max="11" width="8.42578125" style="33" customWidth="1"/>
    <col min="12" max="12" width="1.85546875" style="33" customWidth="1"/>
    <col min="13" max="13" width="9.140625" style="138" customWidth="1"/>
    <col min="14" max="14" width="9.85546875" style="33" customWidth="1"/>
    <col min="15" max="15" width="1.85546875" style="33" customWidth="1"/>
    <col min="16" max="16" width="1.5703125" style="33" customWidth="1"/>
    <col min="17" max="17" width="1.85546875" style="33" customWidth="1"/>
    <col min="18" max="18" width="1.85546875" customWidth="1"/>
    <col min="19" max="20" width="1.85546875" style="168" customWidth="1"/>
    <col min="21" max="21" width="1.85546875" customWidth="1"/>
    <col min="22" max="22" width="7.28515625" customWidth="1"/>
    <col min="23" max="23" width="15.28515625" style="310" customWidth="1"/>
  </cols>
  <sheetData>
    <row r="1" spans="1:24" s="1" customFormat="1" ht="21.75" customHeight="1">
      <c r="A1" s="651" t="s">
        <v>274</v>
      </c>
      <c r="B1" s="651"/>
      <c r="C1" s="651"/>
      <c r="D1" s="651"/>
      <c r="E1" s="651"/>
      <c r="F1" s="651"/>
      <c r="G1" s="651"/>
      <c r="H1" s="651"/>
      <c r="I1" s="651"/>
      <c r="J1" s="651"/>
      <c r="K1" s="651"/>
      <c r="L1" s="651"/>
      <c r="M1" s="651"/>
      <c r="N1" s="651"/>
      <c r="O1" s="651"/>
      <c r="P1" s="651"/>
      <c r="Q1" s="651"/>
      <c r="R1" s="651"/>
      <c r="S1" s="651"/>
      <c r="T1" s="651"/>
      <c r="U1" s="651"/>
      <c r="V1" s="651"/>
      <c r="W1" s="310"/>
    </row>
    <row r="2" spans="1:24" s="1" customFormat="1" ht="21.75" customHeight="1">
      <c r="A2" s="652" t="s">
        <v>207</v>
      </c>
      <c r="B2" s="652"/>
      <c r="C2" s="652"/>
      <c r="D2" s="652"/>
      <c r="E2" s="652"/>
      <c r="F2" s="652"/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310"/>
    </row>
    <row r="3" spans="1:24" s="1" customFormat="1" ht="21.75" customHeight="1">
      <c r="A3" s="653" t="s">
        <v>417</v>
      </c>
      <c r="B3" s="653"/>
      <c r="C3" s="653"/>
      <c r="D3" s="653"/>
      <c r="E3" s="653"/>
      <c r="F3" s="653"/>
      <c r="G3" s="653"/>
      <c r="H3" s="653"/>
      <c r="I3" s="653"/>
      <c r="J3" s="653"/>
      <c r="K3" s="653"/>
      <c r="L3" s="653"/>
      <c r="M3" s="653"/>
      <c r="N3" s="653"/>
      <c r="O3" s="653"/>
      <c r="P3" s="653"/>
      <c r="Q3" s="653"/>
      <c r="R3" s="653"/>
      <c r="S3" s="653"/>
      <c r="T3" s="653"/>
      <c r="U3" s="653"/>
      <c r="V3" s="653"/>
      <c r="W3" s="310"/>
    </row>
    <row r="4" spans="1:24" s="34" customFormat="1" ht="4.5" customHeight="1">
      <c r="C4" s="275"/>
      <c r="D4" s="35"/>
      <c r="E4" s="266"/>
      <c r="F4" s="134"/>
      <c r="G4" s="134"/>
      <c r="H4" s="134"/>
      <c r="I4" s="35"/>
      <c r="J4" s="35"/>
      <c r="K4" s="35"/>
      <c r="L4" s="35"/>
      <c r="M4" s="134"/>
      <c r="N4" s="35"/>
      <c r="O4" s="35"/>
      <c r="P4" s="35"/>
      <c r="Q4" s="35"/>
      <c r="S4" s="171"/>
      <c r="T4" s="171"/>
      <c r="W4" s="311"/>
    </row>
    <row r="5" spans="1:24" s="2" customFormat="1" ht="25.5" customHeight="1">
      <c r="A5" s="654" t="s">
        <v>1</v>
      </c>
      <c r="B5" s="655"/>
      <c r="C5" s="276"/>
      <c r="D5" s="648" t="s">
        <v>26</v>
      </c>
      <c r="E5" s="648" t="s">
        <v>27</v>
      </c>
      <c r="F5" s="648"/>
      <c r="G5" s="647" t="s">
        <v>28</v>
      </c>
      <c r="H5" s="660" t="s">
        <v>29</v>
      </c>
      <c r="I5" s="661"/>
      <c r="J5" s="662"/>
      <c r="K5" s="648" t="s">
        <v>30</v>
      </c>
      <c r="L5" s="645" t="s">
        <v>216</v>
      </c>
      <c r="M5" s="660" t="s">
        <v>31</v>
      </c>
      <c r="N5" s="661"/>
      <c r="O5" s="661"/>
      <c r="P5" s="662"/>
      <c r="Q5" s="645" t="s">
        <v>32</v>
      </c>
      <c r="R5" s="660" t="s">
        <v>62</v>
      </c>
      <c r="S5" s="662"/>
      <c r="T5" s="489"/>
      <c r="U5" s="645" t="s">
        <v>63</v>
      </c>
      <c r="V5" s="645" t="s">
        <v>64</v>
      </c>
      <c r="W5" s="312"/>
    </row>
    <row r="6" spans="1:24" s="2" customFormat="1" ht="33.75" customHeight="1">
      <c r="A6" s="656"/>
      <c r="B6" s="657"/>
      <c r="C6" s="277"/>
      <c r="D6" s="648"/>
      <c r="E6" s="648"/>
      <c r="F6" s="648"/>
      <c r="G6" s="647"/>
      <c r="H6" s="663"/>
      <c r="I6" s="664"/>
      <c r="J6" s="665"/>
      <c r="K6" s="648"/>
      <c r="L6" s="646"/>
      <c r="M6" s="663"/>
      <c r="N6" s="664"/>
      <c r="O6" s="664"/>
      <c r="P6" s="665"/>
      <c r="Q6" s="646"/>
      <c r="R6" s="663"/>
      <c r="S6" s="665"/>
      <c r="T6" s="490"/>
      <c r="U6" s="646"/>
      <c r="V6" s="646"/>
      <c r="W6" s="312"/>
    </row>
    <row r="7" spans="1:24" s="2" customFormat="1" ht="25.5" customHeight="1">
      <c r="A7" s="656"/>
      <c r="B7" s="657"/>
      <c r="C7" s="277"/>
      <c r="D7" s="648" t="s">
        <v>33</v>
      </c>
      <c r="E7" s="649" t="s">
        <v>34</v>
      </c>
      <c r="F7" s="647" t="s">
        <v>35</v>
      </c>
      <c r="G7" s="647" t="s">
        <v>36</v>
      </c>
      <c r="H7" s="647" t="s">
        <v>37</v>
      </c>
      <c r="I7" s="645" t="s">
        <v>38</v>
      </c>
      <c r="J7" s="645" t="s">
        <v>39</v>
      </c>
      <c r="K7" s="648" t="s">
        <v>40</v>
      </c>
      <c r="L7" s="173" t="s">
        <v>217</v>
      </c>
      <c r="M7" s="666" t="s">
        <v>37</v>
      </c>
      <c r="N7" s="648" t="s">
        <v>41</v>
      </c>
      <c r="O7" s="645" t="s">
        <v>219</v>
      </c>
      <c r="P7" s="645" t="s">
        <v>42</v>
      </c>
      <c r="Q7" s="645" t="s">
        <v>43</v>
      </c>
      <c r="R7" s="648" t="s">
        <v>410</v>
      </c>
      <c r="S7" s="647" t="s">
        <v>66</v>
      </c>
      <c r="T7" s="491"/>
      <c r="U7" s="648" t="s">
        <v>67</v>
      </c>
      <c r="V7" s="648" t="s">
        <v>68</v>
      </c>
      <c r="W7" s="312"/>
    </row>
    <row r="8" spans="1:24" s="2" customFormat="1" ht="26.25" customHeight="1">
      <c r="A8" s="658"/>
      <c r="B8" s="659"/>
      <c r="C8" s="278"/>
      <c r="D8" s="648"/>
      <c r="E8" s="650"/>
      <c r="F8" s="647"/>
      <c r="G8" s="647"/>
      <c r="H8" s="647"/>
      <c r="I8" s="646"/>
      <c r="J8" s="646"/>
      <c r="K8" s="648"/>
      <c r="L8" s="174" t="s">
        <v>218</v>
      </c>
      <c r="M8" s="666"/>
      <c r="N8" s="648"/>
      <c r="O8" s="646"/>
      <c r="P8" s="646"/>
      <c r="Q8" s="646"/>
      <c r="R8" s="648"/>
      <c r="S8" s="647"/>
      <c r="T8" s="491"/>
      <c r="U8" s="648"/>
      <c r="V8" s="648"/>
      <c r="W8" s="313"/>
      <c r="X8" s="166"/>
    </row>
    <row r="9" spans="1:24" ht="25.5" customHeight="1">
      <c r="A9" s="3" t="s">
        <v>3</v>
      </c>
      <c r="B9" s="4"/>
      <c r="C9" s="287"/>
      <c r="D9" s="131"/>
      <c r="E9" s="267"/>
      <c r="F9" s="135"/>
      <c r="G9" s="135"/>
      <c r="H9" s="135"/>
      <c r="I9" s="131"/>
      <c r="J9" s="131"/>
      <c r="K9" s="131"/>
      <c r="L9" s="131"/>
      <c r="M9" s="135"/>
      <c r="N9" s="131"/>
      <c r="O9" s="131"/>
      <c r="P9" s="131"/>
      <c r="Q9" s="131"/>
      <c r="R9" s="217"/>
      <c r="S9" s="219"/>
      <c r="T9" s="219"/>
      <c r="U9" s="217"/>
      <c r="V9" s="217"/>
    </row>
    <row r="10" spans="1:24" ht="25.5" customHeight="1">
      <c r="A10" s="5"/>
      <c r="B10" s="130" t="s">
        <v>4</v>
      </c>
      <c r="C10" s="216">
        <v>130062</v>
      </c>
      <c r="D10" s="131">
        <f>+ม.ค.!D10+ก.พ.!D10+มี.ค.!D10</f>
        <v>34990</v>
      </c>
      <c r="E10" s="267"/>
      <c r="F10" s="135"/>
      <c r="G10" s="135"/>
      <c r="H10" s="135"/>
      <c r="I10" s="131"/>
      <c r="J10" s="131"/>
      <c r="K10" s="131"/>
      <c r="L10" s="131"/>
      <c r="M10" s="135"/>
      <c r="N10" s="131"/>
      <c r="O10" s="131"/>
      <c r="P10" s="131"/>
      <c r="Q10" s="131"/>
      <c r="R10" s="217"/>
      <c r="S10" s="219"/>
      <c r="T10" s="219"/>
      <c r="U10" s="217"/>
      <c r="V10" s="217"/>
    </row>
    <row r="11" spans="1:24" ht="25.5" customHeight="1">
      <c r="A11" s="5"/>
      <c r="B11" s="130" t="s">
        <v>221</v>
      </c>
      <c r="C11" s="216">
        <v>13680</v>
      </c>
      <c r="D11" s="131">
        <f>+ม.ค.!D11+ก.พ.!D11+มี.ค.!D11</f>
        <v>3420</v>
      </c>
      <c r="E11" s="267"/>
      <c r="F11" s="135"/>
      <c r="G11" s="135"/>
      <c r="H11" s="135"/>
      <c r="I11" s="131"/>
      <c r="J11" s="131"/>
      <c r="K11" s="131"/>
      <c r="L11" s="131"/>
      <c r="M11" s="135"/>
      <c r="N11" s="131"/>
      <c r="O11" s="131"/>
      <c r="P11" s="131"/>
      <c r="Q11" s="131"/>
      <c r="R11" s="217"/>
      <c r="S11" s="219"/>
      <c r="T11" s="219"/>
      <c r="U11" s="217"/>
      <c r="V11" s="217"/>
    </row>
    <row r="12" spans="1:24" ht="25.5" customHeight="1">
      <c r="A12" s="20"/>
      <c r="B12" s="130" t="s">
        <v>45</v>
      </c>
      <c r="C12" s="31">
        <v>6548400</v>
      </c>
      <c r="D12" s="131">
        <f>+ม.ค.!D12+ก.พ.!D12+มี.ค.!D12</f>
        <v>1591700</v>
      </c>
      <c r="E12" s="267"/>
      <c r="F12" s="135"/>
      <c r="G12" s="135"/>
      <c r="H12" s="135"/>
      <c r="I12" s="131"/>
      <c r="J12" s="131"/>
      <c r="K12" s="131"/>
      <c r="L12" s="131"/>
      <c r="M12" s="135"/>
      <c r="N12" s="131"/>
      <c r="O12" s="131"/>
      <c r="P12" s="131"/>
      <c r="Q12" s="131"/>
      <c r="R12" s="217"/>
      <c r="S12" s="219"/>
      <c r="T12" s="219"/>
      <c r="U12" s="217"/>
      <c r="V12" s="217"/>
    </row>
    <row r="13" spans="1:24" ht="25.5" customHeight="1">
      <c r="A13" s="8"/>
      <c r="B13" s="130" t="s">
        <v>75</v>
      </c>
      <c r="C13" s="216">
        <v>18000</v>
      </c>
      <c r="D13" s="131">
        <f>+ม.ค.!D13+ก.พ.!D13+มี.ค.!D13</f>
        <v>4500</v>
      </c>
      <c r="E13" s="267"/>
      <c r="F13" s="135"/>
      <c r="G13" s="135"/>
      <c r="H13" s="135"/>
      <c r="I13" s="131"/>
      <c r="J13" s="131"/>
      <c r="K13" s="131"/>
      <c r="L13" s="131"/>
      <c r="M13" s="135"/>
      <c r="N13" s="131"/>
      <c r="O13" s="131"/>
      <c r="P13" s="131"/>
      <c r="Q13" s="131"/>
      <c r="R13" s="217"/>
      <c r="S13" s="219"/>
      <c r="T13" s="219"/>
      <c r="U13" s="217"/>
      <c r="V13" s="217"/>
    </row>
    <row r="14" spans="1:24" ht="25.5" customHeight="1">
      <c r="A14" s="8"/>
      <c r="B14" s="130" t="s">
        <v>222</v>
      </c>
      <c r="C14" s="216">
        <v>2620800</v>
      </c>
      <c r="D14" s="131">
        <f>+ม.ค.!D14+ก.พ.!D14+มี.ค.!D14</f>
        <v>595200</v>
      </c>
      <c r="E14" s="267"/>
      <c r="F14" s="135"/>
      <c r="G14" s="135"/>
      <c r="H14" s="135"/>
      <c r="I14" s="131"/>
      <c r="J14" s="131"/>
      <c r="K14" s="131"/>
      <c r="L14" s="131"/>
      <c r="M14" s="135"/>
      <c r="N14" s="131"/>
      <c r="O14" s="131"/>
      <c r="P14" s="131"/>
      <c r="Q14" s="131"/>
      <c r="R14" s="217"/>
      <c r="S14" s="219"/>
      <c r="T14" s="219"/>
      <c r="U14" s="217"/>
      <c r="V14" s="217"/>
    </row>
    <row r="15" spans="1:24" ht="25.5" customHeight="1">
      <c r="A15" s="9"/>
      <c r="B15" s="130" t="s">
        <v>209</v>
      </c>
      <c r="C15" s="216">
        <v>151291</v>
      </c>
      <c r="D15" s="131">
        <f>+ม.ค.!D15+ก.พ.!D15+มี.ค.!D15</f>
        <v>150410</v>
      </c>
      <c r="E15" s="267"/>
      <c r="F15" s="135"/>
      <c r="G15" s="135"/>
      <c r="H15" s="135"/>
      <c r="I15" s="131"/>
      <c r="J15" s="131"/>
      <c r="K15" s="131"/>
      <c r="L15" s="131"/>
      <c r="M15" s="135"/>
      <c r="N15" s="131"/>
      <c r="O15" s="131"/>
      <c r="P15" s="131"/>
      <c r="Q15" s="131"/>
      <c r="R15" s="217"/>
      <c r="S15" s="219"/>
      <c r="T15" s="219"/>
      <c r="U15" s="217"/>
      <c r="V15" s="217"/>
    </row>
    <row r="16" spans="1:24" ht="25.5" customHeight="1">
      <c r="A16" s="9"/>
      <c r="B16" s="130" t="s">
        <v>77</v>
      </c>
      <c r="C16" s="216">
        <v>29000</v>
      </c>
      <c r="D16" s="131">
        <f>+ม.ค.!D16+ก.พ.!D16+มี.ค.!D16</f>
        <v>0</v>
      </c>
      <c r="E16" s="267"/>
      <c r="F16" s="135"/>
      <c r="G16" s="135"/>
      <c r="H16" s="135"/>
      <c r="I16" s="131"/>
      <c r="J16" s="131"/>
      <c r="K16" s="131"/>
      <c r="L16" s="131"/>
      <c r="M16" s="135"/>
      <c r="N16" s="131"/>
      <c r="O16" s="131"/>
      <c r="P16" s="131"/>
      <c r="Q16" s="131"/>
      <c r="R16" s="217"/>
      <c r="S16" s="219"/>
      <c r="T16" s="219"/>
      <c r="U16" s="217"/>
      <c r="V16" s="217"/>
    </row>
    <row r="17" spans="1:23" ht="25.5" customHeight="1">
      <c r="A17" s="9"/>
      <c r="B17" s="130" t="s">
        <v>78</v>
      </c>
      <c r="C17" s="216">
        <v>216399</v>
      </c>
      <c r="D17" s="131">
        <f>+ม.ค.!D17+ก.พ.!D17+มี.ค.!D17</f>
        <v>0</v>
      </c>
      <c r="E17" s="267"/>
      <c r="F17" s="135"/>
      <c r="G17" s="135"/>
      <c r="H17" s="135"/>
      <c r="I17" s="131"/>
      <c r="J17" s="131"/>
      <c r="K17" s="131"/>
      <c r="L17" s="131"/>
      <c r="M17" s="135"/>
      <c r="N17" s="131"/>
      <c r="O17" s="131"/>
      <c r="P17" s="131"/>
      <c r="Q17" s="131"/>
      <c r="R17" s="217"/>
      <c r="S17" s="219"/>
      <c r="T17" s="219"/>
      <c r="U17" s="217"/>
      <c r="V17" s="217"/>
    </row>
    <row r="18" spans="1:23" ht="25.5" customHeight="1">
      <c r="A18" s="9"/>
      <c r="B18" s="6" t="s">
        <v>220</v>
      </c>
      <c r="C18" s="285">
        <v>15000</v>
      </c>
      <c r="D18" s="131">
        <f>+ม.ค.!D18+ก.พ.!D18+มี.ค.!D18</f>
        <v>0</v>
      </c>
      <c r="E18" s="267"/>
      <c r="F18" s="135"/>
      <c r="G18" s="135"/>
      <c r="H18" s="135"/>
      <c r="I18" s="131"/>
      <c r="J18" s="131"/>
      <c r="K18" s="131"/>
      <c r="L18" s="131"/>
      <c r="M18" s="135"/>
      <c r="N18" s="131"/>
      <c r="O18" s="131"/>
      <c r="P18" s="131"/>
      <c r="Q18" s="131"/>
      <c r="R18" s="217"/>
      <c r="S18" s="219"/>
      <c r="T18" s="219"/>
      <c r="U18" s="217"/>
      <c r="V18" s="217"/>
    </row>
    <row r="19" spans="1:23" ht="25.5" customHeight="1">
      <c r="A19" s="9"/>
      <c r="B19" s="12" t="s">
        <v>81</v>
      </c>
      <c r="C19" s="285">
        <v>344150</v>
      </c>
      <c r="D19" s="131">
        <f>+ม.ค.!D19+ก.พ.!D19+มี.ค.!D19</f>
        <v>0</v>
      </c>
      <c r="E19" s="267"/>
      <c r="F19" s="135"/>
      <c r="G19" s="135"/>
      <c r="H19" s="135"/>
      <c r="I19" s="131"/>
      <c r="J19" s="131"/>
      <c r="K19" s="131"/>
      <c r="L19" s="131"/>
      <c r="M19" s="135"/>
      <c r="N19" s="131"/>
      <c r="O19" s="131"/>
      <c r="P19" s="131"/>
      <c r="Q19" s="131"/>
      <c r="R19" s="217"/>
      <c r="S19" s="219"/>
      <c r="T19" s="219"/>
      <c r="U19" s="217"/>
      <c r="V19" s="217"/>
    </row>
    <row r="20" spans="1:23" ht="25.5" customHeight="1">
      <c r="A20" s="9"/>
      <c r="B20" s="6"/>
      <c r="C20" s="290"/>
      <c r="D20" s="195"/>
      <c r="E20" s="270"/>
      <c r="F20" s="196"/>
      <c r="G20" s="196"/>
      <c r="H20" s="196"/>
      <c r="I20" s="195"/>
      <c r="J20" s="195"/>
      <c r="K20" s="195"/>
      <c r="L20" s="195"/>
      <c r="M20" s="196"/>
      <c r="N20" s="195"/>
      <c r="O20" s="195"/>
      <c r="P20" s="195"/>
      <c r="Q20" s="195"/>
      <c r="R20" s="218"/>
      <c r="S20" s="220"/>
      <c r="T20" s="220"/>
      <c r="U20" s="218"/>
      <c r="V20" s="218"/>
    </row>
    <row r="21" spans="1:23" ht="25.5" customHeight="1" thickBot="1">
      <c r="A21" s="13"/>
      <c r="B21" s="14" t="s">
        <v>5</v>
      </c>
      <c r="C21" s="170">
        <f>SUM(C10:C19)</f>
        <v>10086782</v>
      </c>
      <c r="D21" s="132">
        <f>SUM(D10:D19)</f>
        <v>2380220</v>
      </c>
      <c r="E21" s="268">
        <f t="shared" ref="E21:V21" si="0">SUM(E10:E19)</f>
        <v>0</v>
      </c>
      <c r="F21" s="137">
        <f t="shared" si="0"/>
        <v>0</v>
      </c>
      <c r="G21" s="137">
        <f t="shared" si="0"/>
        <v>0</v>
      </c>
      <c r="H21" s="137">
        <f t="shared" si="0"/>
        <v>0</v>
      </c>
      <c r="I21" s="132">
        <f t="shared" si="0"/>
        <v>0</v>
      </c>
      <c r="J21" s="132">
        <f t="shared" si="0"/>
        <v>0</v>
      </c>
      <c r="K21" s="132">
        <f t="shared" si="0"/>
        <v>0</v>
      </c>
      <c r="L21" s="132">
        <f t="shared" si="0"/>
        <v>0</v>
      </c>
      <c r="M21" s="137">
        <f t="shared" si="0"/>
        <v>0</v>
      </c>
      <c r="N21" s="132">
        <f t="shared" si="0"/>
        <v>0</v>
      </c>
      <c r="O21" s="132">
        <f t="shared" si="0"/>
        <v>0</v>
      </c>
      <c r="P21" s="132">
        <f t="shared" si="0"/>
        <v>0</v>
      </c>
      <c r="Q21" s="132">
        <f t="shared" si="0"/>
        <v>0</v>
      </c>
      <c r="R21" s="132">
        <f t="shared" si="0"/>
        <v>0</v>
      </c>
      <c r="S21" s="132">
        <f t="shared" si="0"/>
        <v>0</v>
      </c>
      <c r="T21" s="132"/>
      <c r="U21" s="132">
        <f t="shared" si="0"/>
        <v>0</v>
      </c>
      <c r="V21" s="132">
        <f t="shared" si="0"/>
        <v>0</v>
      </c>
      <c r="W21" s="314">
        <f>SUM(D21:V21)</f>
        <v>2380220</v>
      </c>
    </row>
    <row r="22" spans="1:23" ht="25.5" customHeight="1" thickTop="1">
      <c r="A22" s="5" t="s">
        <v>82</v>
      </c>
      <c r="B22" s="6"/>
      <c r="C22" s="190"/>
      <c r="D22" s="133"/>
      <c r="E22" s="269"/>
      <c r="F22" s="136"/>
      <c r="G22" s="136"/>
      <c r="H22" s="136"/>
      <c r="I22" s="133"/>
      <c r="J22" s="133"/>
      <c r="K22" s="133"/>
      <c r="L22" s="133"/>
      <c r="M22" s="136"/>
      <c r="N22" s="133"/>
      <c r="O22" s="133"/>
      <c r="P22" s="133"/>
      <c r="Q22" s="133"/>
      <c r="R22" s="217"/>
      <c r="S22" s="219"/>
      <c r="T22" s="259"/>
      <c r="U22" s="258"/>
      <c r="V22" s="258"/>
    </row>
    <row r="23" spans="1:23" ht="25.5" customHeight="1">
      <c r="A23" s="9"/>
      <c r="B23" s="130" t="s">
        <v>6</v>
      </c>
      <c r="C23" s="216">
        <v>695520</v>
      </c>
      <c r="D23" s="131"/>
      <c r="E23" s="267">
        <f>+ม.ค.!E23+ก.พ.!E23+มี.ค.!E23</f>
        <v>173880</v>
      </c>
      <c r="F23" s="135"/>
      <c r="G23" s="135"/>
      <c r="H23" s="135"/>
      <c r="I23" s="131"/>
      <c r="J23" s="131"/>
      <c r="K23" s="131"/>
      <c r="L23" s="131"/>
      <c r="M23" s="135"/>
      <c r="N23" s="131"/>
      <c r="O23" s="131"/>
      <c r="P23" s="131"/>
      <c r="Q23" s="131"/>
      <c r="R23" s="217"/>
      <c r="S23" s="219"/>
      <c r="T23" s="219"/>
      <c r="U23" s="217"/>
      <c r="V23" s="217"/>
    </row>
    <row r="24" spans="1:23" ht="25.5" customHeight="1">
      <c r="A24" s="9"/>
      <c r="B24" s="130" t="s">
        <v>83</v>
      </c>
      <c r="C24" s="216">
        <v>120000</v>
      </c>
      <c r="D24" s="131"/>
      <c r="E24" s="267">
        <f>+ม.ค.!E24+ก.พ.!E24+มี.ค.!E24</f>
        <v>30000</v>
      </c>
      <c r="F24" s="135"/>
      <c r="G24" s="135"/>
      <c r="H24" s="135"/>
      <c r="I24" s="131"/>
      <c r="J24" s="131"/>
      <c r="K24" s="131"/>
      <c r="L24" s="131"/>
      <c r="M24" s="135"/>
      <c r="N24" s="131"/>
      <c r="O24" s="131"/>
      <c r="P24" s="131"/>
      <c r="Q24" s="131"/>
      <c r="R24" s="217"/>
      <c r="S24" s="219"/>
      <c r="T24" s="219"/>
      <c r="U24" s="217"/>
      <c r="V24" s="217"/>
    </row>
    <row r="25" spans="1:23" ht="25.5" customHeight="1">
      <c r="A25" s="9"/>
      <c r="B25" s="130" t="s">
        <v>84</v>
      </c>
      <c r="C25" s="216">
        <v>120000</v>
      </c>
      <c r="D25" s="131"/>
      <c r="E25" s="267">
        <f>+ม.ค.!E25+ก.พ.!E25+มี.ค.!E25</f>
        <v>30000</v>
      </c>
      <c r="F25" s="135"/>
      <c r="G25" s="135"/>
      <c r="H25" s="135"/>
      <c r="I25" s="131"/>
      <c r="J25" s="131"/>
      <c r="K25" s="131"/>
      <c r="L25" s="131"/>
      <c r="M25" s="135"/>
      <c r="N25" s="131"/>
      <c r="O25" s="131"/>
      <c r="P25" s="131"/>
      <c r="Q25" s="131"/>
      <c r="R25" s="217"/>
      <c r="S25" s="219"/>
      <c r="T25" s="219"/>
      <c r="U25" s="217"/>
      <c r="V25" s="217"/>
    </row>
    <row r="26" spans="1:23" ht="25.5" customHeight="1">
      <c r="A26" s="9"/>
      <c r="B26" s="130" t="s">
        <v>85</v>
      </c>
      <c r="C26" s="216">
        <v>198720</v>
      </c>
      <c r="D26" s="131"/>
      <c r="E26" s="267">
        <f>+ม.ค.!E26+ก.พ.!E26+มี.ค.!E26</f>
        <v>49680</v>
      </c>
      <c r="F26" s="135"/>
      <c r="G26" s="135"/>
      <c r="H26" s="135"/>
      <c r="I26" s="131"/>
      <c r="J26" s="131"/>
      <c r="K26" s="131"/>
      <c r="L26" s="131"/>
      <c r="M26" s="135"/>
      <c r="N26" s="131"/>
      <c r="O26" s="131"/>
      <c r="P26" s="131"/>
      <c r="Q26" s="131"/>
      <c r="R26" s="217"/>
      <c r="S26" s="219"/>
      <c r="T26" s="219"/>
      <c r="U26" s="217"/>
      <c r="V26" s="217"/>
    </row>
    <row r="27" spans="1:23" ht="25.5" customHeight="1">
      <c r="A27" s="9"/>
      <c r="B27" s="6" t="s">
        <v>270</v>
      </c>
      <c r="C27" s="216">
        <f>1283280-10000-14000</f>
        <v>1259280</v>
      </c>
      <c r="D27" s="131"/>
      <c r="E27" s="267">
        <f>+ม.ค.!E27+ก.พ.!E27+มี.ค.!E27</f>
        <v>314640</v>
      </c>
      <c r="F27" s="135"/>
      <c r="G27" s="135"/>
      <c r="H27" s="135"/>
      <c r="I27" s="131"/>
      <c r="J27" s="131"/>
      <c r="K27" s="131"/>
      <c r="L27" s="131"/>
      <c r="M27" s="135"/>
      <c r="N27" s="131"/>
      <c r="O27" s="131"/>
      <c r="P27" s="131"/>
      <c r="Q27" s="131"/>
      <c r="R27" s="217"/>
      <c r="S27" s="219"/>
      <c r="T27" s="219"/>
      <c r="U27" s="217"/>
      <c r="V27" s="217"/>
    </row>
    <row r="28" spans="1:23" ht="25.5" customHeight="1" thickBot="1">
      <c r="A28" s="15"/>
      <c r="B28" s="14" t="s">
        <v>5</v>
      </c>
      <c r="C28" s="170">
        <f>SUM(C23:C27)</f>
        <v>2393520</v>
      </c>
      <c r="D28" s="132">
        <f>SUM(D23:D27)</f>
        <v>0</v>
      </c>
      <c r="E28" s="268">
        <f>SUM(E23:E27)</f>
        <v>598200</v>
      </c>
      <c r="F28" s="137">
        <f t="shared" ref="F28:S28" si="1">SUM(F23:F27)</f>
        <v>0</v>
      </c>
      <c r="G28" s="137">
        <f t="shared" si="1"/>
        <v>0</v>
      </c>
      <c r="H28" s="137">
        <f t="shared" si="1"/>
        <v>0</v>
      </c>
      <c r="I28" s="132">
        <f t="shared" si="1"/>
        <v>0</v>
      </c>
      <c r="J28" s="132">
        <f t="shared" si="1"/>
        <v>0</v>
      </c>
      <c r="K28" s="132">
        <f t="shared" si="1"/>
        <v>0</v>
      </c>
      <c r="L28" s="132">
        <f t="shared" si="1"/>
        <v>0</v>
      </c>
      <c r="M28" s="137">
        <f t="shared" si="1"/>
        <v>0</v>
      </c>
      <c r="N28" s="137">
        <f t="shared" si="1"/>
        <v>0</v>
      </c>
      <c r="O28" s="137">
        <f t="shared" si="1"/>
        <v>0</v>
      </c>
      <c r="P28" s="137">
        <f t="shared" si="1"/>
        <v>0</v>
      </c>
      <c r="Q28" s="137">
        <f t="shared" si="1"/>
        <v>0</v>
      </c>
      <c r="R28" s="137">
        <f t="shared" si="1"/>
        <v>0</v>
      </c>
      <c r="S28" s="137">
        <f t="shared" si="1"/>
        <v>0</v>
      </c>
      <c r="T28" s="137"/>
      <c r="U28" s="137">
        <f>SUM(U23:U27)</f>
        <v>0</v>
      </c>
      <c r="V28" s="137">
        <f>SUM(V23:V27)</f>
        <v>0</v>
      </c>
      <c r="W28" s="314">
        <f>SUM(D28:V28)</f>
        <v>598200</v>
      </c>
    </row>
    <row r="29" spans="1:23" ht="25.5" customHeight="1" thickTop="1">
      <c r="A29" s="5" t="s">
        <v>87</v>
      </c>
      <c r="B29" s="6"/>
      <c r="C29" s="190"/>
      <c r="D29" s="133"/>
      <c r="E29" s="269"/>
      <c r="F29" s="136"/>
      <c r="G29" s="136"/>
      <c r="H29" s="136"/>
      <c r="I29" s="133"/>
      <c r="J29" s="133"/>
      <c r="K29" s="133"/>
      <c r="L29" s="133"/>
      <c r="M29" s="136"/>
      <c r="N29" s="133"/>
      <c r="O29" s="133"/>
      <c r="P29" s="133"/>
      <c r="Q29" s="133"/>
      <c r="R29" s="217"/>
      <c r="S29" s="219"/>
      <c r="T29" s="259"/>
      <c r="U29" s="258"/>
      <c r="V29" s="258"/>
    </row>
    <row r="30" spans="1:23" ht="25.5" customHeight="1">
      <c r="A30" s="20"/>
      <c r="B30" s="130" t="s">
        <v>7</v>
      </c>
      <c r="C30" s="32">
        <f>3188820+1300000+884640+1648500-100000-22000-19000-60000-184500-25100-50000-100000-20000</f>
        <v>6441360</v>
      </c>
      <c r="D30" s="133"/>
      <c r="E30" s="269">
        <f>+ม.ค.!E30+ก.พ.!E30+มี.ค.!E30</f>
        <v>634309</v>
      </c>
      <c r="F30" s="269">
        <f>+ม.ค.!F30+ก.พ.!F30+มี.ค.!F30</f>
        <v>228510</v>
      </c>
      <c r="G30" s="269">
        <f>+ม.ค.!G30+ก.พ.!G30+มี.ค.!G30</f>
        <v>0</v>
      </c>
      <c r="H30" s="269">
        <f>+ม.ค.!H30+ก.พ.!H30+มี.ค.!H30</f>
        <v>218400</v>
      </c>
      <c r="I30" s="269">
        <f>+ม.ค.!I30+ก.พ.!I30+มี.ค.!I30</f>
        <v>0</v>
      </c>
      <c r="J30" s="269">
        <f>+ม.ค.!J30+ก.พ.!J30+มี.ค.!J30</f>
        <v>0</v>
      </c>
      <c r="K30" s="269">
        <f>+ม.ค.!K30+ก.พ.!K30+มี.ค.!K30</f>
        <v>0</v>
      </c>
      <c r="L30" s="269">
        <f>+ม.ค.!L30+ก.พ.!L30+มี.ค.!L30</f>
        <v>0</v>
      </c>
      <c r="M30" s="269">
        <f>+ม.ค.!M30+ก.พ.!M30+มี.ค.!M30</f>
        <v>323970</v>
      </c>
      <c r="N30" s="269"/>
      <c r="O30" s="269"/>
      <c r="P30" s="269"/>
      <c r="Q30" s="269"/>
      <c r="R30" s="269"/>
      <c r="S30" s="269"/>
      <c r="T30" s="269"/>
      <c r="U30" s="269"/>
      <c r="V30" s="269"/>
    </row>
    <row r="31" spans="1:23" ht="25.5" customHeight="1">
      <c r="A31" s="20"/>
      <c r="B31" s="130" t="s">
        <v>239</v>
      </c>
      <c r="C31" s="32">
        <v>1899600</v>
      </c>
      <c r="D31" s="133"/>
      <c r="E31" s="269">
        <f>+ม.ค.!E31+ก.พ.!E31+มี.ค.!E31</f>
        <v>0</v>
      </c>
      <c r="F31" s="269">
        <f>+ม.ค.!F31+ก.พ.!F31+มี.ค.!F31</f>
        <v>0</v>
      </c>
      <c r="G31" s="269">
        <f>+ม.ค.!G31+ก.พ.!G31+มี.ค.!G31</f>
        <v>0</v>
      </c>
      <c r="H31" s="269">
        <f>+ม.ค.!H31+ก.พ.!H31+มี.ค.!H31</f>
        <v>462780</v>
      </c>
      <c r="I31" s="269">
        <f>+ม.ค.!I31+ก.พ.!I31+มี.ค.!I31</f>
        <v>0</v>
      </c>
      <c r="J31" s="269">
        <f>+ม.ค.!J31+ก.พ.!J31+มี.ค.!J31</f>
        <v>0</v>
      </c>
      <c r="K31" s="269">
        <f>+ม.ค.!K31+ก.พ.!K31+มี.ค.!K31</f>
        <v>0</v>
      </c>
      <c r="L31" s="269">
        <f>+ม.ค.!L31+ก.พ.!L31+มี.ค.!L31</f>
        <v>0</v>
      </c>
      <c r="M31" s="269">
        <f>+ม.ค.!M31+ก.พ.!M31+มี.ค.!M31</f>
        <v>0</v>
      </c>
      <c r="N31" s="269"/>
      <c r="O31" s="269"/>
      <c r="P31" s="269"/>
      <c r="Q31" s="269"/>
      <c r="R31" s="269"/>
      <c r="S31" s="269"/>
      <c r="T31" s="269"/>
      <c r="U31" s="269"/>
      <c r="V31" s="269"/>
    </row>
    <row r="32" spans="1:23" ht="25.5" customHeight="1">
      <c r="A32" s="20"/>
      <c r="B32" s="130" t="s">
        <v>47</v>
      </c>
      <c r="C32" s="32">
        <v>10580</v>
      </c>
      <c r="D32" s="133"/>
      <c r="E32" s="269">
        <f>+ม.ค.!E32+ก.พ.!E32+มี.ค.!E32</f>
        <v>1320</v>
      </c>
      <c r="F32" s="269">
        <f>+ม.ค.!F32+ก.พ.!F32+มี.ค.!F32</f>
        <v>0</v>
      </c>
      <c r="G32" s="269">
        <f>+ม.ค.!G32+ก.พ.!G32+มี.ค.!G32</f>
        <v>0</v>
      </c>
      <c r="H32" s="269">
        <f>+ม.ค.!H32+ก.พ.!H32+มี.ค.!H32</f>
        <v>0</v>
      </c>
      <c r="I32" s="269">
        <f>+ม.ค.!I32+ก.พ.!I32+มี.ค.!I32</f>
        <v>0</v>
      </c>
      <c r="J32" s="269">
        <f>+ม.ค.!J32+ก.พ.!J32+มี.ค.!J32</f>
        <v>0</v>
      </c>
      <c r="K32" s="269">
        <f>+ม.ค.!K32+ก.พ.!K32+มี.ค.!K32</f>
        <v>0</v>
      </c>
      <c r="L32" s="269">
        <f>+ม.ค.!L32+ก.พ.!L32+มี.ค.!L32</f>
        <v>0</v>
      </c>
      <c r="M32" s="269">
        <f>+ม.ค.!M32+ก.พ.!M32+มี.ค.!M32</f>
        <v>0</v>
      </c>
      <c r="N32" s="269"/>
      <c r="O32" s="269"/>
      <c r="P32" s="269"/>
      <c r="Q32" s="269"/>
      <c r="R32" s="269"/>
      <c r="S32" s="269"/>
      <c r="T32" s="269"/>
      <c r="U32" s="269"/>
      <c r="V32" s="269"/>
    </row>
    <row r="33" spans="1:23" ht="25.5" customHeight="1">
      <c r="A33" s="20"/>
      <c r="B33" s="130" t="s">
        <v>8</v>
      </c>
      <c r="C33" s="32">
        <f>132000+42000+42000+42000-3000-1000-10000</f>
        <v>244000</v>
      </c>
      <c r="D33" s="133"/>
      <c r="E33" s="269">
        <f>+ม.ค.!E33+ก.พ.!E33+มี.ค.!E33</f>
        <v>33000</v>
      </c>
      <c r="F33" s="269">
        <f>+ม.ค.!F33+ก.พ.!F33+มี.ค.!F33</f>
        <v>0</v>
      </c>
      <c r="G33" s="269">
        <f>+ม.ค.!G33+ก.พ.!G33+มี.ค.!G33</f>
        <v>0</v>
      </c>
      <c r="H33" s="269">
        <f>+ม.ค.!H33+ก.พ.!H33+มี.ค.!H33</f>
        <v>10500</v>
      </c>
      <c r="I33" s="269">
        <f>+ม.ค.!I33+ก.พ.!I33+มี.ค.!I33</f>
        <v>0</v>
      </c>
      <c r="J33" s="269">
        <f>+ม.ค.!J33+ก.พ.!J33+มี.ค.!J33</f>
        <v>0</v>
      </c>
      <c r="K33" s="269">
        <f>+ม.ค.!K33+ก.พ.!K33+มี.ค.!K33</f>
        <v>0</v>
      </c>
      <c r="L33" s="269">
        <f>+ม.ค.!L33+ก.พ.!L33+มี.ค.!L33</f>
        <v>0</v>
      </c>
      <c r="M33" s="269">
        <f>+ม.ค.!M33+ก.พ.!M33+มี.ค.!M33</f>
        <v>10500</v>
      </c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3" ht="25.5" customHeight="1">
      <c r="A34" s="9"/>
      <c r="B34" s="130" t="s">
        <v>186</v>
      </c>
      <c r="C34" s="31">
        <f>787000+589000+559480+350880+100000+184500+153000</f>
        <v>2723860</v>
      </c>
      <c r="D34" s="131"/>
      <c r="E34" s="269">
        <f>+ม.ค.!E34+ก.พ.!E34+มี.ค.!E34</f>
        <v>254667</v>
      </c>
      <c r="F34" s="269">
        <f>+ม.ค.!F34+ก.พ.!F34+มี.ค.!F34</f>
        <v>169293</v>
      </c>
      <c r="G34" s="269">
        <f>+ม.ค.!G34+ก.พ.!G34+มี.ค.!G34</f>
        <v>0</v>
      </c>
      <c r="H34" s="269">
        <f>+ม.ค.!H34+ก.พ.!H34+มี.ค.!H34</f>
        <v>193568</v>
      </c>
      <c r="I34" s="269">
        <f>+ม.ค.!I34+ก.พ.!I34+มี.ค.!I34</f>
        <v>0</v>
      </c>
      <c r="J34" s="269">
        <f>+ม.ค.!J34+ก.พ.!J34+มี.ค.!J34</f>
        <v>0</v>
      </c>
      <c r="K34" s="269">
        <f>+ม.ค.!K34+ก.พ.!K34+มี.ค.!K34</f>
        <v>0</v>
      </c>
      <c r="L34" s="269">
        <f>+ม.ค.!L34+ก.พ.!L34+มี.ค.!L34</f>
        <v>0</v>
      </c>
      <c r="M34" s="269">
        <f>+ม.ค.!M34+ก.พ.!M34+มี.ค.!M34</f>
        <v>58480</v>
      </c>
      <c r="N34" s="269"/>
      <c r="O34" s="269"/>
      <c r="P34" s="269"/>
      <c r="Q34" s="269"/>
      <c r="R34" s="269"/>
      <c r="S34" s="269"/>
      <c r="T34" s="269"/>
      <c r="U34" s="269"/>
      <c r="V34" s="269"/>
      <c r="W34" s="315"/>
    </row>
    <row r="35" spans="1:23" ht="25.5" customHeight="1">
      <c r="A35" s="9"/>
      <c r="B35" s="130" t="s">
        <v>269</v>
      </c>
      <c r="C35" s="288">
        <v>225600</v>
      </c>
      <c r="D35" s="131"/>
      <c r="E35" s="269">
        <f>+ม.ค.!E35+ก.พ.!E35+มี.ค.!E35</f>
        <v>0</v>
      </c>
      <c r="F35" s="269">
        <f>+ม.ค.!F35+ก.พ.!F35+มี.ค.!F35</f>
        <v>0</v>
      </c>
      <c r="G35" s="269">
        <f>+ม.ค.!G35+ก.พ.!G35+มี.ค.!G35</f>
        <v>0</v>
      </c>
      <c r="H35" s="269">
        <f>+ม.ค.!H35+ก.พ.!H35+มี.ค.!H35</f>
        <v>62910</v>
      </c>
      <c r="I35" s="269">
        <f>+ม.ค.!I35+ก.พ.!I35+มี.ค.!I35</f>
        <v>0</v>
      </c>
      <c r="J35" s="269">
        <f>+ม.ค.!J35+ก.พ.!J35+มี.ค.!J35</f>
        <v>0</v>
      </c>
      <c r="K35" s="269">
        <f>+ม.ค.!K35+ก.พ.!K35+มี.ค.!K35</f>
        <v>0</v>
      </c>
      <c r="L35" s="269">
        <f>+ม.ค.!L35+ก.พ.!L35+มี.ค.!L35</f>
        <v>0</v>
      </c>
      <c r="M35" s="269">
        <f>+ม.ค.!M35+ก.พ.!M35+มี.ค.!M35</f>
        <v>0</v>
      </c>
      <c r="N35" s="269"/>
      <c r="O35" s="269"/>
      <c r="P35" s="269"/>
      <c r="Q35" s="269"/>
      <c r="R35" s="269"/>
      <c r="S35" s="269"/>
      <c r="T35" s="269"/>
      <c r="U35" s="269"/>
      <c r="V35" s="269"/>
      <c r="W35" s="315"/>
    </row>
    <row r="36" spans="1:23" ht="25.5" customHeight="1">
      <c r="A36" s="9"/>
      <c r="B36" s="130" t="s">
        <v>91</v>
      </c>
      <c r="C36" s="288">
        <f>76000+72000+84000+22000+25100+11000</f>
        <v>290100</v>
      </c>
      <c r="D36" s="131"/>
      <c r="E36" s="269">
        <f>+ม.ค.!E36+ก.พ.!E36+มี.ค.!E36</f>
        <v>27299</v>
      </c>
      <c r="F36" s="269">
        <f>+ม.ค.!F36+ก.พ.!F36+มี.ค.!F36</f>
        <v>18466</v>
      </c>
      <c r="G36" s="269">
        <f>+ม.ค.!G36+ก.พ.!G36+มี.ค.!G36</f>
        <v>0</v>
      </c>
      <c r="H36" s="269">
        <f>+ม.ค.!H36+ก.พ.!H36+มี.ค.!H36</f>
        <v>25370</v>
      </c>
      <c r="I36" s="269">
        <f>+ม.ค.!I36+ก.พ.!I36+มี.ค.!I36</f>
        <v>0</v>
      </c>
      <c r="J36" s="269">
        <f>+ม.ค.!J36+ก.พ.!J36+มี.ค.!J36</f>
        <v>0</v>
      </c>
      <c r="K36" s="269">
        <f>+ม.ค.!K36+ก.พ.!K36+มี.ค.!K36</f>
        <v>0</v>
      </c>
      <c r="L36" s="269">
        <f>+ม.ค.!L36+ก.พ.!L36+มี.ค.!L36</f>
        <v>0</v>
      </c>
      <c r="M36" s="269">
        <f>+ม.ค.!M36+ก.พ.!M36+มี.ค.!M36</f>
        <v>29240</v>
      </c>
      <c r="N36" s="269"/>
      <c r="O36" s="269"/>
      <c r="P36" s="269"/>
      <c r="Q36" s="269"/>
      <c r="R36" s="269"/>
      <c r="S36" s="269"/>
      <c r="T36" s="269"/>
      <c r="U36" s="269"/>
      <c r="V36" s="269"/>
      <c r="W36" s="315"/>
    </row>
    <row r="37" spans="1:23" ht="25.5" customHeight="1">
      <c r="A37" s="227"/>
      <c r="B37" s="228" t="s">
        <v>240</v>
      </c>
      <c r="C37" s="288">
        <v>48000</v>
      </c>
      <c r="D37" s="195"/>
      <c r="E37" s="269">
        <f>+ม.ค.!E37+ก.พ.!E37+มี.ค.!E37</f>
        <v>0</v>
      </c>
      <c r="F37" s="269">
        <f>+ม.ค.!F37+ก.พ.!F37+มี.ค.!F37</f>
        <v>0</v>
      </c>
      <c r="G37" s="269">
        <f>+ม.ค.!G37+ก.พ.!G37+มี.ค.!G37</f>
        <v>0</v>
      </c>
      <c r="H37" s="269">
        <f>+ม.ค.!H37+ก.พ.!H37+มี.ค.!H37</f>
        <v>5490</v>
      </c>
      <c r="I37" s="269">
        <f>+ม.ค.!I37+ก.พ.!I37+มี.ค.!I37</f>
        <v>0</v>
      </c>
      <c r="J37" s="269">
        <f>+ม.ค.!J37+ก.พ.!J37+มี.ค.!J37</f>
        <v>0</v>
      </c>
      <c r="K37" s="269">
        <f>+ม.ค.!K37+ก.พ.!K37+มี.ค.!K37</f>
        <v>0</v>
      </c>
      <c r="L37" s="269">
        <f>+ม.ค.!L37+ก.พ.!L37+มี.ค.!L37</f>
        <v>0</v>
      </c>
      <c r="M37" s="269">
        <f>+ม.ค.!M37+ก.พ.!M37+มี.ค.!M37</f>
        <v>0</v>
      </c>
      <c r="N37" s="269"/>
      <c r="O37" s="269"/>
      <c r="P37" s="269"/>
      <c r="Q37" s="269"/>
      <c r="R37" s="269"/>
      <c r="S37" s="269"/>
      <c r="T37" s="269"/>
      <c r="U37" s="269"/>
      <c r="V37" s="269"/>
      <c r="W37" s="315"/>
    </row>
    <row r="38" spans="1:23" ht="25.5" customHeight="1">
      <c r="A38" s="9"/>
      <c r="B38" s="6"/>
      <c r="C38" s="499"/>
      <c r="D38" s="195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315"/>
    </row>
    <row r="39" spans="1:23" ht="25.5" customHeight="1" thickBot="1">
      <c r="A39" s="46"/>
      <c r="B39" s="47" t="s">
        <v>5</v>
      </c>
      <c r="C39" s="289">
        <f>SUM(C30:C37)</f>
        <v>11883100</v>
      </c>
      <c r="D39" s="255">
        <f>SUM(D30:D37)</f>
        <v>0</v>
      </c>
      <c r="E39" s="254">
        <f>SUM(E30:E37)</f>
        <v>950595</v>
      </c>
      <c r="F39" s="254">
        <f>SUM(F30:F37)</f>
        <v>416269</v>
      </c>
      <c r="G39" s="254">
        <f t="shared" ref="G39:V39" si="2">SUM(G30:G37)</f>
        <v>0</v>
      </c>
      <c r="H39" s="254">
        <f>SUM(H30:H37)</f>
        <v>979018</v>
      </c>
      <c r="I39" s="255">
        <f t="shared" si="2"/>
        <v>0</v>
      </c>
      <c r="J39" s="255">
        <f t="shared" si="2"/>
        <v>0</v>
      </c>
      <c r="K39" s="255">
        <f t="shared" si="2"/>
        <v>0</v>
      </c>
      <c r="L39" s="255">
        <f t="shared" si="2"/>
        <v>0</v>
      </c>
      <c r="M39" s="254">
        <f>SUM(M30:M37)</f>
        <v>422190</v>
      </c>
      <c r="N39" s="255">
        <f t="shared" si="2"/>
        <v>0</v>
      </c>
      <c r="O39" s="255">
        <f t="shared" si="2"/>
        <v>0</v>
      </c>
      <c r="P39" s="255">
        <f t="shared" si="2"/>
        <v>0</v>
      </c>
      <c r="Q39" s="255">
        <f t="shared" si="2"/>
        <v>0</v>
      </c>
      <c r="R39" s="255">
        <f t="shared" si="2"/>
        <v>0</v>
      </c>
      <c r="S39" s="255">
        <f t="shared" si="2"/>
        <v>0</v>
      </c>
      <c r="T39" s="255"/>
      <c r="U39" s="255">
        <f t="shared" si="2"/>
        <v>0</v>
      </c>
      <c r="V39" s="255">
        <f t="shared" si="2"/>
        <v>0</v>
      </c>
      <c r="W39" s="316">
        <f>SUM(D39:V39)</f>
        <v>2768072</v>
      </c>
    </row>
    <row r="40" spans="1:23" ht="25.5" customHeight="1" thickTop="1">
      <c r="A40" s="5" t="s">
        <v>98</v>
      </c>
      <c r="B40" s="6"/>
      <c r="C40" s="190"/>
      <c r="D40" s="133"/>
      <c r="E40" s="269"/>
      <c r="F40" s="136"/>
      <c r="G40" s="136"/>
      <c r="H40" s="136"/>
      <c r="I40" s="133"/>
      <c r="J40" s="133"/>
      <c r="K40" s="133"/>
      <c r="L40" s="133"/>
      <c r="M40" s="136"/>
      <c r="N40" s="133"/>
      <c r="O40" s="133"/>
      <c r="P40" s="133"/>
      <c r="Q40" s="133"/>
      <c r="R40" s="217"/>
      <c r="S40" s="219"/>
      <c r="T40" s="259"/>
      <c r="U40" s="258"/>
      <c r="V40" s="258"/>
      <c r="W40" s="317"/>
    </row>
    <row r="41" spans="1:23" ht="25.5" customHeight="1">
      <c r="A41" s="9"/>
      <c r="B41" s="130" t="s">
        <v>93</v>
      </c>
      <c r="C41" s="216">
        <v>5000</v>
      </c>
      <c r="D41" s="133"/>
      <c r="E41" s="269">
        <f>+ม.ค.!E40+ก.พ.!E40+มี.ค.!E40</f>
        <v>0</v>
      </c>
      <c r="F41" s="269">
        <f>+ม.ค.!F40+ก.พ.!F40+มี.ค.!F40</f>
        <v>0</v>
      </c>
      <c r="G41" s="269">
        <f>+ม.ค.!G40+ก.พ.!G40+มี.ค.!G40</f>
        <v>0</v>
      </c>
      <c r="H41" s="269">
        <f>+ม.ค.!H40+ก.พ.!H40+มี.ค.!H40</f>
        <v>0</v>
      </c>
      <c r="I41" s="269">
        <f>+ม.ค.!I40+ก.พ.!I40+มี.ค.!I40</f>
        <v>0</v>
      </c>
      <c r="J41" s="269">
        <f>+ม.ค.!J40+ก.พ.!J40+มี.ค.!J40</f>
        <v>0</v>
      </c>
      <c r="K41" s="269">
        <f>+ม.ค.!K40+ก.พ.!K40+มี.ค.!K40</f>
        <v>0</v>
      </c>
      <c r="L41" s="269">
        <f>+ม.ค.!L40+ก.พ.!L40+มี.ค.!L40</f>
        <v>0</v>
      </c>
      <c r="M41" s="269">
        <f>+ม.ค.!M40+ก.พ.!M40+มี.ค.!M40</f>
        <v>0</v>
      </c>
      <c r="N41" s="269">
        <f>+ม.ค.!N40+ก.พ.!N40+มี.ค.!N40</f>
        <v>0</v>
      </c>
      <c r="O41" s="269">
        <f>+ม.ค.!O40+ก.พ.!O40+มี.ค.!O40</f>
        <v>0</v>
      </c>
      <c r="P41" s="269">
        <f>+ม.ค.!P40+ก.พ.!P40+มี.ค.!P40</f>
        <v>0</v>
      </c>
      <c r="Q41" s="269">
        <f>+ม.ค.!Q40+ก.พ.!Q40+มี.ค.!Q40</f>
        <v>0</v>
      </c>
      <c r="R41" s="269">
        <f>+ม.ค.!R40+ก.พ.!R40+มี.ค.!R40</f>
        <v>0</v>
      </c>
      <c r="S41" s="269">
        <f>+ม.ค.!S40+ก.พ.!S40+มี.ค.!S40</f>
        <v>0</v>
      </c>
      <c r="T41" s="269"/>
      <c r="U41" s="269">
        <f>+ม.ค.!U40+ก.พ.!U40+มี.ค.!U40</f>
        <v>0</v>
      </c>
      <c r="V41" s="269">
        <f>+ม.ค.!V40+ก.พ.!V40+มี.ค.!V40</f>
        <v>0</v>
      </c>
      <c r="W41" s="315"/>
    </row>
    <row r="42" spans="1:23" ht="25.5" customHeight="1">
      <c r="A42" s="9"/>
      <c r="B42" s="130" t="s">
        <v>205</v>
      </c>
      <c r="C42" s="285">
        <v>10000</v>
      </c>
      <c r="D42" s="131"/>
      <c r="E42" s="269">
        <f>+ม.ค.!E41+ก.พ.!E41+มี.ค.!E41</f>
        <v>0</v>
      </c>
      <c r="F42" s="269">
        <f>+ม.ค.!F41+ก.พ.!F41+มี.ค.!F41</f>
        <v>0</v>
      </c>
      <c r="G42" s="269">
        <f>+ม.ค.!G41+ก.พ.!G41+มี.ค.!G41</f>
        <v>0</v>
      </c>
      <c r="H42" s="269">
        <f>+ม.ค.!H41+ก.พ.!H41+มี.ค.!H41</f>
        <v>0</v>
      </c>
      <c r="I42" s="269">
        <f>+ม.ค.!I41+ก.พ.!I41+มี.ค.!I41</f>
        <v>0</v>
      </c>
      <c r="J42" s="269">
        <f>+ม.ค.!J41+ก.พ.!J41+มี.ค.!J41</f>
        <v>0</v>
      </c>
      <c r="K42" s="269">
        <f>+ม.ค.!K41+ก.พ.!K41+มี.ค.!K41</f>
        <v>0</v>
      </c>
      <c r="L42" s="269">
        <f>+ม.ค.!L41+ก.พ.!L41+มี.ค.!L41</f>
        <v>0</v>
      </c>
      <c r="M42" s="269">
        <f>+ม.ค.!M41+ก.พ.!M41+มี.ค.!M41</f>
        <v>0</v>
      </c>
      <c r="N42" s="269">
        <f>+ม.ค.!N41+ก.พ.!N41+มี.ค.!N41</f>
        <v>0</v>
      </c>
      <c r="O42" s="269">
        <f>+ม.ค.!O41+ก.พ.!O41+มี.ค.!O41</f>
        <v>0</v>
      </c>
      <c r="P42" s="269">
        <f>+ม.ค.!P41+ก.พ.!P41+มี.ค.!P41</f>
        <v>0</v>
      </c>
      <c r="Q42" s="269">
        <f>+ม.ค.!Q41+ก.พ.!Q41+มี.ค.!Q41</f>
        <v>0</v>
      </c>
      <c r="R42" s="269">
        <f>+ม.ค.!R41+ก.พ.!R41+มี.ค.!R41</f>
        <v>0</v>
      </c>
      <c r="S42" s="269">
        <f>+ม.ค.!S41+ก.พ.!S41+มี.ค.!S41</f>
        <v>0</v>
      </c>
      <c r="T42" s="269"/>
      <c r="U42" s="269">
        <f>+ม.ค.!U41+ก.พ.!U41+มี.ค.!U41</f>
        <v>0</v>
      </c>
      <c r="V42" s="269">
        <f>+ม.ค.!V41+ก.พ.!V41+มี.ค.!V41</f>
        <v>0</v>
      </c>
      <c r="W42" s="315"/>
    </row>
    <row r="43" spans="1:23" ht="25.5" customHeight="1">
      <c r="A43" s="9"/>
      <c r="B43" s="130" t="s">
        <v>94</v>
      </c>
      <c r="C43" s="285">
        <v>10000</v>
      </c>
      <c r="D43" s="131"/>
      <c r="E43" s="269">
        <f>+ม.ค.!E42+ก.พ.!E42+มี.ค.!E42</f>
        <v>0</v>
      </c>
      <c r="F43" s="269">
        <f>+ม.ค.!F42+ก.พ.!F42+มี.ค.!F42</f>
        <v>0</v>
      </c>
      <c r="G43" s="269">
        <f>+ม.ค.!G42+ก.พ.!G42+มี.ค.!G42</f>
        <v>0</v>
      </c>
      <c r="H43" s="269">
        <f>+ม.ค.!H42+ก.พ.!H42+มี.ค.!H42</f>
        <v>0</v>
      </c>
      <c r="I43" s="269">
        <f>+ม.ค.!I42+ก.พ.!I42+มี.ค.!I42</f>
        <v>0</v>
      </c>
      <c r="J43" s="269">
        <f>+ม.ค.!J42+ก.พ.!J42+มี.ค.!J42</f>
        <v>0</v>
      </c>
      <c r="K43" s="269">
        <f>+ม.ค.!K42+ก.พ.!K42+มี.ค.!K42</f>
        <v>0</v>
      </c>
      <c r="L43" s="269">
        <f>+ม.ค.!L42+ก.พ.!L42+มี.ค.!L42</f>
        <v>0</v>
      </c>
      <c r="M43" s="269">
        <f>+ม.ค.!M42+ก.พ.!M42+มี.ค.!M42</f>
        <v>0</v>
      </c>
      <c r="N43" s="269">
        <f>+ม.ค.!N42+ก.พ.!N42+มี.ค.!N42</f>
        <v>0</v>
      </c>
      <c r="O43" s="269">
        <f>+ม.ค.!O42+ก.พ.!O42+มี.ค.!O42</f>
        <v>0</v>
      </c>
      <c r="P43" s="269">
        <f>+ม.ค.!P42+ก.พ.!P42+มี.ค.!P42</f>
        <v>0</v>
      </c>
      <c r="Q43" s="269">
        <f>+ม.ค.!Q42+ก.พ.!Q42+มี.ค.!Q42</f>
        <v>0</v>
      </c>
      <c r="R43" s="269">
        <f>+ม.ค.!R42+ก.พ.!R42+มี.ค.!R42</f>
        <v>0</v>
      </c>
      <c r="S43" s="269">
        <f>+ม.ค.!S42+ก.พ.!S42+มี.ค.!S42</f>
        <v>0</v>
      </c>
      <c r="T43" s="269"/>
      <c r="U43" s="269">
        <f>+ม.ค.!U42+ก.พ.!U42+มี.ค.!U42</f>
        <v>0</v>
      </c>
      <c r="V43" s="269">
        <f>+ม.ค.!V42+ก.พ.!V42+มี.ค.!V42</f>
        <v>0</v>
      </c>
      <c r="W43" s="311"/>
    </row>
    <row r="44" spans="1:23" ht="25.5" customHeight="1">
      <c r="A44" s="9"/>
      <c r="B44" s="130" t="s">
        <v>95</v>
      </c>
      <c r="C44" s="192">
        <v>5000</v>
      </c>
      <c r="D44" s="131"/>
      <c r="E44" s="269">
        <f>+ม.ค.!E43+ก.พ.!E43+มี.ค.!E43</f>
        <v>0</v>
      </c>
      <c r="F44" s="269">
        <f>+ม.ค.!F43+ก.พ.!F43+มี.ค.!F43</f>
        <v>0</v>
      </c>
      <c r="G44" s="269">
        <f>+ม.ค.!G43+ก.พ.!G43+มี.ค.!G43</f>
        <v>0</v>
      </c>
      <c r="H44" s="269">
        <f>+ม.ค.!H43+ก.พ.!H43+มี.ค.!H43</f>
        <v>0</v>
      </c>
      <c r="I44" s="269">
        <f>+ม.ค.!I43+ก.พ.!I43+มี.ค.!I43</f>
        <v>0</v>
      </c>
      <c r="J44" s="269">
        <f>+ม.ค.!J43+ก.พ.!J43+มี.ค.!J43</f>
        <v>0</v>
      </c>
      <c r="K44" s="269">
        <f>+ม.ค.!K43+ก.พ.!K43+มี.ค.!K43</f>
        <v>0</v>
      </c>
      <c r="L44" s="269">
        <f>+ม.ค.!L43+ก.พ.!L43+มี.ค.!L43</f>
        <v>0</v>
      </c>
      <c r="M44" s="269">
        <f>+ม.ค.!M43+ก.พ.!M43+มี.ค.!M43</f>
        <v>0</v>
      </c>
      <c r="N44" s="269">
        <f>+ม.ค.!N43+ก.พ.!N43+มี.ค.!N43</f>
        <v>0</v>
      </c>
      <c r="O44" s="269">
        <f>+ม.ค.!O43+ก.พ.!O43+มี.ค.!O43</f>
        <v>0</v>
      </c>
      <c r="P44" s="269">
        <f>+ม.ค.!P43+ก.พ.!P43+มี.ค.!P43</f>
        <v>0</v>
      </c>
      <c r="Q44" s="269">
        <f>+ม.ค.!Q43+ก.พ.!Q43+มี.ค.!Q43</f>
        <v>0</v>
      </c>
      <c r="R44" s="269">
        <f>+ม.ค.!R43+ก.พ.!R43+มี.ค.!R43</f>
        <v>0</v>
      </c>
      <c r="S44" s="269">
        <f>+ม.ค.!S43+ก.พ.!S43+มี.ค.!S43</f>
        <v>0</v>
      </c>
      <c r="T44" s="269"/>
      <c r="U44" s="269">
        <f>+ม.ค.!U43+ก.พ.!U43+มี.ค.!U43</f>
        <v>0</v>
      </c>
      <c r="V44" s="269">
        <f>+ม.ค.!V43+ก.พ.!V43+มี.ค.!V43</f>
        <v>0</v>
      </c>
    </row>
    <row r="45" spans="1:23" ht="25.5" customHeight="1">
      <c r="A45" s="9"/>
      <c r="B45" s="130" t="s">
        <v>96</v>
      </c>
      <c r="C45" s="192">
        <v>5000</v>
      </c>
      <c r="D45" s="131"/>
      <c r="E45" s="269">
        <f>+ม.ค.!E44+ก.พ.!E44+มี.ค.!E44</f>
        <v>0</v>
      </c>
      <c r="F45" s="269">
        <f>+ม.ค.!F44+ก.พ.!F44+มี.ค.!F44</f>
        <v>0</v>
      </c>
      <c r="G45" s="269">
        <f>+ม.ค.!G44+ก.พ.!G44+มี.ค.!G44</f>
        <v>0</v>
      </c>
      <c r="H45" s="269">
        <f>+ม.ค.!H44+ก.พ.!H44+มี.ค.!H44</f>
        <v>0</v>
      </c>
      <c r="I45" s="269">
        <f>+ม.ค.!I44+ก.พ.!I44+มี.ค.!I44</f>
        <v>0</v>
      </c>
      <c r="J45" s="269">
        <f>+ม.ค.!J44+ก.พ.!J44+มี.ค.!J44</f>
        <v>0</v>
      </c>
      <c r="K45" s="269">
        <f>+ม.ค.!K44+ก.พ.!K44+มี.ค.!K44</f>
        <v>0</v>
      </c>
      <c r="L45" s="269">
        <f>+ม.ค.!L44+ก.พ.!L44+มี.ค.!L44</f>
        <v>0</v>
      </c>
      <c r="M45" s="269">
        <f>+ม.ค.!M44+ก.พ.!M44+มี.ค.!M44</f>
        <v>0</v>
      </c>
      <c r="N45" s="269">
        <f>+ม.ค.!N44+ก.พ.!N44+มี.ค.!N44</f>
        <v>0</v>
      </c>
      <c r="O45" s="269">
        <f>+ม.ค.!O44+ก.พ.!O44+มี.ค.!O44</f>
        <v>0</v>
      </c>
      <c r="P45" s="269">
        <f>+ม.ค.!P44+ก.พ.!P44+มี.ค.!P44</f>
        <v>0</v>
      </c>
      <c r="Q45" s="269">
        <f>+ม.ค.!Q44+ก.พ.!Q44+มี.ค.!Q44</f>
        <v>0</v>
      </c>
      <c r="R45" s="269">
        <f>+ม.ค.!R44+ก.พ.!R44+มี.ค.!R44</f>
        <v>0</v>
      </c>
      <c r="S45" s="269">
        <f>+ม.ค.!S44+ก.พ.!S44+มี.ค.!S44</f>
        <v>0</v>
      </c>
      <c r="T45" s="269"/>
      <c r="U45" s="269">
        <f>+ม.ค.!U44+ก.พ.!U44+มี.ค.!U44</f>
        <v>0</v>
      </c>
      <c r="V45" s="269">
        <f>+ม.ค.!V44+ก.พ.!V44+มี.ค.!V44</f>
        <v>0</v>
      </c>
    </row>
    <row r="46" spans="1:23" ht="25.5" customHeight="1">
      <c r="A46" s="9"/>
      <c r="B46" s="130" t="s">
        <v>10</v>
      </c>
      <c r="C46" s="216">
        <f>144000+36000+78000+78000</f>
        <v>336000</v>
      </c>
      <c r="D46" s="133"/>
      <c r="E46" s="269">
        <f>+ม.ค.!E45+ก.พ.!E45+มี.ค.!E45</f>
        <v>30000</v>
      </c>
      <c r="F46" s="269">
        <f>+ม.ค.!F45+ก.พ.!F45+มี.ค.!F45</f>
        <v>9000</v>
      </c>
      <c r="G46" s="269">
        <f>+ม.ค.!G45+ก.พ.!G45+มี.ค.!G45</f>
        <v>0</v>
      </c>
      <c r="H46" s="269">
        <f>+ม.ค.!H45+ก.พ.!H45+มี.ค.!H45</f>
        <v>19500</v>
      </c>
      <c r="I46" s="269">
        <f>+ม.ค.!I45+ก.พ.!I45+มี.ค.!I45</f>
        <v>0</v>
      </c>
      <c r="J46" s="269">
        <f>+ม.ค.!J45+ก.พ.!J45+มี.ค.!J45</f>
        <v>0</v>
      </c>
      <c r="K46" s="269">
        <f>+ม.ค.!K45+ก.พ.!K45+มี.ค.!K45</f>
        <v>0</v>
      </c>
      <c r="L46" s="269">
        <f>+ม.ค.!L45+ก.พ.!L45+มี.ค.!L45</f>
        <v>0</v>
      </c>
      <c r="M46" s="269">
        <f>+ม.ค.!M45+ก.พ.!M45+มี.ค.!M45</f>
        <v>19500</v>
      </c>
      <c r="N46" s="269">
        <f>+ม.ค.!N45+ก.พ.!N45+มี.ค.!N45</f>
        <v>0</v>
      </c>
      <c r="O46" s="269">
        <f>+ม.ค.!O45+ก.พ.!O45+มี.ค.!O45</f>
        <v>0</v>
      </c>
      <c r="P46" s="269">
        <f>+ม.ค.!P45+ก.พ.!P45+มี.ค.!P45</f>
        <v>0</v>
      </c>
      <c r="Q46" s="269">
        <f>+ม.ค.!Q45+ก.พ.!Q45+มี.ค.!Q45</f>
        <v>0</v>
      </c>
      <c r="R46" s="269">
        <f>+ม.ค.!R45+ก.พ.!R45+มี.ค.!R45</f>
        <v>0</v>
      </c>
      <c r="S46" s="269">
        <f>+ม.ค.!S45+ก.พ.!S45+มี.ค.!S45</f>
        <v>0</v>
      </c>
      <c r="T46" s="269"/>
      <c r="U46" s="269">
        <f>+ม.ค.!U45+ก.พ.!U45+มี.ค.!U45</f>
        <v>0</v>
      </c>
      <c r="V46" s="269">
        <f>+ม.ค.!V45+ก.พ.!V45+มี.ค.!V45</f>
        <v>0</v>
      </c>
    </row>
    <row r="47" spans="1:23" ht="25.5" customHeight="1">
      <c r="A47" s="9"/>
      <c r="B47" s="130" t="s">
        <v>9</v>
      </c>
      <c r="C47" s="216">
        <f>25000+10000+30000+20000</f>
        <v>85000</v>
      </c>
      <c r="D47" s="131"/>
      <c r="E47" s="269">
        <f>+ม.ค.!E46+ก.พ.!E46+มี.ค.!E46</f>
        <v>14600</v>
      </c>
      <c r="F47" s="269">
        <f>+ม.ค.!F46+ก.พ.!F46+มี.ค.!F46</f>
        <v>0</v>
      </c>
      <c r="G47" s="269">
        <f>+ม.ค.!G46+ก.พ.!G46+มี.ค.!G46</f>
        <v>0</v>
      </c>
      <c r="H47" s="269">
        <f>+ม.ค.!H46+ก.พ.!H46+มี.ค.!H46</f>
        <v>21700</v>
      </c>
      <c r="I47" s="269">
        <f>+ม.ค.!I46+ก.พ.!I46+มี.ค.!I46</f>
        <v>0</v>
      </c>
      <c r="J47" s="269">
        <f>+ม.ค.!J46+ก.พ.!J46+มี.ค.!J46</f>
        <v>0</v>
      </c>
      <c r="K47" s="269">
        <f>+ม.ค.!K46+ก.พ.!K46+มี.ค.!K46</f>
        <v>0</v>
      </c>
      <c r="L47" s="269">
        <f>+ม.ค.!L46+ก.พ.!L46+มี.ค.!L46</f>
        <v>0</v>
      </c>
      <c r="M47" s="269">
        <f>+ม.ค.!M46+ก.พ.!M46+มี.ค.!M46</f>
        <v>0</v>
      </c>
      <c r="N47" s="269">
        <f>+ม.ค.!N46+ก.พ.!N46+มี.ค.!N46</f>
        <v>0</v>
      </c>
      <c r="O47" s="269">
        <f>+ม.ค.!O46+ก.พ.!O46+มี.ค.!O46</f>
        <v>0</v>
      </c>
      <c r="P47" s="269">
        <f>+ม.ค.!P46+ก.พ.!P46+มี.ค.!P46</f>
        <v>0</v>
      </c>
      <c r="Q47" s="269">
        <f>+ม.ค.!Q46+ก.พ.!Q46+มี.ค.!Q46</f>
        <v>0</v>
      </c>
      <c r="R47" s="269">
        <f>+ม.ค.!R46+ก.พ.!R46+มี.ค.!R46</f>
        <v>0</v>
      </c>
      <c r="S47" s="269">
        <f>+ม.ค.!S46+ก.พ.!S46+มี.ค.!S46</f>
        <v>0</v>
      </c>
      <c r="T47" s="269"/>
      <c r="U47" s="269">
        <f>+ม.ค.!U46+ก.พ.!U46+มี.ค.!U46</f>
        <v>0</v>
      </c>
      <c r="V47" s="269">
        <f>+ม.ค.!V46+ก.พ.!V46+มี.ค.!V46</f>
        <v>0</v>
      </c>
    </row>
    <row r="48" spans="1:23" ht="25.5" customHeight="1">
      <c r="A48" s="197"/>
      <c r="B48" s="198" t="s">
        <v>241</v>
      </c>
      <c r="C48" s="286">
        <v>44200</v>
      </c>
      <c r="D48" s="131"/>
      <c r="E48" s="269">
        <f>+ม.ค.!E47+ก.พ.!E47+มี.ค.!E47</f>
        <v>0</v>
      </c>
      <c r="F48" s="269">
        <f>+ม.ค.!F47+ก.พ.!F47+มี.ค.!F47</f>
        <v>0</v>
      </c>
      <c r="G48" s="269">
        <f>+ม.ค.!G47+ก.พ.!G47+มี.ค.!G47</f>
        <v>0</v>
      </c>
      <c r="H48" s="269">
        <f>+ม.ค.!H47+ก.พ.!H47+มี.ค.!H47</f>
        <v>0</v>
      </c>
      <c r="I48" s="269">
        <f>+ม.ค.!I47+ก.พ.!I47+มี.ค.!I47</f>
        <v>0</v>
      </c>
      <c r="J48" s="269">
        <f>+ม.ค.!J47+ก.พ.!J47+มี.ค.!J47</f>
        <v>0</v>
      </c>
      <c r="K48" s="269">
        <f>+ม.ค.!K47+ก.พ.!K47+มี.ค.!K47</f>
        <v>0</v>
      </c>
      <c r="L48" s="269">
        <f>+ม.ค.!L47+ก.พ.!L47+มี.ค.!L47</f>
        <v>0</v>
      </c>
      <c r="M48" s="269">
        <f>+ม.ค.!M47+ก.พ.!M47+มี.ค.!M47</f>
        <v>0</v>
      </c>
      <c r="N48" s="269">
        <f>+ม.ค.!N47+ก.พ.!N47+มี.ค.!N47</f>
        <v>0</v>
      </c>
      <c r="O48" s="269">
        <f>+ม.ค.!O47+ก.พ.!O47+มี.ค.!O47</f>
        <v>0</v>
      </c>
      <c r="P48" s="269">
        <f>+ม.ค.!P47+ก.พ.!P47+มี.ค.!P47</f>
        <v>0</v>
      </c>
      <c r="Q48" s="269">
        <f>+ม.ค.!Q47+ก.พ.!Q47+มี.ค.!Q47</f>
        <v>0</v>
      </c>
      <c r="R48" s="269">
        <f>+ม.ค.!R47+ก.พ.!R47+มี.ค.!R47</f>
        <v>0</v>
      </c>
      <c r="S48" s="269">
        <f>+ม.ค.!S47+ก.พ.!S47+มี.ค.!S47</f>
        <v>0</v>
      </c>
      <c r="T48" s="269"/>
      <c r="U48" s="269">
        <f>+ม.ค.!U47+ก.พ.!U47+มี.ค.!U47</f>
        <v>0</v>
      </c>
      <c r="V48" s="269">
        <f>+ม.ค.!V47+ก.พ.!V47+มี.ค.!V47</f>
        <v>0</v>
      </c>
    </row>
    <row r="49" spans="1:23" ht="25.5" customHeight="1" thickBot="1">
      <c r="A49" s="46"/>
      <c r="B49" s="47" t="s">
        <v>5</v>
      </c>
      <c r="C49" s="289">
        <f>SUM(C41:C48)</f>
        <v>500200</v>
      </c>
      <c r="D49" s="255">
        <f>SUM(D41:D48)</f>
        <v>0</v>
      </c>
      <c r="E49" s="254">
        <f>SUM(E41:E48)</f>
        <v>44600</v>
      </c>
      <c r="F49" s="254">
        <f>SUM(F41:F48)</f>
        <v>9000</v>
      </c>
      <c r="G49" s="254">
        <f t="shared" ref="G49:V49" si="3">SUM(G41:G48)</f>
        <v>0</v>
      </c>
      <c r="H49" s="254">
        <f>SUM(H41:H48)</f>
        <v>41200</v>
      </c>
      <c r="I49" s="255">
        <f t="shared" si="3"/>
        <v>0</v>
      </c>
      <c r="J49" s="255">
        <f t="shared" si="3"/>
        <v>0</v>
      </c>
      <c r="K49" s="255">
        <f t="shared" si="3"/>
        <v>0</v>
      </c>
      <c r="L49" s="255">
        <f t="shared" si="3"/>
        <v>0</v>
      </c>
      <c r="M49" s="254">
        <f>SUM(M41:M48)</f>
        <v>19500</v>
      </c>
      <c r="N49" s="255">
        <f t="shared" si="3"/>
        <v>0</v>
      </c>
      <c r="O49" s="255">
        <f t="shared" si="3"/>
        <v>0</v>
      </c>
      <c r="P49" s="255">
        <f t="shared" si="3"/>
        <v>0</v>
      </c>
      <c r="Q49" s="255">
        <f t="shared" si="3"/>
        <v>0</v>
      </c>
      <c r="R49" s="255">
        <f t="shared" si="3"/>
        <v>0</v>
      </c>
      <c r="S49" s="255">
        <f t="shared" si="3"/>
        <v>0</v>
      </c>
      <c r="T49" s="255"/>
      <c r="U49" s="255">
        <f t="shared" si="3"/>
        <v>0</v>
      </c>
      <c r="V49" s="255">
        <f t="shared" si="3"/>
        <v>0</v>
      </c>
      <c r="W49" s="314">
        <f>SUM(D49:V49)</f>
        <v>114300</v>
      </c>
    </row>
    <row r="50" spans="1:23" ht="25.5" customHeight="1" thickTop="1">
      <c r="A50" s="5" t="s">
        <v>99</v>
      </c>
      <c r="B50" s="6"/>
      <c r="C50" s="190"/>
      <c r="D50" s="133"/>
      <c r="E50" s="269"/>
      <c r="F50" s="136"/>
      <c r="G50" s="136"/>
      <c r="H50" s="136"/>
      <c r="I50" s="133"/>
      <c r="J50" s="133"/>
      <c r="K50" s="133"/>
      <c r="L50" s="133"/>
      <c r="M50" s="136"/>
      <c r="N50" s="133"/>
      <c r="O50" s="133"/>
      <c r="P50" s="133"/>
      <c r="Q50" s="133"/>
      <c r="R50" s="217"/>
      <c r="S50" s="219"/>
      <c r="T50" s="259"/>
      <c r="U50" s="258"/>
      <c r="V50" s="258"/>
    </row>
    <row r="51" spans="1:23" ht="25.5" customHeight="1">
      <c r="A51" s="5"/>
      <c r="B51" s="130" t="s">
        <v>100</v>
      </c>
      <c r="C51" s="281">
        <f>15000+7000+20000+15000</f>
        <v>57000</v>
      </c>
      <c r="D51" s="133"/>
      <c r="E51" s="269">
        <f>+ม.ค.!E51+ก.พ.!E50+มี.ค.!E50</f>
        <v>2695</v>
      </c>
      <c r="F51" s="269">
        <f>+ม.ค.!F51+ก.พ.!F50+มี.ค.!F50</f>
        <v>0</v>
      </c>
      <c r="G51" s="269">
        <f>+ม.ค.!G51+ก.พ.!G50+มี.ค.!G50</f>
        <v>0</v>
      </c>
      <c r="H51" s="269">
        <f>+ม.ค.!H51+ก.พ.!H50+มี.ค.!H50</f>
        <v>4407</v>
      </c>
      <c r="I51" s="269">
        <f>+ม.ค.!I51+ก.พ.!I50+มี.ค.!I50</f>
        <v>0</v>
      </c>
      <c r="J51" s="269">
        <f>+ม.ค.!J51+ก.พ.!J50+มี.ค.!J50</f>
        <v>0</v>
      </c>
      <c r="K51" s="269">
        <f>+ม.ค.!K51+ก.พ.!K50+มี.ค.!K50</f>
        <v>0</v>
      </c>
      <c r="L51" s="269">
        <f>+ม.ค.!L51+ก.พ.!L50+มี.ค.!L50</f>
        <v>0</v>
      </c>
      <c r="M51" s="269">
        <f>+ม.ค.!M51+ก.พ.!M50+มี.ค.!M50</f>
        <v>0</v>
      </c>
      <c r="N51" s="269">
        <f>+ม.ค.!N51+ก.พ.!N50+มี.ค.!N50</f>
        <v>0</v>
      </c>
      <c r="O51" s="269">
        <f>+ม.ค.!O51+ก.พ.!O50+มี.ค.!O50</f>
        <v>0</v>
      </c>
      <c r="P51" s="269">
        <f>+ม.ค.!P51+ก.พ.!P50+มี.ค.!P50</f>
        <v>0</v>
      </c>
      <c r="Q51" s="269">
        <f>+ม.ค.!Q51+ก.พ.!Q50+มี.ค.!Q50</f>
        <v>0</v>
      </c>
      <c r="R51" s="269">
        <f>+ม.ค.!R51+ก.พ.!R50+มี.ค.!R50</f>
        <v>0</v>
      </c>
      <c r="S51" s="269">
        <f>+ม.ค.!S51+ก.พ.!S50+มี.ค.!S50</f>
        <v>0</v>
      </c>
      <c r="T51" s="269"/>
      <c r="U51" s="269">
        <f>+ม.ค.!U51+ก.พ.!U50+มี.ค.!U50</f>
        <v>0</v>
      </c>
      <c r="V51" s="269">
        <f>+ม.ค.!V51+ก.พ.!V50+มี.ค.!V50</f>
        <v>0</v>
      </c>
    </row>
    <row r="52" spans="1:23" ht="25.5" customHeight="1">
      <c r="A52" s="5"/>
      <c r="B52" s="130" t="s">
        <v>226</v>
      </c>
      <c r="C52" s="281">
        <f>1044000+124000+384000+296000-47000+10000+156000+65000</f>
        <v>2032000</v>
      </c>
      <c r="D52" s="133"/>
      <c r="E52" s="269">
        <f>+ม.ค.!E52+ก.พ.!E51+มี.ค.!E51</f>
        <v>399500</v>
      </c>
      <c r="F52" s="269">
        <f>+ม.ค.!F52+ก.พ.!F51+มี.ค.!F51</f>
        <v>28500</v>
      </c>
      <c r="G52" s="269">
        <f>+ม.ค.!G52+ก.พ.!G51+มี.ค.!G51</f>
        <v>0</v>
      </c>
      <c r="H52" s="269">
        <f>+ม.ค.!H52+ก.พ.!H51+มี.ค.!H51</f>
        <v>150571</v>
      </c>
      <c r="I52" s="269">
        <f>+ม.ค.!I52+ก.พ.!I51+มี.ค.!I51</f>
        <v>0</v>
      </c>
      <c r="J52" s="269">
        <f>+ม.ค.!J52+ก.พ.!J51+มี.ค.!J51</f>
        <v>0</v>
      </c>
      <c r="K52" s="269">
        <f>+ม.ค.!K52+ก.พ.!K51+มี.ค.!K51</f>
        <v>0</v>
      </c>
      <c r="L52" s="269">
        <f>+ม.ค.!L52+ก.พ.!L51+มี.ค.!L51</f>
        <v>0</v>
      </c>
      <c r="M52" s="269">
        <f>+ม.ค.!M52+ก.พ.!M51+มี.ค.!M51</f>
        <v>104500</v>
      </c>
      <c r="N52" s="269">
        <f>+ม.ค.!N52+ก.พ.!N51+มี.ค.!N51</f>
        <v>0</v>
      </c>
      <c r="O52" s="269">
        <f>+ม.ค.!O52+ก.พ.!O51+มี.ค.!O51</f>
        <v>0</v>
      </c>
      <c r="P52" s="269">
        <f>+ม.ค.!P52+ก.พ.!P51+มี.ค.!P51</f>
        <v>0</v>
      </c>
      <c r="Q52" s="269">
        <f>+ม.ค.!Q52+ก.พ.!Q51+มี.ค.!Q51</f>
        <v>0</v>
      </c>
      <c r="R52" s="269">
        <f>+ม.ค.!R52+ก.พ.!R51+มี.ค.!R51</f>
        <v>0</v>
      </c>
      <c r="S52" s="269">
        <f>+ม.ค.!S52+ก.พ.!S51+มี.ค.!S51</f>
        <v>0</v>
      </c>
      <c r="T52" s="269"/>
      <c r="U52" s="269">
        <f>+ม.ค.!U52+ก.พ.!U51+มี.ค.!U51</f>
        <v>0</v>
      </c>
      <c r="V52" s="269">
        <f>+ม.ค.!V52+ก.พ.!V51+มี.ค.!V51</f>
        <v>0</v>
      </c>
    </row>
    <row r="53" spans="1:23" ht="25.5" customHeight="1">
      <c r="A53" s="5"/>
      <c r="B53" s="130" t="s">
        <v>223</v>
      </c>
      <c r="C53" s="281">
        <v>200000</v>
      </c>
      <c r="D53" s="133"/>
      <c r="E53" s="269">
        <f>+ม.ค.!E53+ก.พ.!E52+มี.ค.!E52</f>
        <v>50000</v>
      </c>
      <c r="F53" s="269">
        <f>+ม.ค.!F53+ก.พ.!F52+มี.ค.!F52</f>
        <v>0</v>
      </c>
      <c r="G53" s="269">
        <f>+ม.ค.!G53+ก.พ.!G52+มี.ค.!G52</f>
        <v>0</v>
      </c>
      <c r="H53" s="269">
        <f>+ม.ค.!H53+ก.พ.!H52+มี.ค.!H52</f>
        <v>0</v>
      </c>
      <c r="I53" s="269">
        <f>+ม.ค.!I53+ก.พ.!I52+มี.ค.!I52</f>
        <v>0</v>
      </c>
      <c r="J53" s="269">
        <f>+ม.ค.!J53+ก.พ.!J52+มี.ค.!J52</f>
        <v>0</v>
      </c>
      <c r="K53" s="269">
        <f>+ม.ค.!K53+ก.พ.!K52+มี.ค.!K52</f>
        <v>0</v>
      </c>
      <c r="L53" s="269">
        <f>+ม.ค.!L53+ก.พ.!L52+มี.ค.!L52</f>
        <v>0</v>
      </c>
      <c r="M53" s="269">
        <f>+ม.ค.!M53+ก.พ.!M52+มี.ค.!M52</f>
        <v>0</v>
      </c>
      <c r="N53" s="269">
        <f>+ม.ค.!N53+ก.พ.!N52+มี.ค.!N52</f>
        <v>0</v>
      </c>
      <c r="O53" s="269">
        <f>+ม.ค.!O53+ก.พ.!O52+มี.ค.!O52</f>
        <v>0</v>
      </c>
      <c r="P53" s="269">
        <f>+ม.ค.!P53+ก.พ.!P52+มี.ค.!P52</f>
        <v>0</v>
      </c>
      <c r="Q53" s="269">
        <f>+ม.ค.!Q53+ก.พ.!Q52+มี.ค.!Q52</f>
        <v>0</v>
      </c>
      <c r="R53" s="269">
        <f>+ม.ค.!R53+ก.พ.!R52+มี.ค.!R52</f>
        <v>0</v>
      </c>
      <c r="S53" s="269">
        <f>+ม.ค.!S53+ก.พ.!S52+มี.ค.!S52</f>
        <v>0</v>
      </c>
      <c r="T53" s="269"/>
      <c r="U53" s="269">
        <f>+ม.ค.!U53+ก.พ.!U52+มี.ค.!U52</f>
        <v>0</v>
      </c>
      <c r="V53" s="269">
        <f>+ม.ค.!V53+ก.พ.!V52+มี.ค.!V52</f>
        <v>0</v>
      </c>
    </row>
    <row r="54" spans="1:23" ht="25.5" customHeight="1">
      <c r="A54" s="5"/>
      <c r="B54" s="130" t="s">
        <v>224</v>
      </c>
      <c r="C54" s="281">
        <v>20000</v>
      </c>
      <c r="D54" s="133"/>
      <c r="E54" s="269">
        <f>+ม.ค.!E54+ก.พ.!E53+มี.ค.!E53</f>
        <v>0</v>
      </c>
      <c r="F54" s="269">
        <f>+ม.ค.!F54+ก.พ.!F53+มี.ค.!F53</f>
        <v>0</v>
      </c>
      <c r="G54" s="269">
        <f>+ม.ค.!G54+ก.พ.!G53+มี.ค.!G53</f>
        <v>0</v>
      </c>
      <c r="H54" s="269">
        <f>+ม.ค.!H54+ก.พ.!H53+มี.ค.!H53</f>
        <v>0</v>
      </c>
      <c r="I54" s="269">
        <f>+ม.ค.!I54+ก.พ.!I53+มี.ค.!I53</f>
        <v>0</v>
      </c>
      <c r="J54" s="269">
        <f>+ม.ค.!J54+ก.พ.!J53+มี.ค.!J53</f>
        <v>0</v>
      </c>
      <c r="K54" s="269">
        <f>+ม.ค.!K54+ก.พ.!K53+มี.ค.!K53</f>
        <v>0</v>
      </c>
      <c r="L54" s="269">
        <f>+ม.ค.!L54+ก.พ.!L53+มี.ค.!L53</f>
        <v>0</v>
      </c>
      <c r="M54" s="269">
        <f>+ม.ค.!M54+ก.พ.!M53+มี.ค.!M53</f>
        <v>0</v>
      </c>
      <c r="N54" s="269">
        <f>+ม.ค.!N54+ก.พ.!N53+มี.ค.!N53</f>
        <v>0</v>
      </c>
      <c r="O54" s="269">
        <f>+ม.ค.!O54+ก.พ.!O53+มี.ค.!O53</f>
        <v>0</v>
      </c>
      <c r="P54" s="269">
        <f>+ม.ค.!P54+ก.พ.!P53+มี.ค.!P53</f>
        <v>0</v>
      </c>
      <c r="Q54" s="269">
        <f>+ม.ค.!Q54+ก.พ.!Q53+มี.ค.!Q53</f>
        <v>0</v>
      </c>
      <c r="R54" s="269">
        <f>+ม.ค.!R54+ก.พ.!R53+มี.ค.!R53</f>
        <v>0</v>
      </c>
      <c r="S54" s="269">
        <f>+ม.ค.!S54+ก.พ.!S53+มี.ค.!S53</f>
        <v>0</v>
      </c>
      <c r="T54" s="269"/>
      <c r="U54" s="269">
        <f>+ม.ค.!U54+ก.พ.!U53+มี.ค.!U53</f>
        <v>0</v>
      </c>
      <c r="V54" s="269">
        <f>+ม.ค.!V54+ก.พ.!V53+มี.ค.!V53</f>
        <v>0</v>
      </c>
    </row>
    <row r="55" spans="1:23" ht="25.5" customHeight="1">
      <c r="A55" s="5"/>
      <c r="B55" s="130" t="s">
        <v>225</v>
      </c>
      <c r="C55" s="281">
        <f>10000+14000</f>
        <v>24000</v>
      </c>
      <c r="D55" s="133"/>
      <c r="E55" s="269">
        <f>+ม.ค.!E55+ก.พ.!E54+มี.ค.!E54</f>
        <v>7450</v>
      </c>
      <c r="F55" s="269">
        <f>+ม.ค.!F55+ก.พ.!F54+มี.ค.!F54</f>
        <v>0</v>
      </c>
      <c r="G55" s="269">
        <f>+ม.ค.!G55+ก.พ.!G54+มี.ค.!G54</f>
        <v>0</v>
      </c>
      <c r="H55" s="269">
        <f>+ม.ค.!H55+ก.พ.!H54+มี.ค.!H54</f>
        <v>0</v>
      </c>
      <c r="I55" s="269">
        <f>+ม.ค.!I55+ก.พ.!I54+มี.ค.!I54</f>
        <v>0</v>
      </c>
      <c r="J55" s="269">
        <f>+ม.ค.!J55+ก.พ.!J54+มี.ค.!J54</f>
        <v>0</v>
      </c>
      <c r="K55" s="269">
        <f>+ม.ค.!K55+ก.พ.!K54+มี.ค.!K54</f>
        <v>0</v>
      </c>
      <c r="L55" s="269">
        <f>+ม.ค.!L55+ก.พ.!L54+มี.ค.!L54</f>
        <v>0</v>
      </c>
      <c r="M55" s="269">
        <f>+ม.ค.!M55+ก.พ.!M54+มี.ค.!M54</f>
        <v>0</v>
      </c>
      <c r="N55" s="269">
        <f>+ม.ค.!N55+ก.พ.!N54+มี.ค.!N54</f>
        <v>0</v>
      </c>
      <c r="O55" s="269">
        <f>+ม.ค.!O55+ก.พ.!O54+มี.ค.!O54</f>
        <v>0</v>
      </c>
      <c r="P55" s="269">
        <f>+ม.ค.!P55+ก.พ.!P54+มี.ค.!P54</f>
        <v>0</v>
      </c>
      <c r="Q55" s="269">
        <f>+ม.ค.!Q55+ก.พ.!Q54+มี.ค.!Q54</f>
        <v>0</v>
      </c>
      <c r="R55" s="269">
        <f>+ม.ค.!R55+ก.พ.!R54+มี.ค.!R54</f>
        <v>0</v>
      </c>
      <c r="S55" s="269">
        <f>+ม.ค.!S55+ก.พ.!S54+มี.ค.!S54</f>
        <v>0</v>
      </c>
      <c r="T55" s="269"/>
      <c r="U55" s="269">
        <f>+ม.ค.!U55+ก.พ.!U54+มี.ค.!U54</f>
        <v>0</v>
      </c>
      <c r="V55" s="269">
        <f>+ม.ค.!V55+ก.พ.!V54+มี.ค.!V54</f>
        <v>0</v>
      </c>
    </row>
    <row r="56" spans="1:23" ht="25.5" customHeight="1">
      <c r="A56" s="5"/>
      <c r="B56" s="130" t="s">
        <v>227</v>
      </c>
      <c r="C56" s="281">
        <v>40000</v>
      </c>
      <c r="D56" s="133"/>
      <c r="E56" s="269">
        <f>+ม.ค.!E56+ก.พ.!E55+มี.ค.!E55</f>
        <v>0</v>
      </c>
      <c r="F56" s="269">
        <f>+ม.ค.!F56+ก.พ.!F55+มี.ค.!F55</f>
        <v>0</v>
      </c>
      <c r="G56" s="269">
        <f>+ม.ค.!G56+ก.พ.!G55+มี.ค.!G55</f>
        <v>0</v>
      </c>
      <c r="H56" s="269">
        <f>+ม.ค.!H56+ก.พ.!H55+มี.ค.!H55</f>
        <v>0</v>
      </c>
      <c r="I56" s="269">
        <f>+ม.ค.!I56+ก.พ.!I55+มี.ค.!I55</f>
        <v>0</v>
      </c>
      <c r="J56" s="269">
        <f>+ม.ค.!J56+ก.พ.!J55+มี.ค.!J55</f>
        <v>0</v>
      </c>
      <c r="K56" s="269">
        <f>+ม.ค.!K56+ก.พ.!K55+มี.ค.!K55</f>
        <v>0</v>
      </c>
      <c r="L56" s="269">
        <f>+ม.ค.!L56+ก.พ.!L55+มี.ค.!L55</f>
        <v>0</v>
      </c>
      <c r="M56" s="269">
        <f>+ม.ค.!M56+ก.พ.!M55+มี.ค.!M55</f>
        <v>0</v>
      </c>
      <c r="N56" s="269">
        <f>+ม.ค.!N56+ก.พ.!N55+มี.ค.!N55</f>
        <v>0</v>
      </c>
      <c r="O56" s="269">
        <f>+ม.ค.!O56+ก.พ.!O55+มี.ค.!O55</f>
        <v>0</v>
      </c>
      <c r="P56" s="269">
        <f>+ม.ค.!P56+ก.พ.!P55+มี.ค.!P55</f>
        <v>0</v>
      </c>
      <c r="Q56" s="269">
        <f>+ม.ค.!Q56+ก.พ.!Q55+มี.ค.!Q55</f>
        <v>0</v>
      </c>
      <c r="R56" s="269">
        <f>+ม.ค.!R56+ก.พ.!R55+มี.ค.!R55</f>
        <v>0</v>
      </c>
      <c r="S56" s="269">
        <f>+ม.ค.!S56+ก.พ.!S55+มี.ค.!S55</f>
        <v>0</v>
      </c>
      <c r="T56" s="269"/>
      <c r="U56" s="269">
        <f>+ม.ค.!U56+ก.พ.!U55+มี.ค.!U55</f>
        <v>0</v>
      </c>
      <c r="V56" s="269">
        <f>+ม.ค.!V56+ก.พ.!V55+มี.ค.!V55</f>
        <v>0</v>
      </c>
    </row>
    <row r="57" spans="1:23" ht="25.5" customHeight="1">
      <c r="A57" s="5"/>
      <c r="B57" s="130" t="s">
        <v>228</v>
      </c>
      <c r="C57" s="281">
        <v>9000</v>
      </c>
      <c r="D57" s="133"/>
      <c r="E57" s="269">
        <f>+ม.ค.!E57+ก.พ.!E56+มี.ค.!E56</f>
        <v>0</v>
      </c>
      <c r="F57" s="269">
        <f>+ม.ค.!F57+ก.พ.!F56+มี.ค.!F56</f>
        <v>0</v>
      </c>
      <c r="G57" s="269">
        <f>+ม.ค.!G57+ก.พ.!G56+มี.ค.!G56</f>
        <v>0</v>
      </c>
      <c r="H57" s="269">
        <f>+ม.ค.!H57+ก.พ.!H56+มี.ค.!H56</f>
        <v>0</v>
      </c>
      <c r="I57" s="269">
        <f>+ม.ค.!I57+ก.พ.!I56+มี.ค.!I56</f>
        <v>0</v>
      </c>
      <c r="J57" s="269">
        <f>+ม.ค.!J57+ก.พ.!J56+มี.ค.!J56</f>
        <v>0</v>
      </c>
      <c r="K57" s="269">
        <f>+ม.ค.!K57+ก.พ.!K56+มี.ค.!K56</f>
        <v>0</v>
      </c>
      <c r="L57" s="269">
        <f>+ม.ค.!L57+ก.พ.!L56+มี.ค.!L56</f>
        <v>0</v>
      </c>
      <c r="M57" s="269">
        <f>+ม.ค.!M57+ก.พ.!M56+มี.ค.!M56</f>
        <v>0</v>
      </c>
      <c r="N57" s="269">
        <f>+ม.ค.!N57+ก.พ.!N56+มี.ค.!N56</f>
        <v>0</v>
      </c>
      <c r="O57" s="269">
        <f>+ม.ค.!O57+ก.พ.!O56+มี.ค.!O56</f>
        <v>0</v>
      </c>
      <c r="P57" s="269">
        <f>+ม.ค.!P57+ก.พ.!P56+มี.ค.!P56</f>
        <v>0</v>
      </c>
      <c r="Q57" s="269">
        <f>+ม.ค.!Q57+ก.พ.!Q56+มี.ค.!Q56</f>
        <v>0</v>
      </c>
      <c r="R57" s="269">
        <f>+ม.ค.!R57+ก.พ.!R56+มี.ค.!R56</f>
        <v>0</v>
      </c>
      <c r="S57" s="269">
        <f>+ม.ค.!S57+ก.พ.!S56+มี.ค.!S56</f>
        <v>0</v>
      </c>
      <c r="T57" s="269"/>
      <c r="U57" s="269">
        <f>+ม.ค.!U57+ก.พ.!U56+มี.ค.!U56</f>
        <v>0</v>
      </c>
      <c r="V57" s="269">
        <f>+ม.ค.!V57+ก.พ.!V56+มี.ค.!V56</f>
        <v>0</v>
      </c>
    </row>
    <row r="58" spans="1:23" ht="25.5" customHeight="1">
      <c r="A58" s="5"/>
      <c r="B58" s="130" t="s">
        <v>11</v>
      </c>
      <c r="C58" s="281">
        <f>10000+60000+20000</f>
        <v>90000</v>
      </c>
      <c r="D58" s="133"/>
      <c r="E58" s="269">
        <f>+ม.ค.!E58+ก.พ.!E57+มี.ค.!E57</f>
        <v>10967</v>
      </c>
      <c r="F58" s="269">
        <f>+ม.ค.!F58+ก.พ.!F57+มี.ค.!F57</f>
        <v>0</v>
      </c>
      <c r="G58" s="269">
        <f>+ม.ค.!G58+ก.พ.!G57+มี.ค.!G57</f>
        <v>0</v>
      </c>
      <c r="H58" s="269">
        <f>+ม.ค.!H58+ก.พ.!H57+มี.ค.!H57</f>
        <v>0</v>
      </c>
      <c r="I58" s="269">
        <f>+ม.ค.!I58+ก.พ.!I57+มี.ค.!I57</f>
        <v>0</v>
      </c>
      <c r="J58" s="269">
        <f>+ม.ค.!J58+ก.พ.!J57+มี.ค.!J57</f>
        <v>0</v>
      </c>
      <c r="K58" s="269">
        <f>+ม.ค.!K58+ก.พ.!K57+มี.ค.!K57</f>
        <v>0</v>
      </c>
      <c r="L58" s="269">
        <f>+ม.ค.!L58+ก.พ.!L57+มี.ค.!L57</f>
        <v>0</v>
      </c>
      <c r="M58" s="269">
        <f>+ม.ค.!M58+ก.พ.!M57+มี.ค.!M57</f>
        <v>0</v>
      </c>
      <c r="N58" s="269">
        <f>+ม.ค.!N58+ก.พ.!N57+มี.ค.!N57</f>
        <v>0</v>
      </c>
      <c r="O58" s="269">
        <f>+ม.ค.!O58+ก.พ.!O57+มี.ค.!O57</f>
        <v>0</v>
      </c>
      <c r="P58" s="269">
        <f>+ม.ค.!P58+ก.พ.!P57+มี.ค.!P57</f>
        <v>0</v>
      </c>
      <c r="Q58" s="269">
        <f>+ม.ค.!Q58+ก.พ.!Q57+มี.ค.!Q57</f>
        <v>0</v>
      </c>
      <c r="R58" s="269">
        <f>+ม.ค.!R58+ก.พ.!R57+มี.ค.!R57</f>
        <v>0</v>
      </c>
      <c r="S58" s="269">
        <f>+ม.ค.!S58+ก.พ.!S57+มี.ค.!S57</f>
        <v>0</v>
      </c>
      <c r="T58" s="269"/>
      <c r="U58" s="269">
        <f>+ม.ค.!U58+ก.พ.!U57+มี.ค.!U57</f>
        <v>0</v>
      </c>
      <c r="V58" s="269">
        <f>+ม.ค.!V58+ก.พ.!V57+มี.ค.!V57</f>
        <v>0</v>
      </c>
    </row>
    <row r="59" spans="1:23" ht="25.5" customHeight="1">
      <c r="A59" s="5"/>
      <c r="B59" s="130" t="s">
        <v>229</v>
      </c>
      <c r="C59" s="281">
        <v>10000</v>
      </c>
      <c r="D59" s="133"/>
      <c r="E59" s="269">
        <f>+ม.ค.!E59+ก.พ.!E58+มี.ค.!E58</f>
        <v>3450</v>
      </c>
      <c r="F59" s="269">
        <f>+ม.ค.!F59+ก.พ.!F58+มี.ค.!F58</f>
        <v>0</v>
      </c>
      <c r="G59" s="269">
        <f>+ม.ค.!G59+ก.พ.!G58+มี.ค.!G58</f>
        <v>0</v>
      </c>
      <c r="H59" s="269">
        <f>+ม.ค.!H59+ก.พ.!H58+มี.ค.!H58</f>
        <v>0</v>
      </c>
      <c r="I59" s="269">
        <f>+ม.ค.!I59+ก.พ.!I58+มี.ค.!I58</f>
        <v>0</v>
      </c>
      <c r="J59" s="269">
        <f>+ม.ค.!J59+ก.พ.!J58+มี.ค.!J58</f>
        <v>0</v>
      </c>
      <c r="K59" s="269">
        <f>+ม.ค.!K59+ก.พ.!K58+มี.ค.!K58</f>
        <v>0</v>
      </c>
      <c r="L59" s="269">
        <f>+ม.ค.!L59+ก.พ.!L58+มี.ค.!L58</f>
        <v>0</v>
      </c>
      <c r="M59" s="269">
        <f>+ม.ค.!M59+ก.พ.!M58+มี.ค.!M58</f>
        <v>0</v>
      </c>
      <c r="N59" s="269">
        <f>+ม.ค.!N59+ก.พ.!N58+มี.ค.!N58</f>
        <v>0</v>
      </c>
      <c r="O59" s="269">
        <f>+ม.ค.!O59+ก.พ.!O58+มี.ค.!O58</f>
        <v>0</v>
      </c>
      <c r="P59" s="269">
        <f>+ม.ค.!P59+ก.พ.!P58+มี.ค.!P58</f>
        <v>0</v>
      </c>
      <c r="Q59" s="269">
        <f>+ม.ค.!Q59+ก.พ.!Q58+มี.ค.!Q58</f>
        <v>0</v>
      </c>
      <c r="R59" s="269">
        <f>+ม.ค.!R59+ก.พ.!R58+มี.ค.!R58</f>
        <v>0</v>
      </c>
      <c r="S59" s="269">
        <f>+ม.ค.!S59+ก.พ.!S58+มี.ค.!S58</f>
        <v>0</v>
      </c>
      <c r="T59" s="269"/>
      <c r="U59" s="269">
        <f>+ม.ค.!U59+ก.พ.!U58+มี.ค.!U58</f>
        <v>0</v>
      </c>
      <c r="V59" s="269">
        <f>+ม.ค.!V59+ก.พ.!V58+มี.ค.!V58</f>
        <v>0</v>
      </c>
    </row>
    <row r="60" spans="1:23" ht="25.5" customHeight="1">
      <c r="A60" s="5"/>
      <c r="B60" s="130" t="s">
        <v>230</v>
      </c>
      <c r="C60" s="281">
        <v>20000</v>
      </c>
      <c r="D60" s="133"/>
      <c r="E60" s="269">
        <f>+ม.ค.!E60+ก.พ.!E59+มี.ค.!E59</f>
        <v>0</v>
      </c>
      <c r="F60" s="269">
        <f>+ม.ค.!F60+ก.พ.!F59+มี.ค.!F59</f>
        <v>0</v>
      </c>
      <c r="G60" s="269">
        <f>+ม.ค.!G60+ก.พ.!G59+มี.ค.!G59</f>
        <v>0</v>
      </c>
      <c r="H60" s="269">
        <f>+ม.ค.!H60+ก.พ.!H59+มี.ค.!H59</f>
        <v>0</v>
      </c>
      <c r="I60" s="269">
        <f>+ม.ค.!I60+ก.พ.!I59+มี.ค.!I59</f>
        <v>0</v>
      </c>
      <c r="J60" s="269">
        <f>+ม.ค.!J60+ก.พ.!J59+มี.ค.!J59</f>
        <v>0</v>
      </c>
      <c r="K60" s="269">
        <f>+ม.ค.!K60+ก.พ.!K59+มี.ค.!K59</f>
        <v>0</v>
      </c>
      <c r="L60" s="269">
        <f>+ม.ค.!L60+ก.พ.!L59+มี.ค.!L59</f>
        <v>0</v>
      </c>
      <c r="M60" s="269">
        <f>+ม.ค.!M60+ก.พ.!M59+มี.ค.!M59</f>
        <v>0</v>
      </c>
      <c r="N60" s="269">
        <f>+ม.ค.!N60+ก.พ.!N59+มี.ค.!N59</f>
        <v>0</v>
      </c>
      <c r="O60" s="269">
        <f>+ม.ค.!O60+ก.พ.!O59+มี.ค.!O59</f>
        <v>0</v>
      </c>
      <c r="P60" s="269">
        <f>+ม.ค.!P60+ก.พ.!P59+มี.ค.!P59</f>
        <v>0</v>
      </c>
      <c r="Q60" s="269">
        <f>+ม.ค.!Q60+ก.พ.!Q59+มี.ค.!Q59</f>
        <v>0</v>
      </c>
      <c r="R60" s="269">
        <f>+ม.ค.!R60+ก.พ.!R59+มี.ค.!R59</f>
        <v>0</v>
      </c>
      <c r="S60" s="269">
        <f>+ม.ค.!S60+ก.พ.!S59+มี.ค.!S59</f>
        <v>0</v>
      </c>
      <c r="T60" s="269"/>
      <c r="U60" s="269">
        <f>+ม.ค.!U60+ก.พ.!U59+มี.ค.!U59</f>
        <v>0</v>
      </c>
      <c r="V60" s="269">
        <f>+ม.ค.!V60+ก.พ.!V59+มี.ค.!V59</f>
        <v>0</v>
      </c>
    </row>
    <row r="61" spans="1:23" ht="25.5" customHeight="1">
      <c r="A61" s="9"/>
      <c r="B61" s="130" t="s">
        <v>50</v>
      </c>
      <c r="C61" s="280">
        <v>10000</v>
      </c>
      <c r="D61" s="133"/>
      <c r="E61" s="269">
        <f>+ม.ค.!E61+ก.พ.!E60+มี.ค.!E60</f>
        <v>0</v>
      </c>
      <c r="F61" s="269">
        <f>+ม.ค.!F61+ก.พ.!F60+มี.ค.!F60</f>
        <v>0</v>
      </c>
      <c r="G61" s="269">
        <f>+ม.ค.!G61+ก.พ.!G60+มี.ค.!G60</f>
        <v>0</v>
      </c>
      <c r="H61" s="269">
        <f>+ม.ค.!H61+ก.พ.!H60+มี.ค.!H60</f>
        <v>0</v>
      </c>
      <c r="I61" s="269">
        <f>+ม.ค.!I61+ก.พ.!I60+มี.ค.!I60</f>
        <v>0</v>
      </c>
      <c r="J61" s="269">
        <f>+ม.ค.!J61+ก.พ.!J60+มี.ค.!J60</f>
        <v>0</v>
      </c>
      <c r="K61" s="269">
        <f>+ม.ค.!K61+ก.พ.!K60+มี.ค.!K60</f>
        <v>0</v>
      </c>
      <c r="L61" s="269">
        <f>+ม.ค.!L61+ก.พ.!L60+มี.ค.!L60</f>
        <v>0</v>
      </c>
      <c r="M61" s="269">
        <f>+ม.ค.!M61+ก.พ.!M60+มี.ค.!M60</f>
        <v>0</v>
      </c>
      <c r="N61" s="269">
        <f>+ม.ค.!N61+ก.พ.!N60+มี.ค.!N60</f>
        <v>0</v>
      </c>
      <c r="O61" s="269">
        <f>+ม.ค.!O61+ก.พ.!O60+มี.ค.!O60</f>
        <v>0</v>
      </c>
      <c r="P61" s="269">
        <f>+ม.ค.!P61+ก.พ.!P60+มี.ค.!P60</f>
        <v>0</v>
      </c>
      <c r="Q61" s="269">
        <f>+ม.ค.!Q61+ก.พ.!Q60+มี.ค.!Q60</f>
        <v>0</v>
      </c>
      <c r="R61" s="269">
        <f>+ม.ค.!R61+ก.พ.!R60+มี.ค.!R60</f>
        <v>0</v>
      </c>
      <c r="S61" s="269">
        <f>+ม.ค.!S61+ก.พ.!S60+มี.ค.!S60</f>
        <v>0</v>
      </c>
      <c r="T61" s="269"/>
      <c r="U61" s="269">
        <f>+ม.ค.!U61+ก.พ.!U60+มี.ค.!U60</f>
        <v>0</v>
      </c>
      <c r="V61" s="269">
        <f>+ม.ค.!V61+ก.พ.!V60+มี.ค.!V60</f>
        <v>0</v>
      </c>
    </row>
    <row r="62" spans="1:23" ht="25.5" customHeight="1">
      <c r="A62" s="9"/>
      <c r="B62" s="130" t="s">
        <v>103</v>
      </c>
      <c r="C62" s="280">
        <v>10000</v>
      </c>
      <c r="D62" s="131"/>
      <c r="E62" s="269">
        <f>+ม.ค.!E62+ก.พ.!E61+มี.ค.!E61</f>
        <v>0</v>
      </c>
      <c r="F62" s="269">
        <f>+ม.ค.!F62+ก.พ.!F61+มี.ค.!F61</f>
        <v>0</v>
      </c>
      <c r="G62" s="269">
        <f>+ม.ค.!G62+ก.พ.!G61+มี.ค.!G61</f>
        <v>0</v>
      </c>
      <c r="H62" s="269">
        <f>+ม.ค.!H62+ก.พ.!H61+มี.ค.!H61</f>
        <v>0</v>
      </c>
      <c r="I62" s="269">
        <f>+ม.ค.!I62+ก.พ.!I61+มี.ค.!I61</f>
        <v>0</v>
      </c>
      <c r="J62" s="269">
        <f>+ม.ค.!J62+ก.พ.!J61+มี.ค.!J61</f>
        <v>0</v>
      </c>
      <c r="K62" s="269">
        <f>+ม.ค.!K62+ก.พ.!K61+มี.ค.!K61</f>
        <v>0</v>
      </c>
      <c r="L62" s="269">
        <f>+ม.ค.!L62+ก.พ.!L61+มี.ค.!L61</f>
        <v>0</v>
      </c>
      <c r="M62" s="269">
        <f>+ม.ค.!M62+ก.พ.!M61+มี.ค.!M61</f>
        <v>0</v>
      </c>
      <c r="N62" s="269">
        <f>+ม.ค.!N62+ก.พ.!N61+มี.ค.!N61</f>
        <v>0</v>
      </c>
      <c r="O62" s="269">
        <f>+ม.ค.!O62+ก.พ.!O61+มี.ค.!O61</f>
        <v>0</v>
      </c>
      <c r="P62" s="269">
        <f>+ม.ค.!P62+ก.พ.!P61+มี.ค.!P61</f>
        <v>0</v>
      </c>
      <c r="Q62" s="269">
        <f>+ม.ค.!Q62+ก.พ.!Q61+มี.ค.!Q61</f>
        <v>0</v>
      </c>
      <c r="R62" s="269">
        <f>+ม.ค.!R62+ก.พ.!R61+มี.ค.!R61</f>
        <v>0</v>
      </c>
      <c r="S62" s="269">
        <f>+ม.ค.!S62+ก.พ.!S61+มี.ค.!S61</f>
        <v>0</v>
      </c>
      <c r="T62" s="269"/>
      <c r="U62" s="269">
        <f>+ม.ค.!U62+ก.พ.!U61+มี.ค.!U61</f>
        <v>0</v>
      </c>
      <c r="V62" s="269">
        <f>+ม.ค.!V62+ก.พ.!V61+มี.ค.!V61</f>
        <v>0</v>
      </c>
    </row>
    <row r="63" spans="1:23" ht="25.5" customHeight="1">
      <c r="A63" s="9"/>
      <c r="B63" s="187" t="s">
        <v>106</v>
      </c>
      <c r="C63" s="283">
        <f>200000+30000+30000+80000+19000+1000+10000+2500+2500+2500+2500+20000</f>
        <v>400000</v>
      </c>
      <c r="D63" s="131"/>
      <c r="E63" s="269">
        <f>+ม.ค.!E63+ก.พ.!E62+มี.ค.!E62</f>
        <v>39714</v>
      </c>
      <c r="F63" s="269">
        <f>+ม.ค.!F63+ก.พ.!F62+มี.ค.!F62</f>
        <v>6000</v>
      </c>
      <c r="G63" s="269">
        <f>+ม.ค.!G63+ก.พ.!G62+มี.ค.!G62</f>
        <v>0</v>
      </c>
      <c r="H63" s="269">
        <f>+ม.ค.!H63+ก.พ.!H62+มี.ค.!H62</f>
        <v>23664</v>
      </c>
      <c r="I63" s="269">
        <f>+ม.ค.!I63+ก.พ.!I62+มี.ค.!I62</f>
        <v>0</v>
      </c>
      <c r="J63" s="269">
        <f>+ม.ค.!J63+ก.พ.!J62+มี.ค.!J62</f>
        <v>0</v>
      </c>
      <c r="K63" s="269">
        <f>+ม.ค.!K63+ก.พ.!K62+มี.ค.!K62</f>
        <v>0</v>
      </c>
      <c r="L63" s="269">
        <f>+ม.ค.!L63+ก.พ.!L62+มี.ค.!L62</f>
        <v>0</v>
      </c>
      <c r="M63" s="269">
        <f>+ม.ค.!M63+ก.พ.!M62+มี.ค.!M62</f>
        <v>620</v>
      </c>
      <c r="N63" s="269">
        <f>+ม.ค.!N63+ก.พ.!N62+มี.ค.!N62</f>
        <v>0</v>
      </c>
      <c r="O63" s="269">
        <f>+ม.ค.!O63+ก.พ.!O62+มี.ค.!O62</f>
        <v>0</v>
      </c>
      <c r="P63" s="269">
        <f>+ม.ค.!P63+ก.พ.!P62+มี.ค.!P62</f>
        <v>0</v>
      </c>
      <c r="Q63" s="269">
        <f>+ม.ค.!Q63+ก.พ.!Q62+มี.ค.!Q62</f>
        <v>0</v>
      </c>
      <c r="R63" s="269">
        <f>+ม.ค.!R63+ก.พ.!R62+มี.ค.!R62</f>
        <v>0</v>
      </c>
      <c r="S63" s="269">
        <f>+ม.ค.!S63+ก.พ.!S62+มี.ค.!S62</f>
        <v>0</v>
      </c>
      <c r="T63" s="269"/>
      <c r="U63" s="269">
        <f>+ม.ค.!U63+ก.พ.!U62+มี.ค.!U62</f>
        <v>0</v>
      </c>
      <c r="V63" s="269">
        <f>+ม.ค.!V63+ก.พ.!V62+มี.ค.!V62</f>
        <v>0</v>
      </c>
    </row>
    <row r="64" spans="1:23" ht="25.5" customHeight="1">
      <c r="A64" s="9"/>
      <c r="B64" s="187" t="s">
        <v>231</v>
      </c>
      <c r="C64" s="283">
        <f>5000+8900</f>
        <v>13900</v>
      </c>
      <c r="D64" s="131"/>
      <c r="E64" s="269">
        <f>+ม.ค.!E64+ก.พ.!E63+มี.ค.!E63</f>
        <v>0</v>
      </c>
      <c r="F64" s="269">
        <f>+ม.ค.!F64+ก.พ.!F63+มี.ค.!F63</f>
        <v>0</v>
      </c>
      <c r="G64" s="269">
        <f>+ม.ค.!G64+ก.พ.!G63+มี.ค.!G63</f>
        <v>0</v>
      </c>
      <c r="H64" s="269">
        <f>+ม.ค.!H64+ก.พ.!H63+มี.ค.!H63</f>
        <v>0</v>
      </c>
      <c r="I64" s="269">
        <f>+ม.ค.!I64+ก.พ.!I63+มี.ค.!I63</f>
        <v>0</v>
      </c>
      <c r="J64" s="269">
        <f>+ม.ค.!J64+ก.พ.!J63+มี.ค.!J63</f>
        <v>0</v>
      </c>
      <c r="K64" s="269">
        <f>+ม.ค.!K64+ก.พ.!K63+มี.ค.!K63</f>
        <v>0</v>
      </c>
      <c r="L64" s="269">
        <f>+ม.ค.!L64+ก.พ.!L63+มี.ค.!L63</f>
        <v>0</v>
      </c>
      <c r="M64" s="269">
        <f>+ม.ค.!M64+ก.พ.!M63+มี.ค.!M63</f>
        <v>0</v>
      </c>
      <c r="N64" s="269">
        <f>+ม.ค.!N64+ก.พ.!N63+มี.ค.!N63</f>
        <v>0</v>
      </c>
      <c r="O64" s="269">
        <f>+ม.ค.!O64+ก.พ.!O63+มี.ค.!O63</f>
        <v>0</v>
      </c>
      <c r="P64" s="269">
        <f>+ม.ค.!P64+ก.พ.!P63+มี.ค.!P63</f>
        <v>0</v>
      </c>
      <c r="Q64" s="269">
        <f>+ม.ค.!Q64+ก.พ.!Q63+มี.ค.!Q63</f>
        <v>0</v>
      </c>
      <c r="R64" s="269">
        <f>+ม.ค.!R64+ก.พ.!R63+มี.ค.!R63</f>
        <v>0</v>
      </c>
      <c r="S64" s="269">
        <f>+ม.ค.!S64+ก.พ.!S63+มี.ค.!S63</f>
        <v>0</v>
      </c>
      <c r="T64" s="269"/>
      <c r="U64" s="269">
        <f>+ม.ค.!U64+ก.พ.!U63+มี.ค.!U63</f>
        <v>0</v>
      </c>
      <c r="V64" s="269">
        <f>+ม.ค.!V64+ก.พ.!V63+มี.ค.!V63</f>
        <v>0</v>
      </c>
    </row>
    <row r="65" spans="1:22" ht="25.5" customHeight="1">
      <c r="A65" s="9"/>
      <c r="B65" s="187" t="s">
        <v>204</v>
      </c>
      <c r="C65" s="283">
        <v>5000</v>
      </c>
      <c r="D65" s="131"/>
      <c r="E65" s="269">
        <f>+ม.ค.!E65+ก.พ.!E64+มี.ค.!E64</f>
        <v>0</v>
      </c>
      <c r="F65" s="269">
        <f>+ม.ค.!F65+ก.พ.!F64+มี.ค.!F64</f>
        <v>0</v>
      </c>
      <c r="G65" s="269">
        <f>+ม.ค.!G65+ก.พ.!G64+มี.ค.!G64</f>
        <v>0</v>
      </c>
      <c r="H65" s="269">
        <f>+ม.ค.!H65+ก.พ.!H64+มี.ค.!H64</f>
        <v>0</v>
      </c>
      <c r="I65" s="269">
        <f>+ม.ค.!I65+ก.พ.!I64+มี.ค.!I64</f>
        <v>0</v>
      </c>
      <c r="J65" s="269">
        <f>+ม.ค.!J65+ก.พ.!J64+มี.ค.!J64</f>
        <v>0</v>
      </c>
      <c r="K65" s="269">
        <f>+ม.ค.!K65+ก.พ.!K64+มี.ค.!K64</f>
        <v>0</v>
      </c>
      <c r="L65" s="269">
        <f>+ม.ค.!L65+ก.พ.!L64+มี.ค.!L64</f>
        <v>0</v>
      </c>
      <c r="M65" s="269">
        <f>+ม.ค.!M65+ก.พ.!M64+มี.ค.!M64</f>
        <v>0</v>
      </c>
      <c r="N65" s="269">
        <f>+ม.ค.!N65+ก.พ.!N64+มี.ค.!N64</f>
        <v>0</v>
      </c>
      <c r="O65" s="269">
        <f>+ม.ค.!O65+ก.พ.!O64+มี.ค.!O64</f>
        <v>0</v>
      </c>
      <c r="P65" s="269">
        <f>+ม.ค.!P65+ก.พ.!P64+มี.ค.!P64</f>
        <v>0</v>
      </c>
      <c r="Q65" s="269">
        <f>+ม.ค.!Q65+ก.พ.!Q64+มี.ค.!Q64</f>
        <v>0</v>
      </c>
      <c r="R65" s="269">
        <f>+ม.ค.!R65+ก.พ.!R64+มี.ค.!R64</f>
        <v>0</v>
      </c>
      <c r="S65" s="269">
        <f>+ม.ค.!S65+ก.พ.!S64+มี.ค.!S64</f>
        <v>0</v>
      </c>
      <c r="T65" s="269"/>
      <c r="U65" s="269">
        <f>+ม.ค.!U65+ก.พ.!U64+มี.ค.!U64</f>
        <v>0</v>
      </c>
      <c r="V65" s="269">
        <f>+ม.ค.!V65+ก.พ.!V64+มี.ค.!V64</f>
        <v>0</v>
      </c>
    </row>
    <row r="66" spans="1:22" ht="25.5" customHeight="1">
      <c r="A66" s="9"/>
      <c r="B66" s="187" t="s">
        <v>232</v>
      </c>
      <c r="C66" s="283">
        <f>120000+100000</f>
        <v>220000</v>
      </c>
      <c r="D66" s="131"/>
      <c r="E66" s="269">
        <f>+ม.ค.!E66+ก.พ.!E65+มี.ค.!E65</f>
        <v>157600</v>
      </c>
      <c r="F66" s="269">
        <f>+ม.ค.!F66+ก.พ.!F65+มี.ค.!F65</f>
        <v>0</v>
      </c>
      <c r="G66" s="269">
        <f>+ม.ค.!G66+ก.พ.!G65+มี.ค.!G65</f>
        <v>0</v>
      </c>
      <c r="H66" s="269">
        <f>+ม.ค.!H66+ก.พ.!H65+มี.ค.!H65</f>
        <v>0</v>
      </c>
      <c r="I66" s="269">
        <f>+ม.ค.!I66+ก.พ.!I65+มี.ค.!I65</f>
        <v>0</v>
      </c>
      <c r="J66" s="269">
        <f>+ม.ค.!J66+ก.พ.!J65+มี.ค.!J65</f>
        <v>0</v>
      </c>
      <c r="K66" s="269">
        <f>+ม.ค.!K66+ก.พ.!K65+มี.ค.!K65</f>
        <v>0</v>
      </c>
      <c r="L66" s="269">
        <f>+ม.ค.!L66+ก.พ.!L65+มี.ค.!L65</f>
        <v>0</v>
      </c>
      <c r="M66" s="269">
        <f>+ม.ค.!M66+ก.พ.!M65+มี.ค.!M65</f>
        <v>0</v>
      </c>
      <c r="N66" s="269">
        <f>+ม.ค.!N66+ก.พ.!N65+มี.ค.!N65</f>
        <v>0</v>
      </c>
      <c r="O66" s="269">
        <f>+ม.ค.!O66+ก.พ.!O65+มี.ค.!O65</f>
        <v>0</v>
      </c>
      <c r="P66" s="269">
        <f>+ม.ค.!P66+ก.พ.!P65+มี.ค.!P65</f>
        <v>0</v>
      </c>
      <c r="Q66" s="269">
        <f>+ม.ค.!Q66+ก.พ.!Q65+มี.ค.!Q65</f>
        <v>0</v>
      </c>
      <c r="R66" s="269">
        <f>+ม.ค.!R66+ก.พ.!R65+มี.ค.!R65</f>
        <v>0</v>
      </c>
      <c r="S66" s="269">
        <f>+ม.ค.!S66+ก.พ.!S65+มี.ค.!S65</f>
        <v>0</v>
      </c>
      <c r="T66" s="269"/>
      <c r="U66" s="269">
        <f>+ม.ค.!U66+ก.พ.!U65+มี.ค.!U65</f>
        <v>0</v>
      </c>
      <c r="V66" s="269">
        <f>+ม.ค.!V66+ก.พ.!V65+มี.ค.!V65</f>
        <v>0</v>
      </c>
    </row>
    <row r="67" spans="1:22" ht="25.5" customHeight="1">
      <c r="A67" s="9"/>
      <c r="B67" s="187" t="s">
        <v>233</v>
      </c>
      <c r="C67" s="283">
        <f>125000-8900-16100</f>
        <v>100000</v>
      </c>
      <c r="D67" s="131"/>
      <c r="E67" s="269">
        <f>+ม.ค.!E67+ก.พ.!E66+มี.ค.!E66</f>
        <v>0</v>
      </c>
      <c r="F67" s="269">
        <f>+ม.ค.!F67+ก.พ.!F66+มี.ค.!F66</f>
        <v>0</v>
      </c>
      <c r="G67" s="269">
        <f>+ม.ค.!G67+ก.พ.!G66+มี.ค.!G66</f>
        <v>0</v>
      </c>
      <c r="H67" s="269">
        <f>+ม.ค.!H67+ก.พ.!H66+มี.ค.!H66</f>
        <v>0</v>
      </c>
      <c r="I67" s="269">
        <f>+ม.ค.!I67+ก.พ.!I66+มี.ค.!I66</f>
        <v>0</v>
      </c>
      <c r="J67" s="269">
        <f>+ม.ค.!J67+ก.พ.!J66+มี.ค.!J66</f>
        <v>0</v>
      </c>
      <c r="K67" s="269">
        <f>+ม.ค.!K67+ก.พ.!K66+มี.ค.!K66</f>
        <v>0</v>
      </c>
      <c r="L67" s="269">
        <f>+ม.ค.!L67+ก.พ.!L66+มี.ค.!L66</f>
        <v>0</v>
      </c>
      <c r="M67" s="269">
        <f>+ม.ค.!M67+ก.พ.!M66+มี.ค.!M66</f>
        <v>0</v>
      </c>
      <c r="N67" s="269">
        <f>+ม.ค.!N67+ก.พ.!N66+มี.ค.!N66</f>
        <v>0</v>
      </c>
      <c r="O67" s="269">
        <f>+ม.ค.!O67+ก.พ.!O66+มี.ค.!O66</f>
        <v>0</v>
      </c>
      <c r="P67" s="269">
        <f>+ม.ค.!P67+ก.พ.!P66+มี.ค.!P66</f>
        <v>0</v>
      </c>
      <c r="Q67" s="269">
        <f>+ม.ค.!Q67+ก.พ.!Q66+มี.ค.!Q66</f>
        <v>0</v>
      </c>
      <c r="R67" s="269">
        <f>+ม.ค.!R67+ก.พ.!R66+มี.ค.!R66</f>
        <v>0</v>
      </c>
      <c r="S67" s="269">
        <f>+ม.ค.!S67+ก.พ.!S66+มี.ค.!S66</f>
        <v>0</v>
      </c>
      <c r="T67" s="269"/>
      <c r="U67" s="269">
        <f>+ม.ค.!U67+ก.พ.!U66+มี.ค.!U66</f>
        <v>0</v>
      </c>
      <c r="V67" s="269">
        <f>+ม.ค.!V67+ก.พ.!V66+มี.ค.!V66</f>
        <v>0</v>
      </c>
    </row>
    <row r="68" spans="1:22" ht="25.5" customHeight="1">
      <c r="A68" s="9"/>
      <c r="B68" s="187" t="s">
        <v>234</v>
      </c>
      <c r="C68" s="283">
        <v>5000</v>
      </c>
      <c r="D68" s="131"/>
      <c r="E68" s="269">
        <f>+ม.ค.!E68+ก.พ.!E67+มี.ค.!E67</f>
        <v>0</v>
      </c>
      <c r="F68" s="269">
        <f>+ม.ค.!F68+ก.พ.!F67+มี.ค.!F67</f>
        <v>0</v>
      </c>
      <c r="G68" s="269">
        <f>+ม.ค.!G68+ก.พ.!G67+มี.ค.!G67</f>
        <v>0</v>
      </c>
      <c r="H68" s="269">
        <f>+ม.ค.!H68+ก.พ.!H67+มี.ค.!H67</f>
        <v>0</v>
      </c>
      <c r="I68" s="269">
        <f>+ม.ค.!I68+ก.พ.!I67+มี.ค.!I67</f>
        <v>0</v>
      </c>
      <c r="J68" s="269">
        <f>+ม.ค.!J68+ก.พ.!J67+มี.ค.!J67</f>
        <v>0</v>
      </c>
      <c r="K68" s="269">
        <f>+ม.ค.!K68+ก.พ.!K67+มี.ค.!K67</f>
        <v>0</v>
      </c>
      <c r="L68" s="269">
        <f>+ม.ค.!L68+ก.พ.!L67+มี.ค.!L67</f>
        <v>0</v>
      </c>
      <c r="M68" s="269">
        <f>+ม.ค.!M68+ก.พ.!M67+มี.ค.!M67</f>
        <v>0</v>
      </c>
      <c r="N68" s="269">
        <f>+ม.ค.!N68+ก.พ.!N67+มี.ค.!N67</f>
        <v>0</v>
      </c>
      <c r="O68" s="269">
        <f>+ม.ค.!O68+ก.พ.!O67+มี.ค.!O67</f>
        <v>0</v>
      </c>
      <c r="P68" s="269">
        <f>+ม.ค.!P68+ก.พ.!P67+มี.ค.!P67</f>
        <v>0</v>
      </c>
      <c r="Q68" s="269">
        <f>+ม.ค.!Q68+ก.พ.!Q67+มี.ค.!Q67</f>
        <v>0</v>
      </c>
      <c r="R68" s="269">
        <f>+ม.ค.!R68+ก.พ.!R67+มี.ค.!R67</f>
        <v>0</v>
      </c>
      <c r="S68" s="269">
        <f>+ม.ค.!S68+ก.พ.!S67+มี.ค.!S67</f>
        <v>0</v>
      </c>
      <c r="T68" s="269"/>
      <c r="U68" s="269">
        <f>+ม.ค.!U68+ก.พ.!U67+มี.ค.!U67</f>
        <v>0</v>
      </c>
      <c r="V68" s="269">
        <f>+ม.ค.!V68+ก.พ.!V67+มี.ค.!V67</f>
        <v>0</v>
      </c>
    </row>
    <row r="69" spans="1:22" ht="25.5" customHeight="1">
      <c r="A69" s="9"/>
      <c r="B69" s="187" t="s">
        <v>235</v>
      </c>
      <c r="C69" s="283">
        <v>90000</v>
      </c>
      <c r="D69" s="131"/>
      <c r="E69" s="269">
        <f>+ม.ค.!E69+ก.พ.!E68+มี.ค.!E68</f>
        <v>0</v>
      </c>
      <c r="F69" s="269">
        <f>+ม.ค.!F69+ก.พ.!F68+มี.ค.!F68</f>
        <v>0</v>
      </c>
      <c r="G69" s="269">
        <f>+ม.ค.!G69+ก.พ.!G68+มี.ค.!G68</f>
        <v>0</v>
      </c>
      <c r="H69" s="269">
        <f>+ม.ค.!H69+ก.พ.!H68+มี.ค.!H68</f>
        <v>0</v>
      </c>
      <c r="I69" s="269">
        <f>+ม.ค.!I69+ก.พ.!I68+มี.ค.!I68</f>
        <v>0</v>
      </c>
      <c r="J69" s="269">
        <f>+ม.ค.!J69+ก.พ.!J68+มี.ค.!J68</f>
        <v>0</v>
      </c>
      <c r="K69" s="269">
        <f>+ม.ค.!K69+ก.พ.!K68+มี.ค.!K68</f>
        <v>0</v>
      </c>
      <c r="L69" s="269">
        <f>+ม.ค.!L69+ก.พ.!L68+มี.ค.!L68</f>
        <v>0</v>
      </c>
      <c r="M69" s="269">
        <f>+ม.ค.!M69+ก.พ.!M68+มี.ค.!M68</f>
        <v>0</v>
      </c>
      <c r="N69" s="269">
        <f>+ม.ค.!N69+ก.พ.!N68+มี.ค.!N68</f>
        <v>0</v>
      </c>
      <c r="O69" s="269">
        <f>+ม.ค.!O69+ก.พ.!O68+มี.ค.!O68</f>
        <v>0</v>
      </c>
      <c r="P69" s="269">
        <f>+ม.ค.!P69+ก.พ.!P68+มี.ค.!P68</f>
        <v>0</v>
      </c>
      <c r="Q69" s="269">
        <f>+ม.ค.!Q69+ก.พ.!Q68+มี.ค.!Q68</f>
        <v>0</v>
      </c>
      <c r="R69" s="269">
        <f>+ม.ค.!R69+ก.พ.!R68+มี.ค.!R68</f>
        <v>0</v>
      </c>
      <c r="S69" s="269">
        <f>+ม.ค.!S69+ก.พ.!S68+มี.ค.!S68</f>
        <v>0</v>
      </c>
      <c r="T69" s="269"/>
      <c r="U69" s="269">
        <f>+ม.ค.!U69+ก.พ.!U68+มี.ค.!U68</f>
        <v>0</v>
      </c>
      <c r="V69" s="269">
        <f>+ม.ค.!V69+ก.พ.!V68+มี.ค.!V68</f>
        <v>0</v>
      </c>
    </row>
    <row r="70" spans="1:22" ht="25.5" customHeight="1">
      <c r="A70" s="9"/>
      <c r="B70" s="187" t="s">
        <v>236</v>
      </c>
      <c r="C70" s="283">
        <v>5000</v>
      </c>
      <c r="D70" s="131"/>
      <c r="E70" s="269">
        <f>+ม.ค.!E70+ก.พ.!E69+มี.ค.!E69</f>
        <v>0</v>
      </c>
      <c r="F70" s="269">
        <f>+ม.ค.!F70+ก.พ.!F69+มี.ค.!F69</f>
        <v>0</v>
      </c>
      <c r="G70" s="269">
        <f>+ม.ค.!G70+ก.พ.!G69+มี.ค.!G69</f>
        <v>0</v>
      </c>
      <c r="H70" s="269">
        <f>+ม.ค.!H70+ก.พ.!H69+มี.ค.!H69</f>
        <v>0</v>
      </c>
      <c r="I70" s="269">
        <f>+ม.ค.!I70+ก.พ.!I69+มี.ค.!I69</f>
        <v>0</v>
      </c>
      <c r="J70" s="269">
        <f>+ม.ค.!J70+ก.พ.!J69+มี.ค.!J69</f>
        <v>0</v>
      </c>
      <c r="K70" s="269">
        <f>+ม.ค.!K70+ก.พ.!K69+มี.ค.!K69</f>
        <v>0</v>
      </c>
      <c r="L70" s="269">
        <f>+ม.ค.!L70+ก.พ.!L69+มี.ค.!L69</f>
        <v>0</v>
      </c>
      <c r="M70" s="269">
        <f>+ม.ค.!M70+ก.พ.!M69+มี.ค.!M69</f>
        <v>0</v>
      </c>
      <c r="N70" s="269">
        <f>+ม.ค.!N70+ก.พ.!N69+มี.ค.!N69</f>
        <v>0</v>
      </c>
      <c r="O70" s="269">
        <f>+ม.ค.!O70+ก.พ.!O69+มี.ค.!O69</f>
        <v>0</v>
      </c>
      <c r="P70" s="269">
        <f>+ม.ค.!P70+ก.พ.!P69+มี.ค.!P69</f>
        <v>0</v>
      </c>
      <c r="Q70" s="269">
        <f>+ม.ค.!Q70+ก.พ.!Q69+มี.ค.!Q69</f>
        <v>0</v>
      </c>
      <c r="R70" s="269">
        <f>+ม.ค.!R70+ก.พ.!R69+มี.ค.!R69</f>
        <v>0</v>
      </c>
      <c r="S70" s="269">
        <f>+ม.ค.!S70+ก.พ.!S69+มี.ค.!S69</f>
        <v>0</v>
      </c>
      <c r="T70" s="269"/>
      <c r="U70" s="269">
        <f>+ม.ค.!U70+ก.พ.!U69+มี.ค.!U69</f>
        <v>0</v>
      </c>
      <c r="V70" s="269">
        <f>+ม.ค.!V70+ก.พ.!V69+มี.ค.!V69</f>
        <v>0</v>
      </c>
    </row>
    <row r="71" spans="1:22" ht="25.5" customHeight="1">
      <c r="A71" s="9"/>
      <c r="B71" s="187" t="s">
        <v>237</v>
      </c>
      <c r="C71" s="283">
        <v>5000</v>
      </c>
      <c r="D71" s="131"/>
      <c r="E71" s="269">
        <f>+ม.ค.!E71+ก.พ.!E70+มี.ค.!E70</f>
        <v>0</v>
      </c>
      <c r="F71" s="269">
        <f>+ม.ค.!F71+ก.พ.!F70+มี.ค.!F70</f>
        <v>0</v>
      </c>
      <c r="G71" s="269">
        <f>+ม.ค.!G71+ก.พ.!G70+มี.ค.!G70</f>
        <v>0</v>
      </c>
      <c r="H71" s="269">
        <f>+ม.ค.!H71+ก.พ.!H70+มี.ค.!H70</f>
        <v>0</v>
      </c>
      <c r="I71" s="269">
        <f>+ม.ค.!I71+ก.พ.!I70+มี.ค.!I70</f>
        <v>0</v>
      </c>
      <c r="J71" s="269">
        <f>+ม.ค.!J71+ก.พ.!J70+มี.ค.!J70</f>
        <v>0</v>
      </c>
      <c r="K71" s="269">
        <f>+ม.ค.!K71+ก.พ.!K70+มี.ค.!K70</f>
        <v>0</v>
      </c>
      <c r="L71" s="269">
        <f>+ม.ค.!L71+ก.พ.!L70+มี.ค.!L70</f>
        <v>0</v>
      </c>
      <c r="M71" s="269">
        <f>+ม.ค.!M71+ก.พ.!M70+มี.ค.!M70</f>
        <v>0</v>
      </c>
      <c r="N71" s="269">
        <f>+ม.ค.!N71+ก.พ.!N70+มี.ค.!N70</f>
        <v>0</v>
      </c>
      <c r="O71" s="269">
        <f>+ม.ค.!O71+ก.พ.!O70+มี.ค.!O70</f>
        <v>0</v>
      </c>
      <c r="P71" s="269">
        <f>+ม.ค.!P71+ก.พ.!P70+มี.ค.!P70</f>
        <v>0</v>
      </c>
      <c r="Q71" s="269">
        <f>+ม.ค.!Q71+ก.พ.!Q70+มี.ค.!Q70</f>
        <v>0</v>
      </c>
      <c r="R71" s="269">
        <f>+ม.ค.!R71+ก.พ.!R70+มี.ค.!R70</f>
        <v>0</v>
      </c>
      <c r="S71" s="269">
        <f>+ม.ค.!S71+ก.พ.!S70+มี.ค.!S70</f>
        <v>0</v>
      </c>
      <c r="T71" s="269"/>
      <c r="U71" s="269">
        <f>+ม.ค.!U71+ก.พ.!U70+มี.ค.!U70</f>
        <v>0</v>
      </c>
      <c r="V71" s="269">
        <f>+ม.ค.!V71+ก.พ.!V70+มี.ค.!V70</f>
        <v>0</v>
      </c>
    </row>
    <row r="72" spans="1:22" ht="25.5" customHeight="1">
      <c r="A72" s="165"/>
      <c r="B72" s="226" t="s">
        <v>277</v>
      </c>
      <c r="C72" s="279">
        <v>5000</v>
      </c>
      <c r="D72" s="131"/>
      <c r="E72" s="269">
        <f>+ม.ค.!E72+ก.พ.!E71+มี.ค.!E71</f>
        <v>0</v>
      </c>
      <c r="F72" s="269">
        <f>+ม.ค.!F72+ก.พ.!F71+มี.ค.!F71</f>
        <v>0</v>
      </c>
      <c r="G72" s="269">
        <f>+ม.ค.!G72+ก.พ.!G71+มี.ค.!G71</f>
        <v>0</v>
      </c>
      <c r="H72" s="269">
        <f>+ม.ค.!H72+ก.พ.!H71+มี.ค.!H71</f>
        <v>0</v>
      </c>
      <c r="I72" s="269">
        <f>+ม.ค.!I72+ก.พ.!I71+มี.ค.!I71</f>
        <v>0</v>
      </c>
      <c r="J72" s="269">
        <f>+ม.ค.!J72+ก.พ.!J71+มี.ค.!J71</f>
        <v>0</v>
      </c>
      <c r="K72" s="269">
        <f>+ม.ค.!K72+ก.พ.!K71+มี.ค.!K71</f>
        <v>0</v>
      </c>
      <c r="L72" s="269">
        <f>+ม.ค.!L72+ก.พ.!L71+มี.ค.!L71</f>
        <v>0</v>
      </c>
      <c r="M72" s="269">
        <f>+ม.ค.!M72+ก.พ.!M71+มี.ค.!M71</f>
        <v>0</v>
      </c>
      <c r="N72" s="269">
        <f>+ม.ค.!N72+ก.พ.!N71+มี.ค.!N71</f>
        <v>0</v>
      </c>
      <c r="O72" s="269">
        <f>+ม.ค.!O72+ก.พ.!O71+มี.ค.!O71</f>
        <v>0</v>
      </c>
      <c r="P72" s="269">
        <f>+ม.ค.!P72+ก.พ.!P71+มี.ค.!P71</f>
        <v>0</v>
      </c>
      <c r="Q72" s="269">
        <f>+ม.ค.!Q72+ก.พ.!Q71+มี.ค.!Q71</f>
        <v>0</v>
      </c>
      <c r="R72" s="269">
        <f>+ม.ค.!R72+ก.พ.!R71+มี.ค.!R71</f>
        <v>0</v>
      </c>
      <c r="S72" s="269">
        <f>+ม.ค.!S72+ก.พ.!S71+มี.ค.!S71</f>
        <v>0</v>
      </c>
      <c r="T72" s="269"/>
      <c r="U72" s="269">
        <f>+ม.ค.!U72+ก.พ.!U71+มี.ค.!U71</f>
        <v>0</v>
      </c>
      <c r="V72" s="269">
        <f>+ม.ค.!V72+ก.พ.!V71+มี.ค.!V71</f>
        <v>0</v>
      </c>
    </row>
    <row r="73" spans="1:22" ht="25.5" customHeight="1">
      <c r="A73" s="165"/>
      <c r="B73" s="226" t="s">
        <v>107</v>
      </c>
      <c r="C73" s="279">
        <v>10000</v>
      </c>
      <c r="D73" s="131"/>
      <c r="E73" s="269">
        <f>+ม.ค.!E73+ก.พ.!E72+มี.ค.!E72</f>
        <v>0</v>
      </c>
      <c r="F73" s="269">
        <f>+ม.ค.!F73+ก.พ.!F72+มี.ค.!F72</f>
        <v>0</v>
      </c>
      <c r="G73" s="269">
        <f>+ม.ค.!G73+ก.พ.!G72+มี.ค.!G72</f>
        <v>0</v>
      </c>
      <c r="H73" s="269">
        <f>+ม.ค.!H73+ก.พ.!H72+มี.ค.!H72</f>
        <v>0</v>
      </c>
      <c r="I73" s="269">
        <f>+ม.ค.!I73+ก.พ.!I72+มี.ค.!I72</f>
        <v>0</v>
      </c>
      <c r="J73" s="269">
        <f>+ม.ค.!J73+ก.พ.!J72+มี.ค.!J72</f>
        <v>0</v>
      </c>
      <c r="K73" s="269">
        <f>+ม.ค.!K73+ก.พ.!K72+มี.ค.!K72</f>
        <v>0</v>
      </c>
      <c r="L73" s="269">
        <f>+ม.ค.!L73+ก.พ.!L72+มี.ค.!L72</f>
        <v>0</v>
      </c>
      <c r="M73" s="269">
        <f>+ม.ค.!M73+ก.พ.!M72+มี.ค.!M72</f>
        <v>0</v>
      </c>
      <c r="N73" s="269">
        <f>+ม.ค.!N73+ก.พ.!N72+มี.ค.!N72</f>
        <v>0</v>
      </c>
      <c r="O73" s="269">
        <f>+ม.ค.!O73+ก.พ.!O72+มี.ค.!O72</f>
        <v>0</v>
      </c>
      <c r="P73" s="269">
        <f>+ม.ค.!P73+ก.พ.!P72+มี.ค.!P72</f>
        <v>0</v>
      </c>
      <c r="Q73" s="269">
        <f>+ม.ค.!Q73+ก.พ.!Q72+มี.ค.!Q72</f>
        <v>0</v>
      </c>
      <c r="R73" s="269">
        <f>+ม.ค.!R73+ก.พ.!R72+มี.ค.!R72</f>
        <v>0</v>
      </c>
      <c r="S73" s="269">
        <f>+ม.ค.!S73+ก.พ.!S72+มี.ค.!S72</f>
        <v>0</v>
      </c>
      <c r="T73" s="269"/>
      <c r="U73" s="269">
        <f>+ม.ค.!U73+ก.พ.!U72+มี.ค.!U72</f>
        <v>0</v>
      </c>
      <c r="V73" s="269">
        <f>+ม.ค.!V73+ก.พ.!V72+มี.ค.!V72</f>
        <v>0</v>
      </c>
    </row>
    <row r="74" spans="1:22" ht="25.5" customHeight="1">
      <c r="A74" s="9"/>
      <c r="B74" s="226" t="s">
        <v>278</v>
      </c>
      <c r="C74" s="279">
        <v>10000</v>
      </c>
      <c r="D74" s="195"/>
      <c r="E74" s="269">
        <f>+ม.ค.!E74+ก.พ.!E73+มี.ค.!E73</f>
        <v>0</v>
      </c>
      <c r="F74" s="269">
        <f>+ม.ค.!F74+ก.พ.!F73+มี.ค.!F73</f>
        <v>0</v>
      </c>
      <c r="G74" s="269">
        <f>+ม.ค.!G74+ก.พ.!G73+มี.ค.!G73</f>
        <v>0</v>
      </c>
      <c r="H74" s="269">
        <f>+ม.ค.!H74+ก.พ.!H73+มี.ค.!H73</f>
        <v>0</v>
      </c>
      <c r="I74" s="269">
        <f>+ม.ค.!I74+ก.พ.!I73+มี.ค.!I73</f>
        <v>0</v>
      </c>
      <c r="J74" s="269">
        <f>+ม.ค.!J74+ก.พ.!J73+มี.ค.!J73</f>
        <v>0</v>
      </c>
      <c r="K74" s="269">
        <f>+ม.ค.!K74+ก.พ.!K73+มี.ค.!K73</f>
        <v>0</v>
      </c>
      <c r="L74" s="269">
        <f>+ม.ค.!L74+ก.พ.!L73+มี.ค.!L73</f>
        <v>0</v>
      </c>
      <c r="M74" s="269">
        <f>+ม.ค.!M74+ก.พ.!M73+มี.ค.!M73</f>
        <v>0</v>
      </c>
      <c r="N74" s="269">
        <f>+ม.ค.!N74+ก.พ.!N73+มี.ค.!N73</f>
        <v>0</v>
      </c>
      <c r="O74" s="269">
        <f>+ม.ค.!O74+ก.พ.!O73+มี.ค.!O73</f>
        <v>0</v>
      </c>
      <c r="P74" s="269">
        <f>+ม.ค.!P74+ก.พ.!P73+มี.ค.!P73</f>
        <v>0</v>
      </c>
      <c r="Q74" s="269">
        <f>+ม.ค.!Q74+ก.พ.!Q73+มี.ค.!Q73</f>
        <v>0</v>
      </c>
      <c r="R74" s="269">
        <f>+ม.ค.!R74+ก.พ.!R73+มี.ค.!R73</f>
        <v>0</v>
      </c>
      <c r="S74" s="269">
        <f>+ม.ค.!S74+ก.พ.!S73+มี.ค.!S73</f>
        <v>0</v>
      </c>
      <c r="T74" s="269"/>
      <c r="U74" s="269">
        <f>+ม.ค.!U74+ก.พ.!U73+มี.ค.!U73</f>
        <v>0</v>
      </c>
      <c r="V74" s="269">
        <f>+ม.ค.!V74+ก.พ.!V73+มี.ค.!V73</f>
        <v>0</v>
      </c>
    </row>
    <row r="75" spans="1:22" ht="25.5" customHeight="1">
      <c r="A75" s="165"/>
      <c r="B75" s="226" t="s">
        <v>279</v>
      </c>
      <c r="C75" s="279">
        <v>10000</v>
      </c>
      <c r="D75" s="195"/>
      <c r="E75" s="269">
        <f>+ม.ค.!E75+ก.พ.!E74+มี.ค.!E74</f>
        <v>0</v>
      </c>
      <c r="F75" s="269">
        <f>+ม.ค.!F75+ก.พ.!F74+มี.ค.!F74</f>
        <v>0</v>
      </c>
      <c r="G75" s="269">
        <f>+ม.ค.!G75+ก.พ.!G74+มี.ค.!G74</f>
        <v>0</v>
      </c>
      <c r="H75" s="269">
        <f>+ม.ค.!H75+ก.พ.!H74+มี.ค.!H74</f>
        <v>0</v>
      </c>
      <c r="I75" s="269">
        <f>+ม.ค.!I75+ก.พ.!I74+มี.ค.!I74</f>
        <v>0</v>
      </c>
      <c r="J75" s="269">
        <f>+ม.ค.!J75+ก.พ.!J74+มี.ค.!J74</f>
        <v>0</v>
      </c>
      <c r="K75" s="269">
        <f>+ม.ค.!K75+ก.พ.!K74+มี.ค.!K74</f>
        <v>0</v>
      </c>
      <c r="L75" s="269">
        <f>+ม.ค.!L75+ก.พ.!L74+มี.ค.!L74</f>
        <v>0</v>
      </c>
      <c r="M75" s="269">
        <f>+ม.ค.!M75+ก.พ.!M74+มี.ค.!M74</f>
        <v>0</v>
      </c>
      <c r="N75" s="269">
        <f>+ม.ค.!N75+ก.พ.!N74+มี.ค.!N74</f>
        <v>0</v>
      </c>
      <c r="O75" s="269">
        <f>+ม.ค.!O75+ก.พ.!O74+มี.ค.!O74</f>
        <v>0</v>
      </c>
      <c r="P75" s="269">
        <f>+ม.ค.!P75+ก.พ.!P74+มี.ค.!P74</f>
        <v>0</v>
      </c>
      <c r="Q75" s="269">
        <f>+ม.ค.!Q75+ก.พ.!Q74+มี.ค.!Q74</f>
        <v>0</v>
      </c>
      <c r="R75" s="269">
        <f>+ม.ค.!R75+ก.พ.!R74+มี.ค.!R74</f>
        <v>0</v>
      </c>
      <c r="S75" s="269">
        <f>+ม.ค.!S75+ก.พ.!S74+มี.ค.!S74</f>
        <v>0</v>
      </c>
      <c r="T75" s="269"/>
      <c r="U75" s="269">
        <f>+ม.ค.!U75+ก.พ.!U74+มี.ค.!U74</f>
        <v>0</v>
      </c>
      <c r="V75" s="269">
        <f>+ม.ค.!V75+ก.พ.!V74+มี.ค.!V74</f>
        <v>0</v>
      </c>
    </row>
    <row r="76" spans="1:22" ht="25.5" customHeight="1">
      <c r="A76" s="9"/>
      <c r="B76" s="226" t="s">
        <v>280</v>
      </c>
      <c r="C76" s="279">
        <v>10000</v>
      </c>
      <c r="D76" s="195"/>
      <c r="E76" s="269">
        <f>+ม.ค.!E76+ก.พ.!E75+มี.ค.!E75</f>
        <v>0</v>
      </c>
      <c r="F76" s="269">
        <f>+ม.ค.!F76+ก.พ.!F75+มี.ค.!F75</f>
        <v>0</v>
      </c>
      <c r="G76" s="269">
        <f>+ม.ค.!G76+ก.พ.!G75+มี.ค.!G75</f>
        <v>0</v>
      </c>
      <c r="H76" s="269">
        <f>+ม.ค.!H76+ก.พ.!H75+มี.ค.!H75</f>
        <v>0</v>
      </c>
      <c r="I76" s="269">
        <f>+ม.ค.!I76+ก.พ.!I75+มี.ค.!I75</f>
        <v>0</v>
      </c>
      <c r="J76" s="269">
        <f>+ม.ค.!J76+ก.พ.!J75+มี.ค.!J75</f>
        <v>0</v>
      </c>
      <c r="K76" s="269">
        <f>+ม.ค.!K76+ก.พ.!K75+มี.ค.!K75</f>
        <v>0</v>
      </c>
      <c r="L76" s="269">
        <f>+ม.ค.!L76+ก.พ.!L75+มี.ค.!L75</f>
        <v>0</v>
      </c>
      <c r="M76" s="269">
        <f>+ม.ค.!M76+ก.พ.!M75+มี.ค.!M75</f>
        <v>0</v>
      </c>
      <c r="N76" s="269">
        <f>+ม.ค.!N76+ก.พ.!N75+มี.ค.!N75</f>
        <v>0</v>
      </c>
      <c r="O76" s="269">
        <f>+ม.ค.!O76+ก.พ.!O75+มี.ค.!O75</f>
        <v>0</v>
      </c>
      <c r="P76" s="269">
        <f>+ม.ค.!P76+ก.พ.!P75+มี.ค.!P75</f>
        <v>0</v>
      </c>
      <c r="Q76" s="269">
        <f>+ม.ค.!Q76+ก.พ.!Q75+มี.ค.!Q75</f>
        <v>0</v>
      </c>
      <c r="R76" s="269">
        <f>+ม.ค.!R76+ก.พ.!R75+มี.ค.!R75</f>
        <v>0</v>
      </c>
      <c r="S76" s="269">
        <f>+ม.ค.!S76+ก.พ.!S75+มี.ค.!S75</f>
        <v>0</v>
      </c>
      <c r="T76" s="269"/>
      <c r="U76" s="269">
        <f>+ม.ค.!U76+ก.พ.!U75+มี.ค.!U75</f>
        <v>0</v>
      </c>
      <c r="V76" s="269">
        <f>+ม.ค.!V76+ก.พ.!V75+มี.ค.!V75</f>
        <v>0</v>
      </c>
    </row>
    <row r="77" spans="1:22" ht="25.5" customHeight="1">
      <c r="A77" s="9"/>
      <c r="B77" s="226" t="s">
        <v>281</v>
      </c>
      <c r="C77" s="279">
        <v>5000</v>
      </c>
      <c r="D77" s="195"/>
      <c r="E77" s="269">
        <f>+ม.ค.!E77+ก.พ.!E76+มี.ค.!E76</f>
        <v>0</v>
      </c>
      <c r="F77" s="269">
        <f>+ม.ค.!F77+ก.พ.!F76+มี.ค.!F76</f>
        <v>0</v>
      </c>
      <c r="G77" s="269">
        <f>+ม.ค.!G77+ก.พ.!G76+มี.ค.!G76</f>
        <v>0</v>
      </c>
      <c r="H77" s="269">
        <f>+ม.ค.!H77+ก.พ.!H76+มี.ค.!H76</f>
        <v>0</v>
      </c>
      <c r="I77" s="269">
        <f>+ม.ค.!I77+ก.พ.!I76+มี.ค.!I76</f>
        <v>0</v>
      </c>
      <c r="J77" s="269">
        <f>+ม.ค.!J77+ก.พ.!J76+มี.ค.!J76</f>
        <v>0</v>
      </c>
      <c r="K77" s="269">
        <f>+ม.ค.!K77+ก.พ.!K76+มี.ค.!K76</f>
        <v>0</v>
      </c>
      <c r="L77" s="269">
        <f>+ม.ค.!L77+ก.พ.!L76+มี.ค.!L76</f>
        <v>0</v>
      </c>
      <c r="M77" s="269">
        <f>+ม.ค.!M77+ก.พ.!M76+มี.ค.!M76</f>
        <v>0</v>
      </c>
      <c r="N77" s="269">
        <f>+ม.ค.!N77+ก.พ.!N76+มี.ค.!N76</f>
        <v>0</v>
      </c>
      <c r="O77" s="269">
        <f>+ม.ค.!O77+ก.พ.!O76+มี.ค.!O76</f>
        <v>0</v>
      </c>
      <c r="P77" s="269">
        <f>+ม.ค.!P77+ก.พ.!P76+มี.ค.!P76</f>
        <v>0</v>
      </c>
      <c r="Q77" s="269">
        <f>+ม.ค.!Q77+ก.พ.!Q76+มี.ค.!Q76</f>
        <v>0</v>
      </c>
      <c r="R77" s="269">
        <f>+ม.ค.!R77+ก.พ.!R76+มี.ค.!R76</f>
        <v>0</v>
      </c>
      <c r="S77" s="269">
        <f>+ม.ค.!S77+ก.พ.!S76+มี.ค.!S76</f>
        <v>0</v>
      </c>
      <c r="T77" s="269"/>
      <c r="U77" s="269">
        <f>+ม.ค.!U77+ก.พ.!U76+มี.ค.!U76</f>
        <v>0</v>
      </c>
      <c r="V77" s="269">
        <f>+ม.ค.!V77+ก.พ.!V76+มี.ค.!V76</f>
        <v>0</v>
      </c>
    </row>
    <row r="78" spans="1:22" ht="25.5" customHeight="1">
      <c r="A78" s="9"/>
      <c r="B78" s="226" t="s">
        <v>282</v>
      </c>
      <c r="C78" s="279">
        <v>5000</v>
      </c>
      <c r="D78" s="195"/>
      <c r="E78" s="269">
        <f>+ม.ค.!E78+ก.พ.!E77+มี.ค.!E77</f>
        <v>0</v>
      </c>
      <c r="F78" s="269">
        <f>+ม.ค.!F78+ก.พ.!F77+มี.ค.!F77</f>
        <v>0</v>
      </c>
      <c r="G78" s="269">
        <f>+ม.ค.!G78+ก.พ.!G77+มี.ค.!G77</f>
        <v>0</v>
      </c>
      <c r="H78" s="269">
        <f>+ม.ค.!H78+ก.พ.!H77+มี.ค.!H77</f>
        <v>0</v>
      </c>
      <c r="I78" s="269">
        <f>+ม.ค.!I78+ก.พ.!I77+มี.ค.!I77</f>
        <v>0</v>
      </c>
      <c r="J78" s="269">
        <f>+ม.ค.!J78+ก.พ.!J77+มี.ค.!J77</f>
        <v>0</v>
      </c>
      <c r="K78" s="269">
        <f>+ม.ค.!K78+ก.พ.!K77+มี.ค.!K77</f>
        <v>0</v>
      </c>
      <c r="L78" s="269">
        <f>+ม.ค.!L78+ก.พ.!L77+มี.ค.!L77</f>
        <v>0</v>
      </c>
      <c r="M78" s="269">
        <f>+ม.ค.!M78+ก.พ.!M77+มี.ค.!M77</f>
        <v>0</v>
      </c>
      <c r="N78" s="269">
        <f>+ม.ค.!N78+ก.พ.!N77+มี.ค.!N77</f>
        <v>0</v>
      </c>
      <c r="O78" s="269">
        <f>+ม.ค.!O78+ก.พ.!O77+มี.ค.!O77</f>
        <v>0</v>
      </c>
      <c r="P78" s="269">
        <f>+ม.ค.!P78+ก.พ.!P77+มี.ค.!P77</f>
        <v>0</v>
      </c>
      <c r="Q78" s="269">
        <f>+ม.ค.!Q78+ก.พ.!Q77+มี.ค.!Q77</f>
        <v>0</v>
      </c>
      <c r="R78" s="269">
        <f>+ม.ค.!R78+ก.พ.!R77+มี.ค.!R77</f>
        <v>0</v>
      </c>
      <c r="S78" s="269">
        <f>+ม.ค.!S78+ก.พ.!S77+มี.ค.!S77</f>
        <v>0</v>
      </c>
      <c r="T78" s="269"/>
      <c r="U78" s="269">
        <f>+ม.ค.!U78+ก.พ.!U77+มี.ค.!U77</f>
        <v>0</v>
      </c>
      <c r="V78" s="269">
        <f>+ม.ค.!V78+ก.พ.!V77+มี.ค.!V77</f>
        <v>0</v>
      </c>
    </row>
    <row r="79" spans="1:22" ht="25.5" customHeight="1">
      <c r="A79" s="9"/>
      <c r="B79" s="226" t="s">
        <v>238</v>
      </c>
      <c r="C79" s="279">
        <f>70000+40000+10000+20000+30000+10000+10000</f>
        <v>190000</v>
      </c>
      <c r="D79" s="195"/>
      <c r="E79" s="269">
        <f>+ม.ค.!E79+ก.พ.!E78+มี.ค.!E78</f>
        <v>14690</v>
      </c>
      <c r="F79" s="269">
        <f>+ม.ค.!F79+ก.พ.!F78+มี.ค.!F78</f>
        <v>250</v>
      </c>
      <c r="G79" s="269">
        <f>+ม.ค.!G79+ก.พ.!G78+มี.ค.!G78</f>
        <v>0</v>
      </c>
      <c r="H79" s="269">
        <f>+ม.ค.!H79+ก.พ.!H78+มี.ค.!H78</f>
        <v>0</v>
      </c>
      <c r="I79" s="269">
        <f>+ม.ค.!I79+ก.พ.!I78+มี.ค.!I78</f>
        <v>0</v>
      </c>
      <c r="J79" s="269">
        <f>+ม.ค.!J79+ก.พ.!J78+มี.ค.!J78</f>
        <v>0</v>
      </c>
      <c r="K79" s="269">
        <f>+ม.ค.!K79+ก.พ.!K78+มี.ค.!K78</f>
        <v>0</v>
      </c>
      <c r="L79" s="269">
        <f>+ม.ค.!L79+ก.พ.!L78+มี.ค.!L78</f>
        <v>0</v>
      </c>
      <c r="M79" s="269">
        <f>+ม.ค.!M79+ก.พ.!M78+มี.ค.!M78</f>
        <v>1200</v>
      </c>
      <c r="N79" s="269">
        <f>+ม.ค.!N79+ก.พ.!N78+มี.ค.!N78</f>
        <v>0</v>
      </c>
      <c r="O79" s="269">
        <f>+ม.ค.!O79+ก.พ.!O78+มี.ค.!O78</f>
        <v>0</v>
      </c>
      <c r="P79" s="269">
        <f>+ม.ค.!P79+ก.พ.!P78+มี.ค.!P78</f>
        <v>0</v>
      </c>
      <c r="Q79" s="269">
        <f>+ม.ค.!Q79+ก.พ.!Q78+มี.ค.!Q78</f>
        <v>0</v>
      </c>
      <c r="R79" s="269">
        <f>+ม.ค.!R79+ก.พ.!R78+มี.ค.!R78</f>
        <v>0</v>
      </c>
      <c r="S79" s="269">
        <f>+ม.ค.!S79+ก.พ.!S78+มี.ค.!S78</f>
        <v>0</v>
      </c>
      <c r="T79" s="269"/>
      <c r="U79" s="269">
        <f>+ม.ค.!U79+ก.พ.!U78+มี.ค.!U78</f>
        <v>0</v>
      </c>
      <c r="V79" s="269">
        <f>+ม.ค.!V79+ก.พ.!V78+มี.ค.!V78</f>
        <v>0</v>
      </c>
    </row>
    <row r="80" spans="1:22" ht="25.5" customHeight="1">
      <c r="A80" s="9"/>
      <c r="B80" s="226" t="s">
        <v>121</v>
      </c>
      <c r="C80" s="279">
        <f>100000+47000+3000-140000</f>
        <v>10000</v>
      </c>
      <c r="D80" s="195"/>
      <c r="E80" s="269">
        <f>+ม.ค.!E80+ก.พ.!E79+มี.ค.!E79</f>
        <v>0</v>
      </c>
      <c r="F80" s="269">
        <f>+ม.ค.!F80+ก.พ.!F79+มี.ค.!F79</f>
        <v>0</v>
      </c>
      <c r="G80" s="269">
        <f>+ม.ค.!G80+ก.พ.!G79+มี.ค.!G79</f>
        <v>0</v>
      </c>
      <c r="H80" s="269">
        <f>+ม.ค.!H80+ก.พ.!H79+มี.ค.!H79</f>
        <v>0</v>
      </c>
      <c r="I80" s="269">
        <f>+ม.ค.!I80+ก.พ.!I79+มี.ค.!I79</f>
        <v>0</v>
      </c>
      <c r="J80" s="269">
        <f>+ม.ค.!J80+ก.พ.!J79+มี.ค.!J79</f>
        <v>0</v>
      </c>
      <c r="K80" s="269">
        <f>+ม.ค.!K80+ก.พ.!K79+มี.ค.!K79</f>
        <v>0</v>
      </c>
      <c r="L80" s="269">
        <f>+ม.ค.!L80+ก.พ.!L79+มี.ค.!L79</f>
        <v>0</v>
      </c>
      <c r="M80" s="269">
        <f>+ม.ค.!M80+ก.พ.!M79+มี.ค.!M79</f>
        <v>0</v>
      </c>
      <c r="N80" s="269">
        <f>+ม.ค.!N80+ก.พ.!N79+มี.ค.!N79</f>
        <v>0</v>
      </c>
      <c r="O80" s="269">
        <f>+ม.ค.!O80+ก.พ.!O79+มี.ค.!O79</f>
        <v>0</v>
      </c>
      <c r="P80" s="269">
        <f>+ม.ค.!P80+ก.พ.!P79+มี.ค.!P79</f>
        <v>0</v>
      </c>
      <c r="Q80" s="269">
        <f>+ม.ค.!Q80+ก.พ.!Q79+มี.ค.!Q79</f>
        <v>0</v>
      </c>
      <c r="R80" s="269">
        <f>+ม.ค.!R80+ก.พ.!R79+มี.ค.!R79</f>
        <v>0</v>
      </c>
      <c r="S80" s="269">
        <f>+ม.ค.!S80+ก.พ.!S79+มี.ค.!S79</f>
        <v>0</v>
      </c>
      <c r="T80" s="269"/>
      <c r="U80" s="269">
        <f>+ม.ค.!U80+ก.พ.!U79+มี.ค.!U79</f>
        <v>0</v>
      </c>
      <c r="V80" s="269">
        <f>+ม.ค.!V80+ก.พ.!V79+มี.ค.!V79</f>
        <v>0</v>
      </c>
    </row>
    <row r="81" spans="1:22" ht="25.5" customHeight="1">
      <c r="A81" s="9"/>
      <c r="B81" s="226" t="s">
        <v>295</v>
      </c>
      <c r="C81" s="279">
        <f>40000+50000</f>
        <v>90000</v>
      </c>
      <c r="D81" s="195"/>
      <c r="E81" s="269">
        <f>+ม.ค.!E81+ก.พ.!E80+มี.ค.!E80</f>
        <v>0</v>
      </c>
      <c r="F81" s="269">
        <f>+ม.ค.!F81+ก.พ.!F80+มี.ค.!F80</f>
        <v>0</v>
      </c>
      <c r="G81" s="269">
        <f>+ม.ค.!G81+ก.พ.!G80+มี.ค.!G80</f>
        <v>81290</v>
      </c>
      <c r="H81" s="269">
        <f>+ม.ค.!H81+ก.พ.!H80+มี.ค.!H80</f>
        <v>0</v>
      </c>
      <c r="I81" s="269">
        <f>+ม.ค.!I81+ก.พ.!I80+มี.ค.!I80</f>
        <v>0</v>
      </c>
      <c r="J81" s="269">
        <f>+ม.ค.!J81+ก.พ.!J80+มี.ค.!J80</f>
        <v>0</v>
      </c>
      <c r="K81" s="269">
        <f>+ม.ค.!K81+ก.พ.!K80+มี.ค.!K80</f>
        <v>0</v>
      </c>
      <c r="L81" s="269">
        <f>+ม.ค.!L81+ก.พ.!L80+มี.ค.!L80</f>
        <v>0</v>
      </c>
      <c r="M81" s="269">
        <f>+ม.ค.!M81+ก.พ.!M80+มี.ค.!M80</f>
        <v>0</v>
      </c>
      <c r="N81" s="269">
        <f>+ม.ค.!N81+ก.พ.!N80+มี.ค.!N80</f>
        <v>0</v>
      </c>
      <c r="O81" s="269">
        <f>+ม.ค.!O81+ก.พ.!O80+มี.ค.!O80</f>
        <v>0</v>
      </c>
      <c r="P81" s="269">
        <f>+ม.ค.!P81+ก.พ.!P80+มี.ค.!P80</f>
        <v>0</v>
      </c>
      <c r="Q81" s="269">
        <f>+ม.ค.!Q81+ก.พ.!Q80+มี.ค.!Q80</f>
        <v>0</v>
      </c>
      <c r="R81" s="269">
        <f>+ม.ค.!R81+ก.พ.!R80+มี.ค.!R80</f>
        <v>0</v>
      </c>
      <c r="S81" s="269">
        <f>+ม.ค.!S81+ก.พ.!S80+มี.ค.!S80</f>
        <v>0</v>
      </c>
      <c r="T81" s="269"/>
      <c r="U81" s="269">
        <f>+ม.ค.!U81+ก.พ.!U80+มี.ค.!U80</f>
        <v>0</v>
      </c>
      <c r="V81" s="269">
        <f>+ม.ค.!V81+ก.พ.!V80+มี.ค.!V80</f>
        <v>0</v>
      </c>
    </row>
    <row r="82" spans="1:22" ht="25.5" customHeight="1">
      <c r="A82" s="9"/>
      <c r="B82" s="226" t="s">
        <v>296</v>
      </c>
      <c r="C82" s="279">
        <v>30000</v>
      </c>
      <c r="D82" s="195"/>
      <c r="E82" s="269">
        <f>+ม.ค.!E82+ก.พ.!E81+มี.ค.!E81</f>
        <v>0</v>
      </c>
      <c r="F82" s="269">
        <f>+ม.ค.!F82+ก.พ.!F81+มี.ค.!F81</f>
        <v>0</v>
      </c>
      <c r="G82" s="269">
        <f>+ม.ค.!G82+ก.พ.!G81+มี.ค.!G81</f>
        <v>14920</v>
      </c>
      <c r="H82" s="269">
        <f>+ม.ค.!H82+ก.พ.!H81+มี.ค.!H81</f>
        <v>0</v>
      </c>
      <c r="I82" s="269">
        <f>+ม.ค.!I82+ก.พ.!I81+มี.ค.!I81</f>
        <v>0</v>
      </c>
      <c r="J82" s="269">
        <f>+ม.ค.!J82+ก.พ.!J81+มี.ค.!J81</f>
        <v>0</v>
      </c>
      <c r="K82" s="269">
        <f>+ม.ค.!K82+ก.พ.!K81+มี.ค.!K81</f>
        <v>0</v>
      </c>
      <c r="L82" s="269">
        <f>+ม.ค.!L82+ก.พ.!L81+มี.ค.!L81</f>
        <v>0</v>
      </c>
      <c r="M82" s="269">
        <f>+ม.ค.!M82+ก.พ.!M81+มี.ค.!M81</f>
        <v>0</v>
      </c>
      <c r="N82" s="269">
        <f>+ม.ค.!N82+ก.พ.!N81+มี.ค.!N81</f>
        <v>0</v>
      </c>
      <c r="O82" s="269">
        <f>+ม.ค.!O82+ก.พ.!O81+มี.ค.!O81</f>
        <v>0</v>
      </c>
      <c r="P82" s="269">
        <f>+ม.ค.!P82+ก.พ.!P81+มี.ค.!P81</f>
        <v>0</v>
      </c>
      <c r="Q82" s="269">
        <f>+ม.ค.!Q82+ก.พ.!Q81+มี.ค.!Q81</f>
        <v>0</v>
      </c>
      <c r="R82" s="269">
        <f>+ม.ค.!R82+ก.พ.!R81+มี.ค.!R81</f>
        <v>0</v>
      </c>
      <c r="S82" s="269">
        <f>+ม.ค.!S82+ก.พ.!S81+มี.ค.!S81</f>
        <v>0</v>
      </c>
      <c r="T82" s="269"/>
      <c r="U82" s="269">
        <f>+ม.ค.!U82+ก.พ.!U81+มี.ค.!U81</f>
        <v>0</v>
      </c>
      <c r="V82" s="269">
        <f>+ม.ค.!V82+ก.พ.!V81+มี.ค.!V81</f>
        <v>0</v>
      </c>
    </row>
    <row r="83" spans="1:22" ht="25.5" customHeight="1">
      <c r="A83" s="9"/>
      <c r="B83" s="226" t="s">
        <v>210</v>
      </c>
      <c r="C83" s="279">
        <v>10000</v>
      </c>
      <c r="D83" s="195"/>
      <c r="E83" s="269">
        <f>+ม.ค.!E83+ก.พ.!E82+มี.ค.!E82</f>
        <v>0</v>
      </c>
      <c r="F83" s="269">
        <f>+ม.ค.!F83+ก.พ.!F82+มี.ค.!F82</f>
        <v>0</v>
      </c>
      <c r="G83" s="269">
        <f>+ม.ค.!G83+ก.พ.!G82+มี.ค.!G82</f>
        <v>0</v>
      </c>
      <c r="H83" s="269">
        <f>+ม.ค.!H83+ก.พ.!H82+มี.ค.!H82</f>
        <v>0</v>
      </c>
      <c r="I83" s="269">
        <f>+ม.ค.!I83+ก.พ.!I82+มี.ค.!I82</f>
        <v>0</v>
      </c>
      <c r="J83" s="269">
        <f>+ม.ค.!J83+ก.พ.!J82+มี.ค.!J82</f>
        <v>0</v>
      </c>
      <c r="K83" s="269">
        <f>+ม.ค.!K83+ก.พ.!K82+มี.ค.!K82</f>
        <v>0</v>
      </c>
      <c r="L83" s="269">
        <f>+ม.ค.!L83+ก.พ.!L82+มี.ค.!L82</f>
        <v>0</v>
      </c>
      <c r="M83" s="269">
        <f>+ม.ค.!M83+ก.พ.!M82+มี.ค.!M82</f>
        <v>0</v>
      </c>
      <c r="N83" s="269">
        <f>+ม.ค.!N83+ก.พ.!N82+มี.ค.!N82</f>
        <v>0</v>
      </c>
      <c r="O83" s="269">
        <f>+ม.ค.!O83+ก.พ.!O82+มี.ค.!O82</f>
        <v>0</v>
      </c>
      <c r="P83" s="269">
        <f>+ม.ค.!P83+ก.พ.!P82+มี.ค.!P82</f>
        <v>0</v>
      </c>
      <c r="Q83" s="269">
        <f>+ม.ค.!Q83+ก.พ.!Q82+มี.ค.!Q82</f>
        <v>0</v>
      </c>
      <c r="R83" s="269">
        <f>+ม.ค.!R83+ก.พ.!R82+มี.ค.!R82</f>
        <v>0</v>
      </c>
      <c r="S83" s="269">
        <f>+ม.ค.!S83+ก.พ.!S82+มี.ค.!S82</f>
        <v>0</v>
      </c>
      <c r="T83" s="269"/>
      <c r="U83" s="269">
        <f>+ม.ค.!U83+ก.พ.!U82+มี.ค.!U82</f>
        <v>0</v>
      </c>
      <c r="V83" s="269">
        <f>+ม.ค.!V83+ก.พ.!V82+มี.ค.!V82</f>
        <v>0</v>
      </c>
    </row>
    <row r="84" spans="1:22" ht="25.5" customHeight="1">
      <c r="A84" s="9"/>
      <c r="B84" s="187" t="s">
        <v>297</v>
      </c>
      <c r="C84" s="279">
        <v>20000</v>
      </c>
      <c r="D84" s="195"/>
      <c r="E84" s="269">
        <f>+ม.ค.!E84+ก.พ.!E83+มี.ค.!E83</f>
        <v>0</v>
      </c>
      <c r="F84" s="269">
        <f>+ม.ค.!F84+ก.พ.!F83+มี.ค.!F83</f>
        <v>0</v>
      </c>
      <c r="G84" s="269">
        <f>+ม.ค.!G84+ก.พ.!G83+มี.ค.!G83</f>
        <v>0</v>
      </c>
      <c r="H84" s="269">
        <f>+ม.ค.!H84+ก.พ.!H83+มี.ค.!H83</f>
        <v>0</v>
      </c>
      <c r="I84" s="269">
        <f>+ม.ค.!I84+ก.พ.!I83+มี.ค.!I83</f>
        <v>0</v>
      </c>
      <c r="J84" s="269">
        <f>+ม.ค.!J84+ก.พ.!J83+มี.ค.!J83</f>
        <v>0</v>
      </c>
      <c r="K84" s="269">
        <f>+ม.ค.!K84+ก.พ.!K83+มี.ค.!K83</f>
        <v>0</v>
      </c>
      <c r="L84" s="269">
        <f>+ม.ค.!L84+ก.พ.!L83+มี.ค.!L83</f>
        <v>0</v>
      </c>
      <c r="M84" s="269">
        <f>+ม.ค.!M84+ก.พ.!M83+มี.ค.!M83</f>
        <v>0</v>
      </c>
      <c r="N84" s="269">
        <f>+ม.ค.!N84+ก.พ.!N83+มี.ค.!N83</f>
        <v>0</v>
      </c>
      <c r="O84" s="269">
        <f>+ม.ค.!O84+ก.พ.!O83+มี.ค.!O83</f>
        <v>0</v>
      </c>
      <c r="P84" s="269">
        <f>+ม.ค.!P84+ก.พ.!P83+มี.ค.!P83</f>
        <v>0</v>
      </c>
      <c r="Q84" s="269">
        <f>+ม.ค.!Q84+ก.พ.!Q83+มี.ค.!Q83</f>
        <v>0</v>
      </c>
      <c r="R84" s="269">
        <f>+ม.ค.!R84+ก.พ.!R83+มี.ค.!R83</f>
        <v>0</v>
      </c>
      <c r="S84" s="269">
        <f>+ม.ค.!S84+ก.พ.!S83+มี.ค.!S83</f>
        <v>0</v>
      </c>
      <c r="T84" s="269"/>
      <c r="U84" s="269">
        <f>+ม.ค.!U84+ก.พ.!U83+มี.ค.!U83</f>
        <v>0</v>
      </c>
      <c r="V84" s="269">
        <f>+ม.ค.!V84+ก.พ.!V83+มี.ค.!V83</f>
        <v>0</v>
      </c>
    </row>
    <row r="85" spans="1:22" ht="25.5" customHeight="1">
      <c r="A85" s="9"/>
      <c r="B85" s="187" t="s">
        <v>298</v>
      </c>
      <c r="C85" s="279">
        <v>20000</v>
      </c>
      <c r="D85" s="195"/>
      <c r="E85" s="269">
        <f>+ม.ค.!E85+ก.พ.!E84+มี.ค.!E84</f>
        <v>0</v>
      </c>
      <c r="F85" s="269">
        <f>+ม.ค.!F85+ก.พ.!F84+มี.ค.!F84</f>
        <v>0</v>
      </c>
      <c r="G85" s="269">
        <f>+ม.ค.!G85+ก.พ.!G84+มี.ค.!G84</f>
        <v>0</v>
      </c>
      <c r="H85" s="269">
        <f>+ม.ค.!H85+ก.พ.!H84+มี.ค.!H84</f>
        <v>0</v>
      </c>
      <c r="I85" s="269">
        <f>+ม.ค.!I85+ก.พ.!I84+มี.ค.!I84</f>
        <v>0</v>
      </c>
      <c r="J85" s="269">
        <f>+ม.ค.!J85+ก.พ.!J84+มี.ค.!J84</f>
        <v>0</v>
      </c>
      <c r="K85" s="269">
        <f>+ม.ค.!K85+ก.พ.!K84+มี.ค.!K84</f>
        <v>0</v>
      </c>
      <c r="L85" s="269">
        <f>+ม.ค.!L85+ก.พ.!L84+มี.ค.!L84</f>
        <v>0</v>
      </c>
      <c r="M85" s="269">
        <f>+ม.ค.!M85+ก.พ.!M84+มี.ค.!M84</f>
        <v>0</v>
      </c>
      <c r="N85" s="269">
        <f>+ม.ค.!N85+ก.พ.!N84+มี.ค.!N84</f>
        <v>0</v>
      </c>
      <c r="O85" s="269">
        <f>+ม.ค.!O85+ก.พ.!O84+มี.ค.!O84</f>
        <v>0</v>
      </c>
      <c r="P85" s="269">
        <f>+ม.ค.!P85+ก.พ.!P84+มี.ค.!P84</f>
        <v>0</v>
      </c>
      <c r="Q85" s="269">
        <f>+ม.ค.!Q85+ก.พ.!Q84+มี.ค.!Q84</f>
        <v>0</v>
      </c>
      <c r="R85" s="269">
        <f>+ม.ค.!R85+ก.พ.!R84+มี.ค.!R84</f>
        <v>0</v>
      </c>
      <c r="S85" s="269">
        <f>+ม.ค.!S85+ก.พ.!S84+มี.ค.!S84</f>
        <v>0</v>
      </c>
      <c r="T85" s="269"/>
      <c r="U85" s="269">
        <f>+ม.ค.!U85+ก.พ.!U84+มี.ค.!U84</f>
        <v>0</v>
      </c>
      <c r="V85" s="269">
        <f>+ม.ค.!V85+ก.พ.!V84+มี.ค.!V84</f>
        <v>0</v>
      </c>
    </row>
    <row r="86" spans="1:22" ht="25.5" customHeight="1">
      <c r="A86" s="9"/>
      <c r="B86" s="187" t="s">
        <v>299</v>
      </c>
      <c r="C86" s="279">
        <v>15000</v>
      </c>
      <c r="D86" s="195"/>
      <c r="E86" s="269">
        <f>+ม.ค.!E86+ก.พ.!E85+มี.ค.!E85</f>
        <v>0</v>
      </c>
      <c r="F86" s="269">
        <f>+ม.ค.!F86+ก.พ.!F85+มี.ค.!F85</f>
        <v>0</v>
      </c>
      <c r="G86" s="269">
        <f>+ม.ค.!G86+ก.พ.!G85+มี.ค.!G85</f>
        <v>0</v>
      </c>
      <c r="H86" s="269">
        <f>+ม.ค.!H86+ก.พ.!H85+มี.ค.!H85</f>
        <v>0</v>
      </c>
      <c r="I86" s="269">
        <f>+ม.ค.!I86+ก.พ.!I85+มี.ค.!I85</f>
        <v>0</v>
      </c>
      <c r="J86" s="269">
        <f>+ม.ค.!J86+ก.พ.!J85+มี.ค.!J85</f>
        <v>0</v>
      </c>
      <c r="K86" s="269">
        <f>+ม.ค.!K86+ก.พ.!K85+มี.ค.!K85</f>
        <v>0</v>
      </c>
      <c r="L86" s="269">
        <f>+ม.ค.!L86+ก.พ.!L85+มี.ค.!L85</f>
        <v>0</v>
      </c>
      <c r="M86" s="269">
        <f>+ม.ค.!M86+ก.พ.!M85+มี.ค.!M85</f>
        <v>0</v>
      </c>
      <c r="N86" s="269">
        <f>+ม.ค.!N86+ก.พ.!N85+มี.ค.!N85</f>
        <v>0</v>
      </c>
      <c r="O86" s="269">
        <f>+ม.ค.!O86+ก.พ.!O85+มี.ค.!O85</f>
        <v>0</v>
      </c>
      <c r="P86" s="269">
        <f>+ม.ค.!P86+ก.พ.!P85+มี.ค.!P85</f>
        <v>0</v>
      </c>
      <c r="Q86" s="269">
        <f>+ม.ค.!Q86+ก.พ.!Q85+มี.ค.!Q85</f>
        <v>0</v>
      </c>
      <c r="R86" s="269">
        <f>+ม.ค.!R86+ก.พ.!R85+มี.ค.!R85</f>
        <v>0</v>
      </c>
      <c r="S86" s="269">
        <f>+ม.ค.!S86+ก.พ.!S85+มี.ค.!S85</f>
        <v>0</v>
      </c>
      <c r="T86" s="269"/>
      <c r="U86" s="269">
        <f>+ม.ค.!U86+ก.พ.!U85+มี.ค.!U85</f>
        <v>0</v>
      </c>
      <c r="V86" s="269">
        <f>+ม.ค.!V86+ก.พ.!V85+มี.ค.!V85</f>
        <v>0</v>
      </c>
    </row>
    <row r="87" spans="1:22" ht="25.5" customHeight="1">
      <c r="A87" s="9"/>
      <c r="B87" s="187" t="s">
        <v>300</v>
      </c>
      <c r="C87" s="279">
        <v>10000</v>
      </c>
      <c r="D87" s="195"/>
      <c r="E87" s="269">
        <f>+ม.ค.!E87+ก.พ.!E86+มี.ค.!E86</f>
        <v>0</v>
      </c>
      <c r="F87" s="269">
        <f>+ม.ค.!F87+ก.พ.!F86+มี.ค.!F86</f>
        <v>0</v>
      </c>
      <c r="G87" s="269">
        <f>+ม.ค.!G87+ก.พ.!G86+มี.ค.!G86</f>
        <v>0</v>
      </c>
      <c r="H87" s="269">
        <f>+ม.ค.!H87+ก.พ.!H86+มี.ค.!H86</f>
        <v>0</v>
      </c>
      <c r="I87" s="269">
        <f>+ม.ค.!I87+ก.พ.!I86+มี.ค.!I86</f>
        <v>0</v>
      </c>
      <c r="J87" s="269">
        <f>+ม.ค.!J87+ก.พ.!J86+มี.ค.!J86</f>
        <v>0</v>
      </c>
      <c r="K87" s="269">
        <f>+ม.ค.!K87+ก.พ.!K86+มี.ค.!K86</f>
        <v>0</v>
      </c>
      <c r="L87" s="269">
        <f>+ม.ค.!L87+ก.พ.!L86+มี.ค.!L86</f>
        <v>0</v>
      </c>
      <c r="M87" s="269">
        <f>+ม.ค.!M87+ก.พ.!M86+มี.ค.!M86</f>
        <v>0</v>
      </c>
      <c r="N87" s="269">
        <f>+ม.ค.!N87+ก.พ.!N86+มี.ค.!N86</f>
        <v>0</v>
      </c>
      <c r="O87" s="269">
        <f>+ม.ค.!O87+ก.พ.!O86+มี.ค.!O86</f>
        <v>0</v>
      </c>
      <c r="P87" s="269">
        <f>+ม.ค.!P87+ก.พ.!P86+มี.ค.!P86</f>
        <v>0</v>
      </c>
      <c r="Q87" s="269">
        <f>+ม.ค.!Q87+ก.พ.!Q86+มี.ค.!Q86</f>
        <v>0</v>
      </c>
      <c r="R87" s="269">
        <f>+ม.ค.!R87+ก.พ.!R86+มี.ค.!R86</f>
        <v>0</v>
      </c>
      <c r="S87" s="269">
        <f>+ม.ค.!S87+ก.พ.!S86+มี.ค.!S86</f>
        <v>0</v>
      </c>
      <c r="T87" s="269"/>
      <c r="U87" s="269">
        <f>+ม.ค.!U87+ก.พ.!U86+มี.ค.!U86</f>
        <v>0</v>
      </c>
      <c r="V87" s="269">
        <f>+ม.ค.!V87+ก.พ.!V86+มี.ค.!V86</f>
        <v>0</v>
      </c>
    </row>
    <row r="88" spans="1:22" ht="25.5" customHeight="1">
      <c r="A88" s="9"/>
      <c r="B88" s="187" t="s">
        <v>301</v>
      </c>
      <c r="C88" s="279">
        <v>345100</v>
      </c>
      <c r="D88" s="195"/>
      <c r="E88" s="269">
        <f>+ม.ค.!E88+ก.พ.!E87+มี.ค.!E87</f>
        <v>0</v>
      </c>
      <c r="F88" s="269">
        <f>+ม.ค.!F88+ก.พ.!F87+มี.ค.!F87</f>
        <v>0</v>
      </c>
      <c r="G88" s="269">
        <f>+ม.ค.!G88+ก.พ.!G87+มี.ค.!G87</f>
        <v>0</v>
      </c>
      <c r="H88" s="269">
        <f>+ม.ค.!H88+ก.พ.!H87+มี.ค.!H87</f>
        <v>0</v>
      </c>
      <c r="I88" s="269">
        <f>+ม.ค.!I88+ก.พ.!I87+มี.ค.!I87</f>
        <v>0</v>
      </c>
      <c r="J88" s="269">
        <f>+ม.ค.!J88+ก.พ.!J87+มี.ค.!J87</f>
        <v>0</v>
      </c>
      <c r="K88" s="269">
        <f>+ม.ค.!K88+ก.พ.!K87+มี.ค.!K87</f>
        <v>0</v>
      </c>
      <c r="L88" s="269">
        <f>+ม.ค.!L88+ก.พ.!L87+มี.ค.!L87</f>
        <v>0</v>
      </c>
      <c r="M88" s="269">
        <f>+ม.ค.!M88+ก.พ.!M87+มี.ค.!M87</f>
        <v>0</v>
      </c>
      <c r="N88" s="269">
        <f>+ม.ค.!N88+ก.พ.!N87+มี.ค.!N87</f>
        <v>0</v>
      </c>
      <c r="O88" s="269">
        <f>+ม.ค.!O88+ก.พ.!O87+มี.ค.!O87</f>
        <v>0</v>
      </c>
      <c r="P88" s="269">
        <f>+ม.ค.!P88+ก.พ.!P87+มี.ค.!P87</f>
        <v>0</v>
      </c>
      <c r="Q88" s="269">
        <f>+ม.ค.!Q88+ก.พ.!Q87+มี.ค.!Q87</f>
        <v>0</v>
      </c>
      <c r="R88" s="269">
        <f>+ม.ค.!R88+ก.พ.!R87+มี.ค.!R87</f>
        <v>0</v>
      </c>
      <c r="S88" s="269">
        <f>+ม.ค.!S88+ก.พ.!S87+มี.ค.!S87</f>
        <v>0</v>
      </c>
      <c r="T88" s="269"/>
      <c r="U88" s="269">
        <f>+ม.ค.!U88+ก.พ.!U87+มี.ค.!U87</f>
        <v>0</v>
      </c>
      <c r="V88" s="269">
        <f>+ม.ค.!V88+ก.พ.!V87+มี.ค.!V87</f>
        <v>0</v>
      </c>
    </row>
    <row r="89" spans="1:22" ht="25.5" customHeight="1">
      <c r="A89" s="9"/>
      <c r="B89" s="187" t="s">
        <v>242</v>
      </c>
      <c r="C89" s="279">
        <v>40000</v>
      </c>
      <c r="D89" s="195"/>
      <c r="E89" s="269">
        <f>+ม.ค.!E89+ก.พ.!E88+มี.ค.!E88</f>
        <v>0</v>
      </c>
      <c r="F89" s="269">
        <f>+ม.ค.!F89+ก.พ.!F88+มี.ค.!F88</f>
        <v>0</v>
      </c>
      <c r="G89" s="269">
        <f>+ม.ค.!G89+ก.พ.!G88+มี.ค.!G88</f>
        <v>0</v>
      </c>
      <c r="H89" s="269">
        <f>+ม.ค.!H89+ก.พ.!H88+มี.ค.!H88</f>
        <v>0</v>
      </c>
      <c r="I89" s="269">
        <f>+ม.ค.!I89+ก.พ.!I88+มี.ค.!I88</f>
        <v>40000</v>
      </c>
      <c r="J89" s="269">
        <f>+ม.ค.!J89+ก.พ.!J88+มี.ค.!J88</f>
        <v>0</v>
      </c>
      <c r="K89" s="269">
        <f>+ม.ค.!K89+ก.พ.!K88+มี.ค.!K88</f>
        <v>0</v>
      </c>
      <c r="L89" s="269">
        <f>+ม.ค.!L89+ก.พ.!L88+มี.ค.!L88</f>
        <v>0</v>
      </c>
      <c r="M89" s="269">
        <f>+ม.ค.!M89+ก.พ.!M88+มี.ค.!M88</f>
        <v>0</v>
      </c>
      <c r="N89" s="269">
        <f>+ม.ค.!N89+ก.พ.!N88+มี.ค.!N88</f>
        <v>0</v>
      </c>
      <c r="O89" s="269">
        <f>+ม.ค.!O89+ก.พ.!O88+มี.ค.!O88</f>
        <v>0</v>
      </c>
      <c r="P89" s="269">
        <f>+ม.ค.!P89+ก.พ.!P88+มี.ค.!P88</f>
        <v>0</v>
      </c>
      <c r="Q89" s="269">
        <f>+ม.ค.!Q89+ก.พ.!Q88+มี.ค.!Q88</f>
        <v>0</v>
      </c>
      <c r="R89" s="269">
        <f>+ม.ค.!R89+ก.พ.!R88+มี.ค.!R88</f>
        <v>0</v>
      </c>
      <c r="S89" s="269">
        <f>+ม.ค.!S89+ก.พ.!S88+มี.ค.!S88</f>
        <v>0</v>
      </c>
      <c r="T89" s="269"/>
      <c r="U89" s="269">
        <f>+ม.ค.!U89+ก.พ.!U88+มี.ค.!U88</f>
        <v>0</v>
      </c>
      <c r="V89" s="269">
        <f>+ม.ค.!V89+ก.พ.!V88+มี.ค.!V88</f>
        <v>0</v>
      </c>
    </row>
    <row r="90" spans="1:22" ht="25.5" customHeight="1">
      <c r="A90" s="9"/>
      <c r="B90" s="187" t="s">
        <v>307</v>
      </c>
      <c r="C90" s="279">
        <f>10000-10000</f>
        <v>0</v>
      </c>
      <c r="D90" s="131"/>
      <c r="E90" s="269">
        <f>+ม.ค.!E90+ก.พ.!E89+มี.ค.!E89</f>
        <v>0</v>
      </c>
      <c r="F90" s="269">
        <f>+ม.ค.!F90+ก.พ.!F89+มี.ค.!F89</f>
        <v>0</v>
      </c>
      <c r="G90" s="269">
        <f>+ม.ค.!G90+ก.พ.!G89+มี.ค.!G89</f>
        <v>0</v>
      </c>
      <c r="H90" s="269">
        <f>+ม.ค.!H90+ก.พ.!H89+มี.ค.!H89</f>
        <v>0</v>
      </c>
      <c r="I90" s="269">
        <f>+ม.ค.!I90+ก.พ.!I89+มี.ค.!I89</f>
        <v>0</v>
      </c>
      <c r="J90" s="269">
        <f>+ม.ค.!J90+ก.พ.!J89+มี.ค.!J89</f>
        <v>0</v>
      </c>
      <c r="K90" s="269">
        <f>+ม.ค.!K90+ก.พ.!K89+มี.ค.!K89</f>
        <v>0</v>
      </c>
      <c r="L90" s="269">
        <f>+ม.ค.!L90+ก.พ.!L89+มี.ค.!L89</f>
        <v>0</v>
      </c>
      <c r="M90" s="269">
        <f>+ม.ค.!M90+ก.พ.!M89+มี.ค.!M89</f>
        <v>0</v>
      </c>
      <c r="N90" s="269">
        <f>+ม.ค.!N90+ก.พ.!N89+มี.ค.!N89</f>
        <v>0</v>
      </c>
      <c r="O90" s="269">
        <f>+ม.ค.!O90+ก.พ.!O89+มี.ค.!O89</f>
        <v>0</v>
      </c>
      <c r="P90" s="269">
        <f>+ม.ค.!P90+ก.พ.!P89+มี.ค.!P89</f>
        <v>0</v>
      </c>
      <c r="Q90" s="269">
        <f>+ม.ค.!Q90+ก.พ.!Q89+มี.ค.!Q89</f>
        <v>0</v>
      </c>
      <c r="R90" s="269">
        <f>+ม.ค.!R90+ก.พ.!R89+มี.ค.!R89</f>
        <v>0</v>
      </c>
      <c r="S90" s="269">
        <f>+ม.ค.!S90+ก.พ.!S89+มี.ค.!S89</f>
        <v>0</v>
      </c>
      <c r="T90" s="269"/>
      <c r="U90" s="269">
        <f>+ม.ค.!U90+ก.พ.!U89+มี.ค.!U89</f>
        <v>0</v>
      </c>
      <c r="V90" s="269">
        <f>+ม.ค.!V90+ก.พ.!V89+มี.ค.!V89</f>
        <v>0</v>
      </c>
    </row>
    <row r="91" spans="1:22" ht="25.5" customHeight="1">
      <c r="A91" s="9"/>
      <c r="B91" s="187" t="s">
        <v>134</v>
      </c>
      <c r="C91" s="279">
        <f>15000-10000</f>
        <v>5000</v>
      </c>
      <c r="D91" s="195"/>
      <c r="E91" s="269">
        <f>+ม.ค.!E91+ก.พ.!E90+มี.ค.!E90</f>
        <v>0</v>
      </c>
      <c r="F91" s="269">
        <f>+ม.ค.!F91+ก.พ.!F90+มี.ค.!F90</f>
        <v>0</v>
      </c>
      <c r="G91" s="269">
        <f>+ม.ค.!G91+ก.พ.!G90+มี.ค.!G90</f>
        <v>0</v>
      </c>
      <c r="H91" s="269">
        <f>+ม.ค.!H91+ก.พ.!H90+มี.ค.!H90</f>
        <v>0</v>
      </c>
      <c r="I91" s="269">
        <f>+ม.ค.!I91+ก.พ.!I90+มี.ค.!I90</f>
        <v>0</v>
      </c>
      <c r="J91" s="269">
        <f>+ม.ค.!J91+ก.พ.!J90+มี.ค.!J90</f>
        <v>0</v>
      </c>
      <c r="K91" s="269">
        <f>+ม.ค.!K91+ก.พ.!K90+มี.ค.!K90</f>
        <v>0</v>
      </c>
      <c r="L91" s="269">
        <f>+ม.ค.!L91+ก.พ.!L90+มี.ค.!L90</f>
        <v>0</v>
      </c>
      <c r="M91" s="269">
        <f>+ม.ค.!M91+ก.พ.!M90+มี.ค.!M90</f>
        <v>0</v>
      </c>
      <c r="N91" s="269">
        <f>+ม.ค.!N91+ก.พ.!N90+มี.ค.!N90</f>
        <v>0</v>
      </c>
      <c r="O91" s="269">
        <f>+ม.ค.!O91+ก.พ.!O90+มี.ค.!O90</f>
        <v>0</v>
      </c>
      <c r="P91" s="269">
        <f>+ม.ค.!P91+ก.พ.!P90+มี.ค.!P90</f>
        <v>0</v>
      </c>
      <c r="Q91" s="269">
        <f>+ม.ค.!Q91+ก.พ.!Q90+มี.ค.!Q90</f>
        <v>0</v>
      </c>
      <c r="R91" s="269">
        <f>+ม.ค.!R91+ก.พ.!R90+มี.ค.!R90</f>
        <v>0</v>
      </c>
      <c r="S91" s="269">
        <f>+ม.ค.!S91+ก.พ.!S90+มี.ค.!S90</f>
        <v>0</v>
      </c>
      <c r="T91" s="269"/>
      <c r="U91" s="269">
        <f>+ม.ค.!U91+ก.พ.!U90+มี.ค.!U90</f>
        <v>0</v>
      </c>
      <c r="V91" s="269">
        <f>+ม.ค.!V91+ก.พ.!V90+มี.ค.!V90</f>
        <v>0</v>
      </c>
    </row>
    <row r="92" spans="1:22" ht="25.5" customHeight="1">
      <c r="A92" s="9"/>
      <c r="B92" s="187" t="s">
        <v>308</v>
      </c>
      <c r="C92" s="279">
        <f>2500-2500</f>
        <v>0</v>
      </c>
      <c r="D92" s="195"/>
      <c r="E92" s="269">
        <f>+ม.ค.!E92+ก.พ.!E91+มี.ค.!E91</f>
        <v>0</v>
      </c>
      <c r="F92" s="269">
        <f>+ม.ค.!F92+ก.พ.!F91+มี.ค.!F91</f>
        <v>0</v>
      </c>
      <c r="G92" s="269">
        <f>+ม.ค.!G92+ก.พ.!G91+มี.ค.!G91</f>
        <v>0</v>
      </c>
      <c r="H92" s="269">
        <f>+ม.ค.!H92+ก.พ.!H91+มี.ค.!H91</f>
        <v>0</v>
      </c>
      <c r="I92" s="269">
        <f>+ม.ค.!I92+ก.พ.!I91+มี.ค.!I91</f>
        <v>0</v>
      </c>
      <c r="J92" s="269">
        <f>+ม.ค.!J92+ก.พ.!J91+มี.ค.!J91</f>
        <v>0</v>
      </c>
      <c r="K92" s="269">
        <f>+ม.ค.!K92+ก.พ.!K91+มี.ค.!K91</f>
        <v>0</v>
      </c>
      <c r="L92" s="269">
        <f>+ม.ค.!L92+ก.พ.!L91+มี.ค.!L91</f>
        <v>0</v>
      </c>
      <c r="M92" s="269">
        <f>+ม.ค.!M92+ก.พ.!M91+มี.ค.!M91</f>
        <v>0</v>
      </c>
      <c r="N92" s="269">
        <f>+ม.ค.!N92+ก.พ.!N91+มี.ค.!N91</f>
        <v>0</v>
      </c>
      <c r="O92" s="269">
        <f>+ม.ค.!O92+ก.พ.!O91+มี.ค.!O91</f>
        <v>0</v>
      </c>
      <c r="P92" s="269">
        <f>+ม.ค.!P92+ก.พ.!P91+มี.ค.!P91</f>
        <v>0</v>
      </c>
      <c r="Q92" s="269">
        <f>+ม.ค.!Q92+ก.พ.!Q91+มี.ค.!Q91</f>
        <v>0</v>
      </c>
      <c r="R92" s="269">
        <f>+ม.ค.!R92+ก.พ.!R91+มี.ค.!R91</f>
        <v>0</v>
      </c>
      <c r="S92" s="269">
        <f>+ม.ค.!S92+ก.พ.!S91+มี.ค.!S91</f>
        <v>0</v>
      </c>
      <c r="T92" s="269"/>
      <c r="U92" s="269">
        <f>+ม.ค.!U92+ก.พ.!U91+มี.ค.!U91</f>
        <v>0</v>
      </c>
      <c r="V92" s="269">
        <f>+ม.ค.!V92+ก.พ.!V91+มี.ค.!V91</f>
        <v>0</v>
      </c>
    </row>
    <row r="93" spans="1:22" ht="25.5" customHeight="1">
      <c r="A93" s="9"/>
      <c r="B93" s="187" t="s">
        <v>309</v>
      </c>
      <c r="C93" s="279">
        <f>2500-2500</f>
        <v>0</v>
      </c>
      <c r="D93" s="195"/>
      <c r="E93" s="269">
        <f>+ม.ค.!E93+ก.พ.!E92+มี.ค.!E92</f>
        <v>0</v>
      </c>
      <c r="F93" s="269">
        <f>+ม.ค.!F93+ก.พ.!F92+มี.ค.!F92</f>
        <v>0</v>
      </c>
      <c r="G93" s="269">
        <f>+ม.ค.!G93+ก.พ.!G92+มี.ค.!G92</f>
        <v>0</v>
      </c>
      <c r="H93" s="269">
        <f>+ม.ค.!H93+ก.พ.!H92+มี.ค.!H92</f>
        <v>0</v>
      </c>
      <c r="I93" s="269">
        <f>+ม.ค.!I93+ก.พ.!I92+มี.ค.!I92</f>
        <v>0</v>
      </c>
      <c r="J93" s="269">
        <f>+ม.ค.!J93+ก.พ.!J92+มี.ค.!J92</f>
        <v>0</v>
      </c>
      <c r="K93" s="269">
        <f>+ม.ค.!K93+ก.พ.!K92+มี.ค.!K92</f>
        <v>0</v>
      </c>
      <c r="L93" s="269">
        <f>+ม.ค.!L93+ก.พ.!L92+มี.ค.!L92</f>
        <v>0</v>
      </c>
      <c r="M93" s="269">
        <f>+ม.ค.!M93+ก.พ.!M92+มี.ค.!M92</f>
        <v>0</v>
      </c>
      <c r="N93" s="269">
        <f>+ม.ค.!N93+ก.พ.!N92+มี.ค.!N92</f>
        <v>0</v>
      </c>
      <c r="O93" s="269">
        <f>+ม.ค.!O93+ก.พ.!O92+มี.ค.!O92</f>
        <v>0</v>
      </c>
      <c r="P93" s="269">
        <f>+ม.ค.!P93+ก.พ.!P92+มี.ค.!P92</f>
        <v>0</v>
      </c>
      <c r="Q93" s="269">
        <f>+ม.ค.!Q93+ก.พ.!Q92+มี.ค.!Q92</f>
        <v>0</v>
      </c>
      <c r="R93" s="269">
        <f>+ม.ค.!R93+ก.พ.!R92+มี.ค.!R92</f>
        <v>0</v>
      </c>
      <c r="S93" s="269">
        <f>+ม.ค.!S93+ก.พ.!S92+มี.ค.!S92</f>
        <v>0</v>
      </c>
      <c r="T93" s="269"/>
      <c r="U93" s="269">
        <f>+ม.ค.!U93+ก.พ.!U92+มี.ค.!U92</f>
        <v>0</v>
      </c>
      <c r="V93" s="269">
        <f>+ม.ค.!V93+ก.พ.!V92+มี.ค.!V92</f>
        <v>0</v>
      </c>
    </row>
    <row r="94" spans="1:22" ht="25.5" customHeight="1">
      <c r="A94" s="9"/>
      <c r="B94" s="187" t="s">
        <v>310</v>
      </c>
      <c r="C94" s="279">
        <f>2500-2500</f>
        <v>0</v>
      </c>
      <c r="D94" s="195"/>
      <c r="E94" s="269">
        <f>+ม.ค.!E94+ก.พ.!E93+มี.ค.!E93</f>
        <v>0</v>
      </c>
      <c r="F94" s="269">
        <f>+ม.ค.!F94+ก.พ.!F93+มี.ค.!F93</f>
        <v>0</v>
      </c>
      <c r="G94" s="269">
        <f>+ม.ค.!G94+ก.พ.!G93+มี.ค.!G93</f>
        <v>0</v>
      </c>
      <c r="H94" s="269">
        <f>+ม.ค.!H94+ก.พ.!H93+มี.ค.!H93</f>
        <v>0</v>
      </c>
      <c r="I94" s="269">
        <f>+ม.ค.!I94+ก.พ.!I93+มี.ค.!I93</f>
        <v>0</v>
      </c>
      <c r="J94" s="269">
        <f>+ม.ค.!J94+ก.พ.!J93+มี.ค.!J93</f>
        <v>0</v>
      </c>
      <c r="K94" s="269">
        <f>+ม.ค.!K94+ก.พ.!K93+มี.ค.!K93</f>
        <v>0</v>
      </c>
      <c r="L94" s="269">
        <f>+ม.ค.!L94+ก.พ.!L93+มี.ค.!L93</f>
        <v>0</v>
      </c>
      <c r="M94" s="269">
        <f>+ม.ค.!M94+ก.พ.!M93+มี.ค.!M93</f>
        <v>0</v>
      </c>
      <c r="N94" s="269">
        <f>+ม.ค.!N94+ก.พ.!N93+มี.ค.!N93</f>
        <v>0</v>
      </c>
      <c r="O94" s="269">
        <f>+ม.ค.!O94+ก.พ.!O93+มี.ค.!O93</f>
        <v>0</v>
      </c>
      <c r="P94" s="269">
        <f>+ม.ค.!P94+ก.พ.!P93+มี.ค.!P93</f>
        <v>0</v>
      </c>
      <c r="Q94" s="269">
        <f>+ม.ค.!Q94+ก.พ.!Q93+มี.ค.!Q93</f>
        <v>0</v>
      </c>
      <c r="R94" s="269">
        <f>+ม.ค.!R94+ก.พ.!R93+มี.ค.!R93</f>
        <v>0</v>
      </c>
      <c r="S94" s="269">
        <f>+ม.ค.!S94+ก.พ.!S93+มี.ค.!S93</f>
        <v>0</v>
      </c>
      <c r="T94" s="269"/>
      <c r="U94" s="269">
        <f>+ม.ค.!U94+ก.พ.!U93+มี.ค.!U93</f>
        <v>0</v>
      </c>
      <c r="V94" s="269">
        <f>+ม.ค.!V94+ก.พ.!V93+มี.ค.!V93</f>
        <v>0</v>
      </c>
    </row>
    <row r="95" spans="1:22" ht="25.5" customHeight="1">
      <c r="A95" s="9"/>
      <c r="B95" s="187" t="s">
        <v>311</v>
      </c>
      <c r="C95" s="279">
        <f>2500-2500</f>
        <v>0</v>
      </c>
      <c r="D95" s="195"/>
      <c r="E95" s="269">
        <f>+ม.ค.!E95+ก.พ.!E94+มี.ค.!E94</f>
        <v>0</v>
      </c>
      <c r="F95" s="269">
        <f>+ม.ค.!F95+ก.พ.!F94+มี.ค.!F94</f>
        <v>0</v>
      </c>
      <c r="G95" s="269">
        <f>+ม.ค.!G95+ก.พ.!G94+มี.ค.!G94</f>
        <v>0</v>
      </c>
      <c r="H95" s="269">
        <f>+ม.ค.!H95+ก.พ.!H94+มี.ค.!H94</f>
        <v>0</v>
      </c>
      <c r="I95" s="269">
        <f>+ม.ค.!I95+ก.พ.!I94+มี.ค.!I94</f>
        <v>0</v>
      </c>
      <c r="J95" s="269">
        <f>+ม.ค.!J95+ก.พ.!J94+มี.ค.!J94</f>
        <v>0</v>
      </c>
      <c r="K95" s="269">
        <f>+ม.ค.!K95+ก.พ.!K94+มี.ค.!K94</f>
        <v>0</v>
      </c>
      <c r="L95" s="269">
        <f>+ม.ค.!L95+ก.พ.!L94+มี.ค.!L94</f>
        <v>0</v>
      </c>
      <c r="M95" s="269">
        <f>+ม.ค.!M95+ก.พ.!M94+มี.ค.!M94</f>
        <v>0</v>
      </c>
      <c r="N95" s="269">
        <f>+ม.ค.!N95+ก.พ.!N94+มี.ค.!N94</f>
        <v>0</v>
      </c>
      <c r="O95" s="269">
        <f>+ม.ค.!O95+ก.พ.!O94+มี.ค.!O94</f>
        <v>0</v>
      </c>
      <c r="P95" s="269">
        <f>+ม.ค.!P95+ก.พ.!P94+มี.ค.!P94</f>
        <v>0</v>
      </c>
      <c r="Q95" s="269">
        <f>+ม.ค.!Q95+ก.พ.!Q94+มี.ค.!Q94</f>
        <v>0</v>
      </c>
      <c r="R95" s="269">
        <f>+ม.ค.!R95+ก.พ.!R94+มี.ค.!R94</f>
        <v>0</v>
      </c>
      <c r="S95" s="269">
        <f>+ม.ค.!S95+ก.พ.!S94+มี.ค.!S94</f>
        <v>0</v>
      </c>
      <c r="T95" s="269"/>
      <c r="U95" s="269">
        <f>+ม.ค.!U95+ก.พ.!U94+มี.ค.!U94</f>
        <v>0</v>
      </c>
      <c r="V95" s="269">
        <f>+ม.ค.!V95+ก.พ.!V94+มี.ค.!V94</f>
        <v>0</v>
      </c>
    </row>
    <row r="96" spans="1:22" ht="25.5" customHeight="1">
      <c r="A96" s="9"/>
      <c r="B96" s="187" t="s">
        <v>243</v>
      </c>
      <c r="C96" s="279">
        <v>2000</v>
      </c>
      <c r="D96" s="195"/>
      <c r="E96" s="269">
        <f>+ม.ค.!E96+ก.พ.!E95+มี.ค.!E95</f>
        <v>0</v>
      </c>
      <c r="F96" s="269">
        <f>+ม.ค.!F96+ก.พ.!F95+มี.ค.!F95</f>
        <v>0</v>
      </c>
      <c r="G96" s="269">
        <f>+ม.ค.!G96+ก.พ.!G95+มี.ค.!G95</f>
        <v>0</v>
      </c>
      <c r="H96" s="269">
        <f>+ม.ค.!H96+ก.พ.!H95+มี.ค.!H95</f>
        <v>0</v>
      </c>
      <c r="I96" s="269">
        <f>+ม.ค.!I96+ก.พ.!I95+มี.ค.!I95</f>
        <v>2000</v>
      </c>
      <c r="J96" s="269">
        <f>+ม.ค.!J96+ก.พ.!J95+มี.ค.!J95</f>
        <v>0</v>
      </c>
      <c r="K96" s="269">
        <f>+ม.ค.!K96+ก.พ.!K95+มี.ค.!K95</f>
        <v>0</v>
      </c>
      <c r="L96" s="269">
        <f>+ม.ค.!L96+ก.พ.!L95+มี.ค.!L95</f>
        <v>0</v>
      </c>
      <c r="M96" s="269">
        <f>+ม.ค.!M96+ก.พ.!M95+มี.ค.!M95</f>
        <v>0</v>
      </c>
      <c r="N96" s="269">
        <f>+ม.ค.!N96+ก.พ.!N95+มี.ค.!N95</f>
        <v>0</v>
      </c>
      <c r="O96" s="269">
        <f>+ม.ค.!O96+ก.พ.!O95+มี.ค.!O95</f>
        <v>0</v>
      </c>
      <c r="P96" s="269">
        <f>+ม.ค.!P96+ก.พ.!P95+มี.ค.!P95</f>
        <v>0</v>
      </c>
      <c r="Q96" s="269">
        <f>+ม.ค.!Q96+ก.พ.!Q95+มี.ค.!Q95</f>
        <v>0</v>
      </c>
      <c r="R96" s="269">
        <f>+ม.ค.!R96+ก.พ.!R95+มี.ค.!R95</f>
        <v>0</v>
      </c>
      <c r="S96" s="269">
        <f>+ม.ค.!S96+ก.พ.!S95+มี.ค.!S95</f>
        <v>0</v>
      </c>
      <c r="T96" s="269"/>
      <c r="U96" s="269">
        <f>+ม.ค.!U96+ก.พ.!U95+มี.ค.!U95</f>
        <v>0</v>
      </c>
      <c r="V96" s="269">
        <f>+ม.ค.!V96+ก.พ.!V95+มี.ค.!V95</f>
        <v>0</v>
      </c>
    </row>
    <row r="97" spans="1:22" ht="25.5" customHeight="1">
      <c r="A97" s="9"/>
      <c r="B97" s="187" t="s">
        <v>248</v>
      </c>
      <c r="C97" s="279">
        <v>2000</v>
      </c>
      <c r="D97" s="195"/>
      <c r="E97" s="269">
        <f>+ม.ค.!E97+ก.พ.!E96+มี.ค.!E96</f>
        <v>0</v>
      </c>
      <c r="F97" s="269">
        <f>+ม.ค.!F97+ก.พ.!F96+มี.ค.!F96</f>
        <v>0</v>
      </c>
      <c r="G97" s="269">
        <f>+ม.ค.!G97+ก.พ.!G96+มี.ค.!G96</f>
        <v>0</v>
      </c>
      <c r="H97" s="269">
        <f>+ม.ค.!H97+ก.พ.!H96+มี.ค.!H96</f>
        <v>0</v>
      </c>
      <c r="I97" s="269">
        <f>+ม.ค.!I97+ก.พ.!I96+มี.ค.!I96</f>
        <v>2000</v>
      </c>
      <c r="J97" s="269">
        <f>+ม.ค.!J97+ก.พ.!J96+มี.ค.!J96</f>
        <v>0</v>
      </c>
      <c r="K97" s="269">
        <f>+ม.ค.!K97+ก.พ.!K96+มี.ค.!K96</f>
        <v>0</v>
      </c>
      <c r="L97" s="269">
        <f>+ม.ค.!L97+ก.พ.!L96+มี.ค.!L96</f>
        <v>0</v>
      </c>
      <c r="M97" s="269">
        <f>+ม.ค.!M97+ก.พ.!M96+มี.ค.!M96</f>
        <v>0</v>
      </c>
      <c r="N97" s="269">
        <f>+ม.ค.!N97+ก.พ.!N96+มี.ค.!N96</f>
        <v>0</v>
      </c>
      <c r="O97" s="269">
        <f>+ม.ค.!O97+ก.พ.!O96+มี.ค.!O96</f>
        <v>0</v>
      </c>
      <c r="P97" s="269">
        <f>+ม.ค.!P97+ก.พ.!P96+มี.ค.!P96</f>
        <v>0</v>
      </c>
      <c r="Q97" s="269">
        <f>+ม.ค.!Q97+ก.พ.!Q96+มี.ค.!Q96</f>
        <v>0</v>
      </c>
      <c r="R97" s="269">
        <f>+ม.ค.!R97+ก.พ.!R96+มี.ค.!R96</f>
        <v>0</v>
      </c>
      <c r="S97" s="269">
        <f>+ม.ค.!S97+ก.พ.!S96+มี.ค.!S96</f>
        <v>0</v>
      </c>
      <c r="T97" s="269"/>
      <c r="U97" s="269">
        <f>+ม.ค.!U97+ก.พ.!U96+มี.ค.!U96</f>
        <v>0</v>
      </c>
      <c r="V97" s="269">
        <f>+ม.ค.!V97+ก.พ.!V96+มี.ค.!V96</f>
        <v>0</v>
      </c>
    </row>
    <row r="98" spans="1:22" ht="25.5" customHeight="1">
      <c r="A98" s="9"/>
      <c r="B98" s="187" t="s">
        <v>244</v>
      </c>
      <c r="C98" s="279">
        <v>2000</v>
      </c>
      <c r="D98" s="195"/>
      <c r="E98" s="269">
        <f>+ม.ค.!E98+ก.พ.!E97+มี.ค.!E97</f>
        <v>0</v>
      </c>
      <c r="F98" s="269">
        <f>+ม.ค.!F98+ก.พ.!F97+มี.ค.!F97</f>
        <v>0</v>
      </c>
      <c r="G98" s="269">
        <f>+ม.ค.!G98+ก.พ.!G97+มี.ค.!G97</f>
        <v>0</v>
      </c>
      <c r="H98" s="269">
        <f>+ม.ค.!H98+ก.พ.!H97+มี.ค.!H97</f>
        <v>0</v>
      </c>
      <c r="I98" s="269">
        <f>+ม.ค.!I98+ก.พ.!I97+มี.ค.!I97</f>
        <v>1995</v>
      </c>
      <c r="J98" s="269">
        <f>+ม.ค.!J98+ก.พ.!J97+มี.ค.!J97</f>
        <v>0</v>
      </c>
      <c r="K98" s="269">
        <f>+ม.ค.!K98+ก.พ.!K97+มี.ค.!K97</f>
        <v>0</v>
      </c>
      <c r="L98" s="269">
        <f>+ม.ค.!L98+ก.พ.!L97+มี.ค.!L97</f>
        <v>0</v>
      </c>
      <c r="M98" s="269">
        <f>+ม.ค.!M98+ก.พ.!M97+มี.ค.!M97</f>
        <v>0</v>
      </c>
      <c r="N98" s="269">
        <f>+ม.ค.!N98+ก.พ.!N97+มี.ค.!N97</f>
        <v>0</v>
      </c>
      <c r="O98" s="269">
        <f>+ม.ค.!O98+ก.พ.!O97+มี.ค.!O97</f>
        <v>0</v>
      </c>
      <c r="P98" s="269">
        <f>+ม.ค.!P98+ก.พ.!P97+มี.ค.!P97</f>
        <v>0</v>
      </c>
      <c r="Q98" s="269">
        <f>+ม.ค.!Q98+ก.พ.!Q97+มี.ค.!Q97</f>
        <v>0</v>
      </c>
      <c r="R98" s="269">
        <f>+ม.ค.!R98+ก.พ.!R97+มี.ค.!R97</f>
        <v>0</v>
      </c>
      <c r="S98" s="269">
        <f>+ม.ค.!S98+ก.พ.!S97+มี.ค.!S97</f>
        <v>0</v>
      </c>
      <c r="T98" s="269"/>
      <c r="U98" s="269">
        <f>+ม.ค.!U98+ก.พ.!U97+มี.ค.!U97</f>
        <v>0</v>
      </c>
      <c r="V98" s="269">
        <f>+ม.ค.!V98+ก.พ.!V97+มี.ค.!V97</f>
        <v>0</v>
      </c>
    </row>
    <row r="99" spans="1:22" ht="25.5" customHeight="1">
      <c r="A99" s="9"/>
      <c r="B99" s="187" t="s">
        <v>245</v>
      </c>
      <c r="C99" s="279">
        <v>2000</v>
      </c>
      <c r="D99" s="195"/>
      <c r="E99" s="269">
        <f>+ม.ค.!E99+ก.พ.!E98+มี.ค.!E98</f>
        <v>0</v>
      </c>
      <c r="F99" s="269">
        <f>+ม.ค.!F99+ก.พ.!F98+มี.ค.!F98</f>
        <v>0</v>
      </c>
      <c r="G99" s="269">
        <f>+ม.ค.!G99+ก.พ.!G98+มี.ค.!G98</f>
        <v>0</v>
      </c>
      <c r="H99" s="269">
        <f>+ม.ค.!H99+ก.พ.!H98+มี.ค.!H98</f>
        <v>0</v>
      </c>
      <c r="I99" s="269">
        <f>+ม.ค.!I99+ก.พ.!I98+มี.ค.!I98</f>
        <v>2000</v>
      </c>
      <c r="J99" s="269">
        <f>+ม.ค.!J99+ก.พ.!J98+มี.ค.!J98</f>
        <v>0</v>
      </c>
      <c r="K99" s="269">
        <f>+ม.ค.!K99+ก.พ.!K98+มี.ค.!K98</f>
        <v>0</v>
      </c>
      <c r="L99" s="269">
        <f>+ม.ค.!L99+ก.พ.!L98+มี.ค.!L98</f>
        <v>0</v>
      </c>
      <c r="M99" s="269">
        <f>+ม.ค.!M99+ก.พ.!M98+มี.ค.!M98</f>
        <v>0</v>
      </c>
      <c r="N99" s="269">
        <f>+ม.ค.!N99+ก.พ.!N98+มี.ค.!N98</f>
        <v>0</v>
      </c>
      <c r="O99" s="269">
        <f>+ม.ค.!O99+ก.พ.!O98+มี.ค.!O98</f>
        <v>0</v>
      </c>
      <c r="P99" s="269">
        <f>+ม.ค.!P99+ก.พ.!P98+มี.ค.!P98</f>
        <v>0</v>
      </c>
      <c r="Q99" s="269">
        <f>+ม.ค.!Q99+ก.พ.!Q98+มี.ค.!Q98</f>
        <v>0</v>
      </c>
      <c r="R99" s="269">
        <f>+ม.ค.!R99+ก.พ.!R98+มี.ค.!R98</f>
        <v>0</v>
      </c>
      <c r="S99" s="269">
        <f>+ม.ค.!S99+ก.พ.!S98+มี.ค.!S98</f>
        <v>0</v>
      </c>
      <c r="T99" s="269"/>
      <c r="U99" s="269">
        <f>+ม.ค.!U99+ก.พ.!U98+มี.ค.!U98</f>
        <v>0</v>
      </c>
      <c r="V99" s="269">
        <f>+ม.ค.!V99+ก.พ.!V98+มี.ค.!V98</f>
        <v>0</v>
      </c>
    </row>
    <row r="100" spans="1:22" ht="25.5" customHeight="1">
      <c r="A100" s="9"/>
      <c r="B100" s="187" t="s">
        <v>246</v>
      </c>
      <c r="C100" s="279">
        <v>2000</v>
      </c>
      <c r="D100" s="195"/>
      <c r="E100" s="269">
        <f>+ม.ค.!E100+ก.พ.!E99+มี.ค.!E99</f>
        <v>0</v>
      </c>
      <c r="F100" s="269">
        <f>+ม.ค.!F100+ก.พ.!F99+มี.ค.!F99</f>
        <v>0</v>
      </c>
      <c r="G100" s="269">
        <f>+ม.ค.!G100+ก.พ.!G99+มี.ค.!G99</f>
        <v>0</v>
      </c>
      <c r="H100" s="269">
        <f>+ม.ค.!H100+ก.พ.!H99+มี.ค.!H99</f>
        <v>0</v>
      </c>
      <c r="I100" s="269">
        <f>+ม.ค.!I100+ก.พ.!I99+มี.ค.!I99</f>
        <v>0</v>
      </c>
      <c r="J100" s="269">
        <f>+ม.ค.!J100+ก.พ.!J99+มี.ค.!J99</f>
        <v>0</v>
      </c>
      <c r="K100" s="269">
        <f>+ม.ค.!K100+ก.พ.!K99+มี.ค.!K99</f>
        <v>0</v>
      </c>
      <c r="L100" s="269">
        <f>+ม.ค.!L100+ก.พ.!L99+มี.ค.!L99</f>
        <v>0</v>
      </c>
      <c r="M100" s="269">
        <f>+ม.ค.!M100+ก.พ.!M99+มี.ค.!M99</f>
        <v>0</v>
      </c>
      <c r="N100" s="269">
        <f>+ม.ค.!N100+ก.พ.!N99+มี.ค.!N99</f>
        <v>0</v>
      </c>
      <c r="O100" s="269">
        <f>+ม.ค.!O100+ก.พ.!O99+มี.ค.!O99</f>
        <v>0</v>
      </c>
      <c r="P100" s="269">
        <f>+ม.ค.!P100+ก.พ.!P99+มี.ค.!P99</f>
        <v>0</v>
      </c>
      <c r="Q100" s="269">
        <f>+ม.ค.!Q100+ก.พ.!Q99+มี.ค.!Q99</f>
        <v>0</v>
      </c>
      <c r="R100" s="269">
        <f>+ม.ค.!R100+ก.พ.!R99+มี.ค.!R99</f>
        <v>0</v>
      </c>
      <c r="S100" s="269">
        <f>+ม.ค.!S100+ก.พ.!S99+มี.ค.!S99</f>
        <v>0</v>
      </c>
      <c r="T100" s="269"/>
      <c r="U100" s="269">
        <f>+ม.ค.!U100+ก.พ.!U99+มี.ค.!U99</f>
        <v>0</v>
      </c>
      <c r="V100" s="269">
        <f>+ม.ค.!V100+ก.พ.!V99+มี.ค.!V99</f>
        <v>0</v>
      </c>
    </row>
    <row r="101" spans="1:22" ht="25.5" customHeight="1">
      <c r="A101" s="9"/>
      <c r="B101" s="187" t="s">
        <v>247</v>
      </c>
      <c r="C101" s="279">
        <v>2000</v>
      </c>
      <c r="D101" s="195"/>
      <c r="E101" s="269">
        <f>+ม.ค.!E101+ก.พ.!E100+มี.ค.!E100</f>
        <v>0</v>
      </c>
      <c r="F101" s="269">
        <f>+ม.ค.!F101+ก.พ.!F100+มี.ค.!F100</f>
        <v>0</v>
      </c>
      <c r="G101" s="269">
        <f>+ม.ค.!G101+ก.พ.!G100+มี.ค.!G100</f>
        <v>0</v>
      </c>
      <c r="H101" s="269">
        <f>+ม.ค.!H101+ก.พ.!H100+มี.ค.!H100</f>
        <v>0</v>
      </c>
      <c r="I101" s="269">
        <f>+ม.ค.!I101+ก.พ.!I100+มี.ค.!I100</f>
        <v>0</v>
      </c>
      <c r="J101" s="269">
        <f>+ม.ค.!J101+ก.พ.!J100+มี.ค.!J100</f>
        <v>0</v>
      </c>
      <c r="K101" s="269">
        <f>+ม.ค.!K101+ก.พ.!K100+มี.ค.!K100</f>
        <v>0</v>
      </c>
      <c r="L101" s="269">
        <f>+ม.ค.!L101+ก.พ.!L100+มี.ค.!L100</f>
        <v>0</v>
      </c>
      <c r="M101" s="269">
        <f>+ม.ค.!M101+ก.พ.!M100+มี.ค.!M100</f>
        <v>0</v>
      </c>
      <c r="N101" s="269">
        <f>+ม.ค.!N101+ก.พ.!N100+มี.ค.!N100</f>
        <v>0</v>
      </c>
      <c r="O101" s="269">
        <f>+ม.ค.!O101+ก.พ.!O100+มี.ค.!O100</f>
        <v>0</v>
      </c>
      <c r="P101" s="269">
        <f>+ม.ค.!P101+ก.พ.!P100+มี.ค.!P100</f>
        <v>0</v>
      </c>
      <c r="Q101" s="269">
        <f>+ม.ค.!Q101+ก.พ.!Q100+มี.ค.!Q100</f>
        <v>0</v>
      </c>
      <c r="R101" s="269">
        <f>+ม.ค.!R101+ก.พ.!R100+มี.ค.!R100</f>
        <v>0</v>
      </c>
      <c r="S101" s="269">
        <f>+ม.ค.!S101+ก.พ.!S100+มี.ค.!S100</f>
        <v>0</v>
      </c>
      <c r="T101" s="269"/>
      <c r="U101" s="269">
        <f>+ม.ค.!U101+ก.พ.!U100+มี.ค.!U100</f>
        <v>0</v>
      </c>
      <c r="V101" s="269">
        <f>+ม.ค.!V101+ก.พ.!V100+มี.ค.!V100</f>
        <v>0</v>
      </c>
    </row>
    <row r="102" spans="1:22" ht="25.5" customHeight="1">
      <c r="A102" s="9"/>
      <c r="B102" s="187" t="s">
        <v>249</v>
      </c>
      <c r="C102" s="279">
        <v>2000</v>
      </c>
      <c r="D102" s="195"/>
      <c r="E102" s="269">
        <f>+ม.ค.!E102+ก.พ.!E101+มี.ค.!E101</f>
        <v>0</v>
      </c>
      <c r="F102" s="269">
        <f>+ม.ค.!F102+ก.พ.!F101+มี.ค.!F101</f>
        <v>0</v>
      </c>
      <c r="G102" s="269">
        <f>+ม.ค.!G102+ก.พ.!G101+มี.ค.!G101</f>
        <v>0</v>
      </c>
      <c r="H102" s="269">
        <f>+ม.ค.!H102+ก.พ.!H101+มี.ค.!H101</f>
        <v>0</v>
      </c>
      <c r="I102" s="269">
        <f>+ม.ค.!I102+ก.พ.!I101+มี.ค.!I101</f>
        <v>0</v>
      </c>
      <c r="J102" s="269">
        <f>+ม.ค.!J102+ก.พ.!J101+มี.ค.!J101</f>
        <v>0</v>
      </c>
      <c r="K102" s="269">
        <f>+ม.ค.!K102+ก.พ.!K101+มี.ค.!K101</f>
        <v>0</v>
      </c>
      <c r="L102" s="269">
        <f>+ม.ค.!L102+ก.พ.!L101+มี.ค.!L101</f>
        <v>0</v>
      </c>
      <c r="M102" s="269">
        <f>+ม.ค.!M102+ก.พ.!M101+มี.ค.!M101</f>
        <v>0</v>
      </c>
      <c r="N102" s="269">
        <f>+ม.ค.!N102+ก.พ.!N101+มี.ค.!N101</f>
        <v>0</v>
      </c>
      <c r="O102" s="269">
        <f>+ม.ค.!O102+ก.พ.!O101+มี.ค.!O101</f>
        <v>0</v>
      </c>
      <c r="P102" s="269">
        <f>+ม.ค.!P102+ก.พ.!P101+มี.ค.!P101</f>
        <v>0</v>
      </c>
      <c r="Q102" s="269">
        <f>+ม.ค.!Q102+ก.พ.!Q101+มี.ค.!Q101</f>
        <v>0</v>
      </c>
      <c r="R102" s="269">
        <f>+ม.ค.!R102+ก.พ.!R101+มี.ค.!R101</f>
        <v>0</v>
      </c>
      <c r="S102" s="269">
        <f>+ม.ค.!S102+ก.พ.!S101+มี.ค.!S101</f>
        <v>0</v>
      </c>
      <c r="T102" s="269"/>
      <c r="U102" s="269">
        <f>+ม.ค.!U102+ก.พ.!U101+มี.ค.!U101</f>
        <v>0</v>
      </c>
      <c r="V102" s="269">
        <f>+ม.ค.!V102+ก.พ.!V101+มี.ค.!V101</f>
        <v>0</v>
      </c>
    </row>
    <row r="103" spans="1:22" ht="25.5" customHeight="1">
      <c r="A103" s="9"/>
      <c r="B103" s="187" t="s">
        <v>250</v>
      </c>
      <c r="C103" s="279">
        <v>2000</v>
      </c>
      <c r="D103" s="195"/>
      <c r="E103" s="269">
        <f>+ม.ค.!E103+ก.พ.!E102+มี.ค.!E102</f>
        <v>0</v>
      </c>
      <c r="F103" s="269">
        <f>+ม.ค.!F103+ก.พ.!F102+มี.ค.!F102</f>
        <v>0</v>
      </c>
      <c r="G103" s="269">
        <f>+ม.ค.!G103+ก.พ.!G102+มี.ค.!G102</f>
        <v>0</v>
      </c>
      <c r="H103" s="269">
        <f>+ม.ค.!H103+ก.พ.!H102+มี.ค.!H102</f>
        <v>0</v>
      </c>
      <c r="I103" s="269">
        <f>+ม.ค.!I103+ก.พ.!I102+มี.ค.!I102</f>
        <v>0</v>
      </c>
      <c r="J103" s="269">
        <f>+ม.ค.!J103+ก.พ.!J102+มี.ค.!J102</f>
        <v>0</v>
      </c>
      <c r="K103" s="269">
        <f>+ม.ค.!K103+ก.พ.!K102+มี.ค.!K102</f>
        <v>0</v>
      </c>
      <c r="L103" s="269">
        <f>+ม.ค.!L103+ก.พ.!L102+มี.ค.!L102</f>
        <v>0</v>
      </c>
      <c r="M103" s="269">
        <f>+ม.ค.!M103+ก.พ.!M102+มี.ค.!M102</f>
        <v>0</v>
      </c>
      <c r="N103" s="269">
        <f>+ม.ค.!N103+ก.พ.!N102+มี.ค.!N102</f>
        <v>0</v>
      </c>
      <c r="O103" s="269">
        <f>+ม.ค.!O103+ก.พ.!O102+มี.ค.!O102</f>
        <v>0</v>
      </c>
      <c r="P103" s="269">
        <f>+ม.ค.!P103+ก.พ.!P102+มี.ค.!P102</f>
        <v>0</v>
      </c>
      <c r="Q103" s="269">
        <f>+ม.ค.!Q103+ก.พ.!Q102+มี.ค.!Q102</f>
        <v>0</v>
      </c>
      <c r="R103" s="269">
        <f>+ม.ค.!R103+ก.พ.!R102+มี.ค.!R102</f>
        <v>0</v>
      </c>
      <c r="S103" s="269">
        <f>+ม.ค.!S103+ก.พ.!S102+มี.ค.!S102</f>
        <v>0</v>
      </c>
      <c r="T103" s="269"/>
      <c r="U103" s="269">
        <f>+ม.ค.!U103+ก.พ.!U102+มี.ค.!U102</f>
        <v>0</v>
      </c>
      <c r="V103" s="269">
        <f>+ม.ค.!V103+ก.พ.!V102+มี.ค.!V102</f>
        <v>0</v>
      </c>
    </row>
    <row r="104" spans="1:22" ht="25.5" customHeight="1">
      <c r="A104" s="9"/>
      <c r="B104" s="187" t="s">
        <v>251</v>
      </c>
      <c r="C104" s="279">
        <v>2000</v>
      </c>
      <c r="D104" s="195"/>
      <c r="E104" s="269">
        <f>+ม.ค.!E104+ก.พ.!E103+มี.ค.!E103</f>
        <v>0</v>
      </c>
      <c r="F104" s="269">
        <f>+ม.ค.!F104+ก.พ.!F103+มี.ค.!F103</f>
        <v>0</v>
      </c>
      <c r="G104" s="269">
        <f>+ม.ค.!G104+ก.พ.!G103+มี.ค.!G103</f>
        <v>0</v>
      </c>
      <c r="H104" s="269">
        <f>+ม.ค.!H104+ก.พ.!H103+มี.ค.!H103</f>
        <v>0</v>
      </c>
      <c r="I104" s="269">
        <f>+ม.ค.!I104+ก.พ.!I103+มี.ค.!I103</f>
        <v>0</v>
      </c>
      <c r="J104" s="269">
        <f>+ม.ค.!J104+ก.พ.!J103+มี.ค.!J103</f>
        <v>0</v>
      </c>
      <c r="K104" s="269">
        <f>+ม.ค.!K104+ก.พ.!K103+มี.ค.!K103</f>
        <v>0</v>
      </c>
      <c r="L104" s="269">
        <f>+ม.ค.!L104+ก.พ.!L103+มี.ค.!L103</f>
        <v>0</v>
      </c>
      <c r="M104" s="269">
        <f>+ม.ค.!M104+ก.พ.!M103+มี.ค.!M103</f>
        <v>0</v>
      </c>
      <c r="N104" s="269">
        <f>+ม.ค.!N104+ก.พ.!N103+มี.ค.!N103</f>
        <v>0</v>
      </c>
      <c r="O104" s="269">
        <f>+ม.ค.!O104+ก.พ.!O103+มี.ค.!O103</f>
        <v>0</v>
      </c>
      <c r="P104" s="269">
        <f>+ม.ค.!P104+ก.พ.!P103+มี.ค.!P103</f>
        <v>0</v>
      </c>
      <c r="Q104" s="269">
        <f>+ม.ค.!Q104+ก.พ.!Q103+มี.ค.!Q103</f>
        <v>0</v>
      </c>
      <c r="R104" s="269">
        <f>+ม.ค.!R104+ก.พ.!R103+มี.ค.!R103</f>
        <v>0</v>
      </c>
      <c r="S104" s="269">
        <f>+ม.ค.!S104+ก.พ.!S103+มี.ค.!S103</f>
        <v>0</v>
      </c>
      <c r="T104" s="269"/>
      <c r="U104" s="269">
        <f>+ม.ค.!U104+ก.พ.!U103+มี.ค.!U103</f>
        <v>0</v>
      </c>
      <c r="V104" s="269">
        <f>+ม.ค.!V104+ก.พ.!V103+มี.ค.!V103</f>
        <v>0</v>
      </c>
    </row>
    <row r="105" spans="1:22" ht="25.5" customHeight="1">
      <c r="A105" s="9"/>
      <c r="B105" s="187" t="s">
        <v>252</v>
      </c>
      <c r="C105" s="279">
        <v>2000</v>
      </c>
      <c r="D105" s="195"/>
      <c r="E105" s="269">
        <f>+ม.ค.!E105+ก.พ.!E104+มี.ค.!E104</f>
        <v>0</v>
      </c>
      <c r="F105" s="269">
        <f>+ม.ค.!F105+ก.พ.!F104+มี.ค.!F104</f>
        <v>0</v>
      </c>
      <c r="G105" s="269">
        <f>+ม.ค.!G105+ก.พ.!G104+มี.ค.!G104</f>
        <v>0</v>
      </c>
      <c r="H105" s="269">
        <f>+ม.ค.!H105+ก.พ.!H104+มี.ค.!H104</f>
        <v>0</v>
      </c>
      <c r="I105" s="269">
        <f>+ม.ค.!I105+ก.พ.!I104+มี.ค.!I104</f>
        <v>0</v>
      </c>
      <c r="J105" s="269">
        <f>+ม.ค.!J105+ก.พ.!J104+มี.ค.!J104</f>
        <v>0</v>
      </c>
      <c r="K105" s="269">
        <f>+ม.ค.!K105+ก.พ.!K104+มี.ค.!K104</f>
        <v>0</v>
      </c>
      <c r="L105" s="269">
        <f>+ม.ค.!L105+ก.พ.!L104+มี.ค.!L104</f>
        <v>0</v>
      </c>
      <c r="M105" s="269">
        <f>+ม.ค.!M105+ก.พ.!M104+มี.ค.!M104</f>
        <v>0</v>
      </c>
      <c r="N105" s="269">
        <f>+ม.ค.!N105+ก.พ.!N104+มี.ค.!N104</f>
        <v>0</v>
      </c>
      <c r="O105" s="269">
        <f>+ม.ค.!O105+ก.พ.!O104+มี.ค.!O104</f>
        <v>0</v>
      </c>
      <c r="P105" s="269">
        <f>+ม.ค.!P105+ก.พ.!P104+มี.ค.!P104</f>
        <v>0</v>
      </c>
      <c r="Q105" s="269">
        <f>+ม.ค.!Q105+ก.พ.!Q104+มี.ค.!Q104</f>
        <v>0</v>
      </c>
      <c r="R105" s="269">
        <f>+ม.ค.!R105+ก.พ.!R104+มี.ค.!R104</f>
        <v>0</v>
      </c>
      <c r="S105" s="269">
        <f>+ม.ค.!S105+ก.พ.!S104+มี.ค.!S104</f>
        <v>0</v>
      </c>
      <c r="T105" s="269"/>
      <c r="U105" s="269">
        <f>+ม.ค.!U105+ก.พ.!U104+มี.ค.!U104</f>
        <v>0</v>
      </c>
      <c r="V105" s="269">
        <f>+ม.ค.!V105+ก.พ.!V104+มี.ค.!V104</f>
        <v>0</v>
      </c>
    </row>
    <row r="106" spans="1:22" ht="25.5" customHeight="1">
      <c r="A106" s="9"/>
      <c r="B106" s="187" t="s">
        <v>253</v>
      </c>
      <c r="C106" s="279">
        <v>2000</v>
      </c>
      <c r="D106" s="195"/>
      <c r="E106" s="269">
        <f>+ม.ค.!E106+ก.พ.!E105+มี.ค.!E105</f>
        <v>0</v>
      </c>
      <c r="F106" s="269">
        <f>+ม.ค.!F106+ก.พ.!F105+มี.ค.!F105</f>
        <v>0</v>
      </c>
      <c r="G106" s="269">
        <f>+ม.ค.!G106+ก.พ.!G105+มี.ค.!G105</f>
        <v>0</v>
      </c>
      <c r="H106" s="269">
        <f>+ม.ค.!H106+ก.พ.!H105+มี.ค.!H105</f>
        <v>0</v>
      </c>
      <c r="I106" s="269">
        <f>+ม.ค.!I106+ก.พ.!I105+มี.ค.!I105</f>
        <v>0</v>
      </c>
      <c r="J106" s="269">
        <f>+ม.ค.!J106+ก.พ.!J105+มี.ค.!J105</f>
        <v>0</v>
      </c>
      <c r="K106" s="269">
        <f>+ม.ค.!K106+ก.พ.!K105+มี.ค.!K105</f>
        <v>0</v>
      </c>
      <c r="L106" s="269">
        <f>+ม.ค.!L106+ก.พ.!L105+มี.ค.!L105</f>
        <v>0</v>
      </c>
      <c r="M106" s="269">
        <f>+ม.ค.!M106+ก.พ.!M105+มี.ค.!M105</f>
        <v>0</v>
      </c>
      <c r="N106" s="269">
        <f>+ม.ค.!N106+ก.พ.!N105+มี.ค.!N105</f>
        <v>0</v>
      </c>
      <c r="O106" s="269">
        <f>+ม.ค.!O106+ก.พ.!O105+มี.ค.!O105</f>
        <v>0</v>
      </c>
      <c r="P106" s="269">
        <f>+ม.ค.!P106+ก.พ.!P105+มี.ค.!P105</f>
        <v>0</v>
      </c>
      <c r="Q106" s="269">
        <f>+ม.ค.!Q106+ก.พ.!Q105+มี.ค.!Q105</f>
        <v>0</v>
      </c>
      <c r="R106" s="269">
        <f>+ม.ค.!R106+ก.พ.!R105+มี.ค.!R105</f>
        <v>0</v>
      </c>
      <c r="S106" s="269">
        <f>+ม.ค.!S106+ก.พ.!S105+มี.ค.!S105</f>
        <v>0</v>
      </c>
      <c r="T106" s="269"/>
      <c r="U106" s="269">
        <f>+ม.ค.!U106+ก.พ.!U105+มี.ค.!U105</f>
        <v>0</v>
      </c>
      <c r="V106" s="269">
        <f>+ม.ค.!V106+ก.พ.!V105+มี.ค.!V105</f>
        <v>0</v>
      </c>
    </row>
    <row r="107" spans="1:22" ht="25.5" customHeight="1">
      <c r="A107" s="9"/>
      <c r="B107" s="187" t="s">
        <v>254</v>
      </c>
      <c r="C107" s="279">
        <v>2000</v>
      </c>
      <c r="D107" s="195"/>
      <c r="E107" s="269">
        <f>+ม.ค.!E107+ก.พ.!E106+มี.ค.!E106</f>
        <v>0</v>
      </c>
      <c r="F107" s="269">
        <f>+ม.ค.!F107+ก.พ.!F106+มี.ค.!F106</f>
        <v>0</v>
      </c>
      <c r="G107" s="269">
        <f>+ม.ค.!G107+ก.พ.!G106+มี.ค.!G106</f>
        <v>0</v>
      </c>
      <c r="H107" s="269">
        <f>+ม.ค.!H107+ก.พ.!H106+มี.ค.!H106</f>
        <v>0</v>
      </c>
      <c r="I107" s="269">
        <f>+ม.ค.!I107+ก.พ.!I106+มี.ค.!I106</f>
        <v>0</v>
      </c>
      <c r="J107" s="269">
        <f>+ม.ค.!J107+ก.พ.!J106+มี.ค.!J106</f>
        <v>0</v>
      </c>
      <c r="K107" s="269">
        <f>+ม.ค.!K107+ก.พ.!K106+มี.ค.!K106</f>
        <v>0</v>
      </c>
      <c r="L107" s="269">
        <f>+ม.ค.!L107+ก.พ.!L106+มี.ค.!L106</f>
        <v>0</v>
      </c>
      <c r="M107" s="269">
        <f>+ม.ค.!M107+ก.พ.!M106+มี.ค.!M106</f>
        <v>0</v>
      </c>
      <c r="N107" s="269">
        <f>+ม.ค.!N107+ก.พ.!N106+มี.ค.!N106</f>
        <v>0</v>
      </c>
      <c r="O107" s="269">
        <f>+ม.ค.!O107+ก.พ.!O106+มี.ค.!O106</f>
        <v>0</v>
      </c>
      <c r="P107" s="269">
        <f>+ม.ค.!P107+ก.พ.!P106+มี.ค.!P106</f>
        <v>0</v>
      </c>
      <c r="Q107" s="269">
        <f>+ม.ค.!Q107+ก.พ.!Q106+มี.ค.!Q106</f>
        <v>0</v>
      </c>
      <c r="R107" s="269">
        <f>+ม.ค.!R107+ก.พ.!R106+มี.ค.!R106</f>
        <v>0</v>
      </c>
      <c r="S107" s="269">
        <f>+ม.ค.!S107+ก.พ.!S106+มี.ค.!S106</f>
        <v>0</v>
      </c>
      <c r="T107" s="269"/>
      <c r="U107" s="269">
        <f>+ม.ค.!U107+ก.พ.!U106+มี.ค.!U106</f>
        <v>0</v>
      </c>
      <c r="V107" s="269">
        <f>+ม.ค.!V107+ก.พ.!V106+มี.ค.!V106</f>
        <v>0</v>
      </c>
    </row>
    <row r="108" spans="1:22" ht="25.5" customHeight="1">
      <c r="A108" s="9"/>
      <c r="B108" s="187" t="s">
        <v>312</v>
      </c>
      <c r="C108" s="279">
        <v>2500</v>
      </c>
      <c r="D108" s="195"/>
      <c r="E108" s="269">
        <f>+ม.ค.!E108+ก.พ.!E107+มี.ค.!E107</f>
        <v>0</v>
      </c>
      <c r="F108" s="269">
        <f>+ม.ค.!F108+ก.พ.!F107+มี.ค.!F107</f>
        <v>0</v>
      </c>
      <c r="G108" s="269">
        <f>+ม.ค.!G108+ก.พ.!G107+มี.ค.!G107</f>
        <v>0</v>
      </c>
      <c r="H108" s="269">
        <f>+ม.ค.!H108+ก.พ.!H107+มี.ค.!H107</f>
        <v>0</v>
      </c>
      <c r="I108" s="269">
        <f>+ม.ค.!I108+ก.พ.!I107+มี.ค.!I107</f>
        <v>0</v>
      </c>
      <c r="J108" s="269">
        <f>+ม.ค.!J108+ก.พ.!J107+มี.ค.!J107</f>
        <v>0</v>
      </c>
      <c r="K108" s="269">
        <f>+ม.ค.!K108+ก.พ.!K107+มี.ค.!K107</f>
        <v>0</v>
      </c>
      <c r="L108" s="269">
        <f>+ม.ค.!L108+ก.พ.!L107+มี.ค.!L107</f>
        <v>0</v>
      </c>
      <c r="M108" s="269">
        <f>+ม.ค.!M108+ก.พ.!M107+มี.ค.!M107</f>
        <v>0</v>
      </c>
      <c r="N108" s="269">
        <f>+ม.ค.!N108+ก.พ.!N107+มี.ค.!N107</f>
        <v>0</v>
      </c>
      <c r="O108" s="269">
        <f>+ม.ค.!O108+ก.พ.!O107+มี.ค.!O107</f>
        <v>0</v>
      </c>
      <c r="P108" s="269">
        <f>+ม.ค.!P108+ก.พ.!P107+มี.ค.!P107</f>
        <v>0</v>
      </c>
      <c r="Q108" s="269">
        <f>+ม.ค.!Q108+ก.พ.!Q107+มี.ค.!Q107</f>
        <v>0</v>
      </c>
      <c r="R108" s="269">
        <f>+ม.ค.!R108+ก.พ.!R107+มี.ค.!R107</f>
        <v>0</v>
      </c>
      <c r="S108" s="269">
        <f>+ม.ค.!S108+ก.พ.!S107+มี.ค.!S107</f>
        <v>0</v>
      </c>
      <c r="T108" s="269"/>
      <c r="U108" s="269">
        <f>+ม.ค.!U108+ก.พ.!U107+มี.ค.!U107</f>
        <v>0</v>
      </c>
      <c r="V108" s="269">
        <f>+ม.ค.!V108+ก.พ.!V107+มี.ค.!V107</f>
        <v>0</v>
      </c>
    </row>
    <row r="109" spans="1:22" ht="25.5" customHeight="1">
      <c r="A109" s="9"/>
      <c r="B109" s="187" t="s">
        <v>313</v>
      </c>
      <c r="C109" s="279">
        <v>2500</v>
      </c>
      <c r="D109" s="131"/>
      <c r="E109" s="269">
        <f>+ม.ค.!E109+ก.พ.!E108+มี.ค.!E108</f>
        <v>0</v>
      </c>
      <c r="F109" s="269">
        <f>+ม.ค.!F109+ก.พ.!F108+มี.ค.!F108</f>
        <v>0</v>
      </c>
      <c r="G109" s="269">
        <f>+ม.ค.!G109+ก.พ.!G108+มี.ค.!G108</f>
        <v>0</v>
      </c>
      <c r="H109" s="269">
        <f>+ม.ค.!H109+ก.พ.!H108+มี.ค.!H108</f>
        <v>0</v>
      </c>
      <c r="I109" s="269">
        <f>+ม.ค.!I109+ก.พ.!I108+มี.ค.!I108</f>
        <v>0</v>
      </c>
      <c r="J109" s="269">
        <f>+ม.ค.!J109+ก.พ.!J108+มี.ค.!J108</f>
        <v>0</v>
      </c>
      <c r="K109" s="269">
        <f>+ม.ค.!K109+ก.พ.!K108+มี.ค.!K108</f>
        <v>0</v>
      </c>
      <c r="L109" s="269">
        <f>+ม.ค.!L109+ก.พ.!L108+มี.ค.!L108</f>
        <v>0</v>
      </c>
      <c r="M109" s="269">
        <f>+ม.ค.!M109+ก.พ.!M108+มี.ค.!M108</f>
        <v>0</v>
      </c>
      <c r="N109" s="269">
        <f>+ม.ค.!N109+ก.พ.!N108+มี.ค.!N108</f>
        <v>0</v>
      </c>
      <c r="O109" s="269">
        <f>+ม.ค.!O109+ก.พ.!O108+มี.ค.!O108</f>
        <v>0</v>
      </c>
      <c r="P109" s="269">
        <f>+ม.ค.!P109+ก.พ.!P108+มี.ค.!P108</f>
        <v>0</v>
      </c>
      <c r="Q109" s="269">
        <f>+ม.ค.!Q109+ก.พ.!Q108+มี.ค.!Q108</f>
        <v>0</v>
      </c>
      <c r="R109" s="269">
        <f>+ม.ค.!R109+ก.พ.!R108+มี.ค.!R108</f>
        <v>0</v>
      </c>
      <c r="S109" s="269">
        <f>+ม.ค.!S109+ก.พ.!S108+มี.ค.!S108</f>
        <v>0</v>
      </c>
      <c r="T109" s="269"/>
      <c r="U109" s="269">
        <f>+ม.ค.!U109+ก.พ.!U108+มี.ค.!U108</f>
        <v>0</v>
      </c>
      <c r="V109" s="269">
        <f>+ม.ค.!V109+ก.พ.!V108+มี.ค.!V108</f>
        <v>0</v>
      </c>
    </row>
    <row r="110" spans="1:22" ht="25.5" customHeight="1">
      <c r="A110" s="9"/>
      <c r="B110" s="187" t="s">
        <v>314</v>
      </c>
      <c r="C110" s="279">
        <v>2500</v>
      </c>
      <c r="D110" s="195"/>
      <c r="E110" s="269">
        <f>+ม.ค.!E110+ก.พ.!E109+มี.ค.!E109</f>
        <v>0</v>
      </c>
      <c r="F110" s="269">
        <f>+ม.ค.!F110+ก.พ.!F109+มี.ค.!F109</f>
        <v>0</v>
      </c>
      <c r="G110" s="269">
        <f>+ม.ค.!G110+ก.พ.!G109+มี.ค.!G109</f>
        <v>0</v>
      </c>
      <c r="H110" s="269">
        <f>+ม.ค.!H110+ก.พ.!H109+มี.ค.!H109</f>
        <v>0</v>
      </c>
      <c r="I110" s="269">
        <f>+ม.ค.!I110+ก.พ.!I109+มี.ค.!I109</f>
        <v>0</v>
      </c>
      <c r="J110" s="269">
        <f>+ม.ค.!J110+ก.พ.!J109+มี.ค.!J109</f>
        <v>0</v>
      </c>
      <c r="K110" s="269">
        <f>+ม.ค.!K110+ก.พ.!K109+มี.ค.!K109</f>
        <v>0</v>
      </c>
      <c r="L110" s="269">
        <f>+ม.ค.!L110+ก.พ.!L109+มี.ค.!L109</f>
        <v>0</v>
      </c>
      <c r="M110" s="269">
        <f>+ม.ค.!M110+ก.พ.!M109+มี.ค.!M109</f>
        <v>0</v>
      </c>
      <c r="N110" s="269">
        <f>+ม.ค.!N110+ก.พ.!N109+มี.ค.!N109</f>
        <v>0</v>
      </c>
      <c r="O110" s="269">
        <f>+ม.ค.!O110+ก.พ.!O109+มี.ค.!O109</f>
        <v>0</v>
      </c>
      <c r="P110" s="269">
        <f>+ม.ค.!P110+ก.พ.!P109+มี.ค.!P109</f>
        <v>0</v>
      </c>
      <c r="Q110" s="269">
        <f>+ม.ค.!Q110+ก.พ.!Q109+มี.ค.!Q109</f>
        <v>0</v>
      </c>
      <c r="R110" s="269">
        <f>+ม.ค.!R110+ก.พ.!R109+มี.ค.!R109</f>
        <v>0</v>
      </c>
      <c r="S110" s="269">
        <f>+ม.ค.!S110+ก.พ.!S109+มี.ค.!S109</f>
        <v>0</v>
      </c>
      <c r="T110" s="269"/>
      <c r="U110" s="269">
        <f>+ม.ค.!U110+ก.พ.!U109+มี.ค.!U109</f>
        <v>0</v>
      </c>
      <c r="V110" s="269">
        <f>+ม.ค.!V110+ก.พ.!V109+มี.ค.!V109</f>
        <v>0</v>
      </c>
    </row>
    <row r="111" spans="1:22" ht="25.5" customHeight="1">
      <c r="A111" s="9"/>
      <c r="B111" s="187" t="s">
        <v>255</v>
      </c>
      <c r="C111" s="279">
        <v>4000</v>
      </c>
      <c r="D111" s="195"/>
      <c r="E111" s="269">
        <f>+ม.ค.!E111+ก.พ.!E110+มี.ค.!E110</f>
        <v>0</v>
      </c>
      <c r="F111" s="269">
        <f>+ม.ค.!F111+ก.พ.!F110+มี.ค.!F110</f>
        <v>0</v>
      </c>
      <c r="G111" s="269">
        <f>+ม.ค.!G111+ก.พ.!G110+มี.ค.!G110</f>
        <v>0</v>
      </c>
      <c r="H111" s="269">
        <f>+ม.ค.!H111+ก.พ.!H110+มี.ค.!H110</f>
        <v>0</v>
      </c>
      <c r="I111" s="269">
        <f>+ม.ค.!I111+ก.พ.!I110+มี.ค.!I110</f>
        <v>0</v>
      </c>
      <c r="J111" s="269">
        <f>+ม.ค.!J111+ก.พ.!J110+มี.ค.!J110</f>
        <v>0</v>
      </c>
      <c r="K111" s="269">
        <f>+ม.ค.!K111+ก.พ.!K110+มี.ค.!K110</f>
        <v>0</v>
      </c>
      <c r="L111" s="269">
        <f>+ม.ค.!L111+ก.พ.!L110+มี.ค.!L110</f>
        <v>0</v>
      </c>
      <c r="M111" s="269">
        <f>+ม.ค.!M111+ก.พ.!M110+มี.ค.!M110</f>
        <v>0</v>
      </c>
      <c r="N111" s="269">
        <f>+ม.ค.!N111+ก.พ.!N110+มี.ค.!N110</f>
        <v>0</v>
      </c>
      <c r="O111" s="269">
        <f>+ม.ค.!O111+ก.พ.!O110+มี.ค.!O110</f>
        <v>0</v>
      </c>
      <c r="P111" s="269">
        <f>+ม.ค.!P111+ก.พ.!P110+มี.ค.!P110</f>
        <v>0</v>
      </c>
      <c r="Q111" s="269">
        <f>+ม.ค.!Q111+ก.พ.!Q110+มี.ค.!Q110</f>
        <v>0</v>
      </c>
      <c r="R111" s="269">
        <f>+ม.ค.!R111+ก.พ.!R110+มี.ค.!R110</f>
        <v>0</v>
      </c>
      <c r="S111" s="269">
        <f>+ม.ค.!S111+ก.พ.!S110+มี.ค.!S110</f>
        <v>0</v>
      </c>
      <c r="T111" s="269"/>
      <c r="U111" s="269">
        <f>+ม.ค.!U111+ก.พ.!U110+มี.ค.!U110</f>
        <v>0</v>
      </c>
      <c r="V111" s="269">
        <f>+ม.ค.!V111+ก.พ.!V110+มี.ค.!V110</f>
        <v>0</v>
      </c>
    </row>
    <row r="112" spans="1:22" ht="25.5" customHeight="1">
      <c r="A112" s="9"/>
      <c r="B112" s="187" t="s">
        <v>256</v>
      </c>
      <c r="C112" s="279">
        <v>2500</v>
      </c>
      <c r="D112" s="195"/>
      <c r="E112" s="269">
        <f>+ม.ค.!E112+ก.พ.!E111+มี.ค.!E111</f>
        <v>0</v>
      </c>
      <c r="F112" s="269">
        <f>+ม.ค.!F112+ก.พ.!F111+มี.ค.!F111</f>
        <v>0</v>
      </c>
      <c r="G112" s="269">
        <f>+ม.ค.!G112+ก.พ.!G111+มี.ค.!G111</f>
        <v>0</v>
      </c>
      <c r="H112" s="269">
        <f>+ม.ค.!H112+ก.พ.!H111+มี.ค.!H111</f>
        <v>0</v>
      </c>
      <c r="I112" s="269">
        <f>+ม.ค.!I112+ก.พ.!I111+มี.ค.!I111</f>
        <v>0</v>
      </c>
      <c r="J112" s="269">
        <f>+ม.ค.!J112+ก.พ.!J111+มี.ค.!J111</f>
        <v>0</v>
      </c>
      <c r="K112" s="269">
        <f>+ม.ค.!K112+ก.พ.!K111+มี.ค.!K111</f>
        <v>0</v>
      </c>
      <c r="L112" s="269">
        <f>+ม.ค.!L112+ก.พ.!L111+มี.ค.!L111</f>
        <v>0</v>
      </c>
      <c r="M112" s="269">
        <f>+ม.ค.!M112+ก.พ.!M111+มี.ค.!M111</f>
        <v>0</v>
      </c>
      <c r="N112" s="269">
        <f>+ม.ค.!N112+ก.พ.!N111+มี.ค.!N111</f>
        <v>0</v>
      </c>
      <c r="O112" s="269">
        <f>+ม.ค.!O112+ก.พ.!O111+มี.ค.!O111</f>
        <v>0</v>
      </c>
      <c r="P112" s="269">
        <f>+ม.ค.!P112+ก.พ.!P111+มี.ค.!P111</f>
        <v>0</v>
      </c>
      <c r="Q112" s="269">
        <f>+ม.ค.!Q112+ก.พ.!Q111+มี.ค.!Q111</f>
        <v>0</v>
      </c>
      <c r="R112" s="269">
        <f>+ม.ค.!R112+ก.พ.!R111+มี.ค.!R111</f>
        <v>0</v>
      </c>
      <c r="S112" s="269">
        <f>+ม.ค.!S112+ก.พ.!S111+มี.ค.!S111</f>
        <v>0</v>
      </c>
      <c r="T112" s="269"/>
      <c r="U112" s="269">
        <f>+ม.ค.!U112+ก.พ.!U111+มี.ค.!U111</f>
        <v>0</v>
      </c>
      <c r="V112" s="269">
        <f>+ม.ค.!V112+ก.พ.!V111+มี.ค.!V111</f>
        <v>0</v>
      </c>
    </row>
    <row r="113" spans="1:22" ht="25.5" customHeight="1">
      <c r="A113" s="9"/>
      <c r="B113" s="187" t="s">
        <v>257</v>
      </c>
      <c r="C113" s="279">
        <v>2500</v>
      </c>
      <c r="D113" s="195"/>
      <c r="E113" s="269">
        <f>+ม.ค.!E113+ก.พ.!E112+มี.ค.!E112</f>
        <v>0</v>
      </c>
      <c r="F113" s="269">
        <f>+ม.ค.!F113+ก.พ.!F112+มี.ค.!F112</f>
        <v>0</v>
      </c>
      <c r="G113" s="269">
        <f>+ม.ค.!G113+ก.พ.!G112+มี.ค.!G112</f>
        <v>0</v>
      </c>
      <c r="H113" s="269">
        <f>+ม.ค.!H113+ก.พ.!H112+มี.ค.!H112</f>
        <v>0</v>
      </c>
      <c r="I113" s="269">
        <f>+ม.ค.!I113+ก.พ.!I112+มี.ค.!I112</f>
        <v>0</v>
      </c>
      <c r="J113" s="269">
        <f>+ม.ค.!J113+ก.พ.!J112+มี.ค.!J112</f>
        <v>0</v>
      </c>
      <c r="K113" s="269">
        <f>+ม.ค.!K113+ก.พ.!K112+มี.ค.!K112</f>
        <v>0</v>
      </c>
      <c r="L113" s="269">
        <f>+ม.ค.!L113+ก.พ.!L112+มี.ค.!L112</f>
        <v>0</v>
      </c>
      <c r="M113" s="269">
        <f>+ม.ค.!M113+ก.พ.!M112+มี.ค.!M112</f>
        <v>0</v>
      </c>
      <c r="N113" s="269">
        <f>+ม.ค.!N113+ก.พ.!N112+มี.ค.!N112</f>
        <v>0</v>
      </c>
      <c r="O113" s="269">
        <f>+ม.ค.!O113+ก.พ.!O112+มี.ค.!O112</f>
        <v>0</v>
      </c>
      <c r="P113" s="269">
        <f>+ม.ค.!P113+ก.พ.!P112+มี.ค.!P112</f>
        <v>0</v>
      </c>
      <c r="Q113" s="269">
        <f>+ม.ค.!Q113+ก.พ.!Q112+มี.ค.!Q112</f>
        <v>0</v>
      </c>
      <c r="R113" s="269">
        <f>+ม.ค.!R113+ก.พ.!R112+มี.ค.!R112</f>
        <v>0</v>
      </c>
      <c r="S113" s="269">
        <f>+ม.ค.!S113+ก.พ.!S112+มี.ค.!S112</f>
        <v>0</v>
      </c>
      <c r="T113" s="269"/>
      <c r="U113" s="269">
        <f>+ม.ค.!U113+ก.พ.!U112+มี.ค.!U112</f>
        <v>0</v>
      </c>
      <c r="V113" s="269">
        <f>+ม.ค.!V113+ก.พ.!V112+มี.ค.!V112</f>
        <v>0</v>
      </c>
    </row>
    <row r="114" spans="1:22" ht="25.5" customHeight="1">
      <c r="A114" s="9"/>
      <c r="B114" s="187" t="s">
        <v>258</v>
      </c>
      <c r="C114" s="279">
        <v>2500</v>
      </c>
      <c r="D114" s="195"/>
      <c r="E114" s="269">
        <f>+ม.ค.!E114+ก.พ.!E113+มี.ค.!E113</f>
        <v>0</v>
      </c>
      <c r="F114" s="269">
        <f>+ม.ค.!F114+ก.พ.!F113+มี.ค.!F113</f>
        <v>0</v>
      </c>
      <c r="G114" s="269">
        <f>+ม.ค.!G114+ก.พ.!G113+มี.ค.!G113</f>
        <v>0</v>
      </c>
      <c r="H114" s="269">
        <f>+ม.ค.!H114+ก.พ.!H113+มี.ค.!H113</f>
        <v>0</v>
      </c>
      <c r="I114" s="269">
        <f>+ม.ค.!I114+ก.พ.!I113+มี.ค.!I113</f>
        <v>0</v>
      </c>
      <c r="J114" s="269">
        <f>+ม.ค.!J114+ก.พ.!J113+มี.ค.!J113</f>
        <v>0</v>
      </c>
      <c r="K114" s="269">
        <f>+ม.ค.!K114+ก.พ.!K113+มี.ค.!K113</f>
        <v>0</v>
      </c>
      <c r="L114" s="269">
        <f>+ม.ค.!L114+ก.พ.!L113+มี.ค.!L113</f>
        <v>0</v>
      </c>
      <c r="M114" s="269">
        <f>+ม.ค.!M114+ก.พ.!M113+มี.ค.!M113</f>
        <v>0</v>
      </c>
      <c r="N114" s="269">
        <f>+ม.ค.!N114+ก.พ.!N113+มี.ค.!N113</f>
        <v>0</v>
      </c>
      <c r="O114" s="269">
        <f>+ม.ค.!O114+ก.พ.!O113+มี.ค.!O113</f>
        <v>0</v>
      </c>
      <c r="P114" s="269">
        <f>+ม.ค.!P114+ก.พ.!P113+มี.ค.!P113</f>
        <v>0</v>
      </c>
      <c r="Q114" s="269">
        <f>+ม.ค.!Q114+ก.พ.!Q113+มี.ค.!Q113</f>
        <v>0</v>
      </c>
      <c r="R114" s="269">
        <f>+ม.ค.!R114+ก.พ.!R113+มี.ค.!R113</f>
        <v>0</v>
      </c>
      <c r="S114" s="269">
        <f>+ม.ค.!S114+ก.พ.!S113+มี.ค.!S113</f>
        <v>0</v>
      </c>
      <c r="T114" s="269"/>
      <c r="U114" s="269">
        <f>+ม.ค.!U114+ก.พ.!U113+มี.ค.!U113</f>
        <v>0</v>
      </c>
      <c r="V114" s="269">
        <f>+ม.ค.!V114+ก.พ.!V113+มี.ค.!V113</f>
        <v>0</v>
      </c>
    </row>
    <row r="115" spans="1:22" ht="25.5" customHeight="1">
      <c r="A115" s="9"/>
      <c r="B115" s="187" t="s">
        <v>259</v>
      </c>
      <c r="C115" s="279">
        <v>1000</v>
      </c>
      <c r="D115" s="195"/>
      <c r="E115" s="269">
        <f>+ม.ค.!E115+ก.พ.!E114+มี.ค.!E114</f>
        <v>0</v>
      </c>
      <c r="F115" s="269">
        <f>+ม.ค.!F115+ก.พ.!F114+มี.ค.!F114</f>
        <v>0</v>
      </c>
      <c r="G115" s="269">
        <f>+ม.ค.!G115+ก.พ.!G114+มี.ค.!G114</f>
        <v>0</v>
      </c>
      <c r="H115" s="269">
        <f>+ม.ค.!H115+ก.พ.!H114+มี.ค.!H114</f>
        <v>0</v>
      </c>
      <c r="I115" s="269">
        <f>+ม.ค.!I115+ก.พ.!I114+มี.ค.!I114</f>
        <v>0</v>
      </c>
      <c r="J115" s="269">
        <f>+ม.ค.!J115+ก.พ.!J114+มี.ค.!J114</f>
        <v>0</v>
      </c>
      <c r="K115" s="269">
        <f>+ม.ค.!K115+ก.พ.!K114+มี.ค.!K114</f>
        <v>0</v>
      </c>
      <c r="L115" s="269">
        <f>+ม.ค.!L115+ก.พ.!L114+มี.ค.!L114</f>
        <v>0</v>
      </c>
      <c r="M115" s="269">
        <f>+ม.ค.!M115+ก.พ.!M114+มี.ค.!M114</f>
        <v>0</v>
      </c>
      <c r="N115" s="269">
        <f>+ม.ค.!N115+ก.พ.!N114+มี.ค.!N114</f>
        <v>0</v>
      </c>
      <c r="O115" s="269">
        <f>+ม.ค.!O115+ก.พ.!O114+มี.ค.!O114</f>
        <v>0</v>
      </c>
      <c r="P115" s="269">
        <f>+ม.ค.!P115+ก.พ.!P114+มี.ค.!P114</f>
        <v>0</v>
      </c>
      <c r="Q115" s="269">
        <f>+ม.ค.!Q115+ก.พ.!Q114+มี.ค.!Q114</f>
        <v>0</v>
      </c>
      <c r="R115" s="269">
        <f>+ม.ค.!R115+ก.พ.!R114+มี.ค.!R114</f>
        <v>0</v>
      </c>
      <c r="S115" s="269">
        <f>+ม.ค.!S115+ก.พ.!S114+มี.ค.!S114</f>
        <v>0</v>
      </c>
      <c r="T115" s="269"/>
      <c r="U115" s="269">
        <f>+ม.ค.!U115+ก.พ.!U114+มี.ค.!U114</f>
        <v>0</v>
      </c>
      <c r="V115" s="269">
        <f>+ม.ค.!V115+ก.พ.!V114+มี.ค.!V114</f>
        <v>0</v>
      </c>
    </row>
    <row r="116" spans="1:22" ht="25.5" customHeight="1">
      <c r="A116" s="9"/>
      <c r="B116" s="187" t="s">
        <v>260</v>
      </c>
      <c r="C116" s="279">
        <v>1000</v>
      </c>
      <c r="D116" s="195"/>
      <c r="E116" s="269">
        <f>+ม.ค.!E116+ก.พ.!E115+มี.ค.!E115</f>
        <v>0</v>
      </c>
      <c r="F116" s="269">
        <f>+ม.ค.!F116+ก.พ.!F115+มี.ค.!F115</f>
        <v>0</v>
      </c>
      <c r="G116" s="269">
        <f>+ม.ค.!G116+ก.พ.!G115+มี.ค.!G115</f>
        <v>0</v>
      </c>
      <c r="H116" s="269">
        <f>+ม.ค.!H116+ก.พ.!H115+มี.ค.!H115</f>
        <v>0</v>
      </c>
      <c r="I116" s="269">
        <f>+ม.ค.!I116+ก.พ.!I115+มี.ค.!I115</f>
        <v>0</v>
      </c>
      <c r="J116" s="269">
        <f>+ม.ค.!J116+ก.พ.!J115+มี.ค.!J115</f>
        <v>0</v>
      </c>
      <c r="K116" s="269">
        <f>+ม.ค.!K116+ก.พ.!K115+มี.ค.!K115</f>
        <v>0</v>
      </c>
      <c r="L116" s="269">
        <f>+ม.ค.!L116+ก.พ.!L115+มี.ค.!L115</f>
        <v>0</v>
      </c>
      <c r="M116" s="269">
        <f>+ม.ค.!M116+ก.พ.!M115+มี.ค.!M115</f>
        <v>0</v>
      </c>
      <c r="N116" s="269">
        <f>+ม.ค.!N116+ก.พ.!N115+มี.ค.!N115</f>
        <v>0</v>
      </c>
      <c r="O116" s="269">
        <f>+ม.ค.!O116+ก.พ.!O115+มี.ค.!O115</f>
        <v>0</v>
      </c>
      <c r="P116" s="269">
        <f>+ม.ค.!P116+ก.พ.!P115+มี.ค.!P115</f>
        <v>0</v>
      </c>
      <c r="Q116" s="269">
        <f>+ม.ค.!Q116+ก.พ.!Q115+มี.ค.!Q115</f>
        <v>0</v>
      </c>
      <c r="R116" s="269">
        <f>+ม.ค.!R116+ก.พ.!R115+มี.ค.!R115</f>
        <v>0</v>
      </c>
      <c r="S116" s="269">
        <f>+ม.ค.!S116+ก.พ.!S115+มี.ค.!S115</f>
        <v>0</v>
      </c>
      <c r="T116" s="269"/>
      <c r="U116" s="269">
        <f>+ม.ค.!U116+ก.พ.!U115+มี.ค.!U115</f>
        <v>0</v>
      </c>
      <c r="V116" s="269">
        <f>+ม.ค.!V116+ก.พ.!V115+มี.ค.!V115</f>
        <v>0</v>
      </c>
    </row>
    <row r="117" spans="1:22" ht="25.5" customHeight="1">
      <c r="A117" s="9"/>
      <c r="B117" s="187" t="s">
        <v>261</v>
      </c>
      <c r="C117" s="279">
        <v>1000</v>
      </c>
      <c r="D117" s="195"/>
      <c r="E117" s="269">
        <f>+ม.ค.!E117+ก.พ.!E116+มี.ค.!E116</f>
        <v>0</v>
      </c>
      <c r="F117" s="269">
        <f>+ม.ค.!F117+ก.พ.!F116+มี.ค.!F116</f>
        <v>0</v>
      </c>
      <c r="G117" s="269">
        <f>+ม.ค.!G117+ก.พ.!G116+มี.ค.!G116</f>
        <v>0</v>
      </c>
      <c r="H117" s="269">
        <f>+ม.ค.!H117+ก.พ.!H116+มี.ค.!H116</f>
        <v>0</v>
      </c>
      <c r="I117" s="269">
        <f>+ม.ค.!I117+ก.พ.!I116+มี.ค.!I116</f>
        <v>0</v>
      </c>
      <c r="J117" s="269">
        <f>+ม.ค.!J117+ก.พ.!J116+มี.ค.!J116</f>
        <v>0</v>
      </c>
      <c r="K117" s="269">
        <f>+ม.ค.!K117+ก.พ.!K116+มี.ค.!K116</f>
        <v>0</v>
      </c>
      <c r="L117" s="269">
        <f>+ม.ค.!L117+ก.พ.!L116+มี.ค.!L116</f>
        <v>0</v>
      </c>
      <c r="M117" s="269">
        <f>+ม.ค.!M117+ก.พ.!M116+มี.ค.!M116</f>
        <v>0</v>
      </c>
      <c r="N117" s="269">
        <f>+ม.ค.!N117+ก.พ.!N116+มี.ค.!N116</f>
        <v>0</v>
      </c>
      <c r="O117" s="269">
        <f>+ม.ค.!O117+ก.พ.!O116+มี.ค.!O116</f>
        <v>0</v>
      </c>
      <c r="P117" s="269">
        <f>+ม.ค.!P117+ก.พ.!P116+มี.ค.!P116</f>
        <v>0</v>
      </c>
      <c r="Q117" s="269">
        <f>+ม.ค.!Q117+ก.พ.!Q116+มี.ค.!Q116</f>
        <v>0</v>
      </c>
      <c r="R117" s="269">
        <f>+ม.ค.!R117+ก.พ.!R116+มี.ค.!R116</f>
        <v>0</v>
      </c>
      <c r="S117" s="269">
        <f>+ม.ค.!S117+ก.พ.!S116+มี.ค.!S116</f>
        <v>0</v>
      </c>
      <c r="T117" s="269"/>
      <c r="U117" s="269">
        <f>+ม.ค.!U117+ก.พ.!U116+มี.ค.!U116</f>
        <v>0</v>
      </c>
      <c r="V117" s="269">
        <f>+ม.ค.!V117+ก.พ.!V116+มี.ค.!V116</f>
        <v>0</v>
      </c>
    </row>
    <row r="118" spans="1:22" ht="25.5" customHeight="1">
      <c r="A118" s="9"/>
      <c r="B118" s="187" t="s">
        <v>262</v>
      </c>
      <c r="C118" s="279">
        <v>1000</v>
      </c>
      <c r="D118" s="195"/>
      <c r="E118" s="269">
        <f>+ม.ค.!E118+ก.พ.!E117+มี.ค.!E117</f>
        <v>0</v>
      </c>
      <c r="F118" s="269">
        <f>+ม.ค.!F118+ก.พ.!F117+มี.ค.!F117</f>
        <v>0</v>
      </c>
      <c r="G118" s="269">
        <f>+ม.ค.!G118+ก.พ.!G117+มี.ค.!G117</f>
        <v>0</v>
      </c>
      <c r="H118" s="269">
        <f>+ม.ค.!H118+ก.พ.!H117+มี.ค.!H117</f>
        <v>0</v>
      </c>
      <c r="I118" s="269">
        <f>+ม.ค.!I118+ก.พ.!I117+มี.ค.!I117</f>
        <v>0</v>
      </c>
      <c r="J118" s="269">
        <f>+ม.ค.!J118+ก.พ.!J117+มี.ค.!J117</f>
        <v>0</v>
      </c>
      <c r="K118" s="269">
        <f>+ม.ค.!K118+ก.พ.!K117+มี.ค.!K117</f>
        <v>0</v>
      </c>
      <c r="L118" s="269">
        <f>+ม.ค.!L118+ก.พ.!L117+มี.ค.!L117</f>
        <v>0</v>
      </c>
      <c r="M118" s="269">
        <f>+ม.ค.!M118+ก.พ.!M117+มี.ค.!M117</f>
        <v>0</v>
      </c>
      <c r="N118" s="269">
        <f>+ม.ค.!N118+ก.พ.!N117+มี.ค.!N117</f>
        <v>0</v>
      </c>
      <c r="O118" s="269">
        <f>+ม.ค.!O118+ก.พ.!O117+มี.ค.!O117</f>
        <v>0</v>
      </c>
      <c r="P118" s="269">
        <f>+ม.ค.!P118+ก.พ.!P117+มี.ค.!P117</f>
        <v>0</v>
      </c>
      <c r="Q118" s="269">
        <f>+ม.ค.!Q118+ก.พ.!Q117+มี.ค.!Q117</f>
        <v>0</v>
      </c>
      <c r="R118" s="269">
        <f>+ม.ค.!R118+ก.พ.!R117+มี.ค.!R117</f>
        <v>0</v>
      </c>
      <c r="S118" s="269">
        <f>+ม.ค.!S118+ก.พ.!S117+มี.ค.!S117</f>
        <v>0</v>
      </c>
      <c r="T118" s="269"/>
      <c r="U118" s="269">
        <f>+ม.ค.!U118+ก.พ.!U117+มี.ค.!U117</f>
        <v>0</v>
      </c>
      <c r="V118" s="269">
        <f>+ม.ค.!V118+ก.พ.!V117+มี.ค.!V117</f>
        <v>0</v>
      </c>
    </row>
    <row r="119" spans="1:22" ht="25.5" customHeight="1">
      <c r="A119" s="9"/>
      <c r="B119" s="187" t="s">
        <v>211</v>
      </c>
      <c r="C119" s="279">
        <v>392000</v>
      </c>
      <c r="D119" s="195"/>
      <c r="E119" s="269">
        <f>+ม.ค.!E119+ก.พ.!E118+มี.ค.!E118</f>
        <v>0</v>
      </c>
      <c r="F119" s="269">
        <f>+ม.ค.!F119+ก.พ.!F118+มี.ค.!F118</f>
        <v>0</v>
      </c>
      <c r="G119" s="269">
        <f>+ม.ค.!G119+ก.พ.!G118+มี.ค.!G118</f>
        <v>0</v>
      </c>
      <c r="H119" s="269">
        <f>+ม.ค.!H119+ก.พ.!H118+มี.ค.!H118</f>
        <v>0</v>
      </c>
      <c r="I119" s="269">
        <f>+ม.ค.!I119+ก.พ.!I118+มี.ค.!I118</f>
        <v>93600</v>
      </c>
      <c r="J119" s="269">
        <f>+ม.ค.!J119+ก.พ.!J118+มี.ค.!J118</f>
        <v>0</v>
      </c>
      <c r="K119" s="269">
        <f>+ม.ค.!K119+ก.พ.!K118+มี.ค.!K118</f>
        <v>0</v>
      </c>
      <c r="L119" s="269">
        <f>+ม.ค.!L119+ก.พ.!L118+มี.ค.!L118</f>
        <v>0</v>
      </c>
      <c r="M119" s="269">
        <f>+ม.ค.!M119+ก.พ.!M118+มี.ค.!M118</f>
        <v>0</v>
      </c>
      <c r="N119" s="269">
        <f>+ม.ค.!N119+ก.พ.!N118+มี.ค.!N118</f>
        <v>0</v>
      </c>
      <c r="O119" s="269">
        <f>+ม.ค.!O119+ก.พ.!O118+มี.ค.!O118</f>
        <v>0</v>
      </c>
      <c r="P119" s="269">
        <f>+ม.ค.!P119+ก.พ.!P118+มี.ค.!P118</f>
        <v>0</v>
      </c>
      <c r="Q119" s="269">
        <f>+ม.ค.!Q119+ก.พ.!Q118+มี.ค.!Q118</f>
        <v>0</v>
      </c>
      <c r="R119" s="269">
        <f>+ม.ค.!R119+ก.พ.!R118+มี.ค.!R118</f>
        <v>0</v>
      </c>
      <c r="S119" s="269">
        <f>+ม.ค.!S119+ก.พ.!S118+มี.ค.!S118</f>
        <v>0</v>
      </c>
      <c r="T119" s="269"/>
      <c r="U119" s="269">
        <f>+ม.ค.!U119+ก.พ.!U118+มี.ค.!U118</f>
        <v>0</v>
      </c>
      <c r="V119" s="269">
        <f>+ม.ค.!V119+ก.พ.!V118+มี.ค.!V118</f>
        <v>0</v>
      </c>
    </row>
    <row r="120" spans="1:22" ht="25.5" customHeight="1">
      <c r="A120" s="9"/>
      <c r="B120" s="187" t="s">
        <v>263</v>
      </c>
      <c r="C120" s="279">
        <v>200900</v>
      </c>
      <c r="D120" s="195"/>
      <c r="E120" s="269">
        <f>+ม.ค.!E120+ก.พ.!E119+มี.ค.!E119</f>
        <v>0</v>
      </c>
      <c r="F120" s="269">
        <f>+ม.ค.!F120+ก.พ.!F119+มี.ค.!F119</f>
        <v>0</v>
      </c>
      <c r="G120" s="269">
        <f>+ม.ค.!G120+ก.พ.!G119+มี.ค.!G119</f>
        <v>0</v>
      </c>
      <c r="H120" s="269">
        <f>+ม.ค.!H120+ก.พ.!H119+มี.ค.!H119</f>
        <v>0</v>
      </c>
      <c r="I120" s="269">
        <f>+ม.ค.!I120+ก.พ.!I119+มี.ค.!I119</f>
        <v>50400</v>
      </c>
      <c r="J120" s="269">
        <f>+ม.ค.!J120+ก.พ.!J119+มี.ค.!J119</f>
        <v>0</v>
      </c>
      <c r="K120" s="269">
        <f>+ม.ค.!K120+ก.พ.!K119+มี.ค.!K119</f>
        <v>0</v>
      </c>
      <c r="L120" s="269">
        <f>+ม.ค.!L120+ก.พ.!L119+มี.ค.!L119</f>
        <v>0</v>
      </c>
      <c r="M120" s="269">
        <f>+ม.ค.!M120+ก.พ.!M119+มี.ค.!M119</f>
        <v>0</v>
      </c>
      <c r="N120" s="269">
        <f>+ม.ค.!N120+ก.พ.!N119+มี.ค.!N119</f>
        <v>0</v>
      </c>
      <c r="O120" s="269">
        <f>+ม.ค.!O120+ก.พ.!O119+มี.ค.!O119</f>
        <v>0</v>
      </c>
      <c r="P120" s="269">
        <f>+ม.ค.!P120+ก.พ.!P119+มี.ค.!P119</f>
        <v>0</v>
      </c>
      <c r="Q120" s="269">
        <f>+ม.ค.!Q120+ก.พ.!Q119+มี.ค.!Q119</f>
        <v>0</v>
      </c>
      <c r="R120" s="269">
        <f>+ม.ค.!R120+ก.พ.!R119+มี.ค.!R119</f>
        <v>0</v>
      </c>
      <c r="S120" s="269">
        <f>+ม.ค.!S120+ก.พ.!S119+มี.ค.!S119</f>
        <v>0</v>
      </c>
      <c r="T120" s="269"/>
      <c r="U120" s="269">
        <f>+ม.ค.!U120+ก.พ.!U119+มี.ค.!U119</f>
        <v>0</v>
      </c>
      <c r="V120" s="269">
        <f>+ม.ค.!V120+ก.พ.!V119+มี.ค.!V119</f>
        <v>0</v>
      </c>
    </row>
    <row r="121" spans="1:22" ht="25.5" customHeight="1">
      <c r="A121" s="9"/>
      <c r="B121" s="187" t="s">
        <v>315</v>
      </c>
      <c r="C121" s="279">
        <v>230300</v>
      </c>
      <c r="D121" s="195"/>
      <c r="E121" s="269">
        <f>+ม.ค.!E121+ก.พ.!E120+มี.ค.!E120</f>
        <v>0</v>
      </c>
      <c r="F121" s="269">
        <f>+ม.ค.!F121+ก.พ.!F120+มี.ค.!F120</f>
        <v>0</v>
      </c>
      <c r="G121" s="269">
        <f>+ม.ค.!G121+ก.พ.!G120+มี.ค.!G120</f>
        <v>0</v>
      </c>
      <c r="H121" s="269">
        <f>+ม.ค.!H121+ก.พ.!H120+มี.ค.!H120</f>
        <v>0</v>
      </c>
      <c r="I121" s="269">
        <f>+ม.ค.!I121+ก.พ.!I120+มี.ค.!I120</f>
        <v>55200</v>
      </c>
      <c r="J121" s="269">
        <f>+ม.ค.!J121+ก.พ.!J120+มี.ค.!J120</f>
        <v>0</v>
      </c>
      <c r="K121" s="269">
        <f>+ม.ค.!K121+ก.พ.!K120+มี.ค.!K120</f>
        <v>0</v>
      </c>
      <c r="L121" s="269">
        <f>+ม.ค.!L121+ก.พ.!L120+มี.ค.!L120</f>
        <v>0</v>
      </c>
      <c r="M121" s="269">
        <f>+ม.ค.!M121+ก.พ.!M120+มี.ค.!M120</f>
        <v>0</v>
      </c>
      <c r="N121" s="269">
        <f>+ม.ค.!N121+ก.พ.!N120+มี.ค.!N120</f>
        <v>0</v>
      </c>
      <c r="O121" s="269">
        <f>+ม.ค.!O121+ก.พ.!O120+มี.ค.!O120</f>
        <v>0</v>
      </c>
      <c r="P121" s="269">
        <f>+ม.ค.!P121+ก.พ.!P120+มี.ค.!P120</f>
        <v>0</v>
      </c>
      <c r="Q121" s="269">
        <f>+ม.ค.!Q121+ก.พ.!Q120+มี.ค.!Q120</f>
        <v>0</v>
      </c>
      <c r="R121" s="269">
        <f>+ม.ค.!R121+ก.พ.!R120+มี.ค.!R120</f>
        <v>0</v>
      </c>
      <c r="S121" s="269">
        <f>+ม.ค.!S121+ก.พ.!S120+มี.ค.!S120</f>
        <v>0</v>
      </c>
      <c r="T121" s="269"/>
      <c r="U121" s="269">
        <f>+ม.ค.!U121+ก.พ.!U120+มี.ค.!U120</f>
        <v>0</v>
      </c>
      <c r="V121" s="269">
        <f>+ม.ค.!V121+ก.พ.!V120+มี.ค.!V120</f>
        <v>0</v>
      </c>
    </row>
    <row r="122" spans="1:22" ht="25.5" customHeight="1">
      <c r="A122" s="9"/>
      <c r="B122" s="187" t="s">
        <v>212</v>
      </c>
      <c r="C122" s="279">
        <v>171500</v>
      </c>
      <c r="D122" s="195"/>
      <c r="E122" s="269">
        <f>+ม.ค.!E122+ก.พ.!E121+มี.ค.!E121</f>
        <v>0</v>
      </c>
      <c r="F122" s="269">
        <f>+ม.ค.!F122+ก.พ.!F121+มี.ค.!F121</f>
        <v>0</v>
      </c>
      <c r="G122" s="269">
        <f>+ม.ค.!G122+ก.พ.!G121+มี.ค.!G121</f>
        <v>0</v>
      </c>
      <c r="H122" s="269">
        <f>+ม.ค.!H122+ก.พ.!H121+มี.ค.!H121</f>
        <v>0</v>
      </c>
      <c r="I122" s="269">
        <f>+ม.ค.!I122+ก.พ.!I121+มี.ค.!I121</f>
        <v>43200</v>
      </c>
      <c r="J122" s="269">
        <f>+ม.ค.!J122+ก.พ.!J121+มี.ค.!J121</f>
        <v>0</v>
      </c>
      <c r="K122" s="269">
        <f>+ม.ค.!K122+ก.พ.!K121+มี.ค.!K121</f>
        <v>0</v>
      </c>
      <c r="L122" s="269">
        <f>+ม.ค.!L122+ก.พ.!L121+มี.ค.!L121</f>
        <v>0</v>
      </c>
      <c r="M122" s="269">
        <f>+ม.ค.!M122+ก.พ.!M121+มี.ค.!M121</f>
        <v>0</v>
      </c>
      <c r="N122" s="269">
        <f>+ม.ค.!N122+ก.พ.!N121+มี.ค.!N121</f>
        <v>0</v>
      </c>
      <c r="O122" s="269">
        <f>+ม.ค.!O122+ก.พ.!O121+มี.ค.!O121</f>
        <v>0</v>
      </c>
      <c r="P122" s="269">
        <f>+ม.ค.!P122+ก.พ.!P121+มี.ค.!P121</f>
        <v>0</v>
      </c>
      <c r="Q122" s="269">
        <f>+ม.ค.!Q122+ก.พ.!Q121+มี.ค.!Q121</f>
        <v>0</v>
      </c>
      <c r="R122" s="269">
        <f>+ม.ค.!R122+ก.พ.!R121+มี.ค.!R121</f>
        <v>0</v>
      </c>
      <c r="S122" s="269">
        <f>+ม.ค.!S122+ก.พ.!S121+มี.ค.!S121</f>
        <v>0</v>
      </c>
      <c r="T122" s="269"/>
      <c r="U122" s="269">
        <f>+ม.ค.!U122+ก.พ.!U121+มี.ค.!U121</f>
        <v>0</v>
      </c>
      <c r="V122" s="269">
        <f>+ม.ค.!V122+ก.พ.!V121+มี.ค.!V121</f>
        <v>0</v>
      </c>
    </row>
    <row r="123" spans="1:22" ht="25.5" customHeight="1">
      <c r="A123" s="9"/>
      <c r="B123" s="187" t="s">
        <v>140</v>
      </c>
      <c r="C123" s="279">
        <v>50000</v>
      </c>
      <c r="D123" s="195"/>
      <c r="E123" s="269">
        <f>+ม.ค.!E123+ก.พ.!E122+มี.ค.!E122</f>
        <v>0</v>
      </c>
      <c r="F123" s="269">
        <f>+ม.ค.!F123+ก.พ.!F122+มี.ค.!F122</f>
        <v>0</v>
      </c>
      <c r="G123" s="269">
        <f>+ม.ค.!G123+ก.พ.!G122+มี.ค.!G122</f>
        <v>0</v>
      </c>
      <c r="H123" s="269">
        <f>+ม.ค.!H123+ก.พ.!H122+มี.ค.!H122</f>
        <v>0</v>
      </c>
      <c r="I123" s="269">
        <f>+ม.ค.!I123+ก.พ.!I122+มี.ค.!I122</f>
        <v>0</v>
      </c>
      <c r="J123" s="269">
        <f>+ม.ค.!J123+ก.พ.!J122+มี.ค.!J122</f>
        <v>49995</v>
      </c>
      <c r="K123" s="269">
        <f>+ม.ค.!K123+ก.พ.!K122+มี.ค.!K122</f>
        <v>0</v>
      </c>
      <c r="L123" s="269">
        <f>+ม.ค.!L123+ก.พ.!L122+มี.ค.!L122</f>
        <v>0</v>
      </c>
      <c r="M123" s="269">
        <f>+ม.ค.!M123+ก.พ.!M122+มี.ค.!M122</f>
        <v>0</v>
      </c>
      <c r="N123" s="269">
        <f>+ม.ค.!N123+ก.พ.!N122+มี.ค.!N122</f>
        <v>0</v>
      </c>
      <c r="O123" s="269">
        <f>+ม.ค.!O123+ก.พ.!O122+มี.ค.!O122</f>
        <v>0</v>
      </c>
      <c r="P123" s="269">
        <f>+ม.ค.!P123+ก.พ.!P122+มี.ค.!P122</f>
        <v>0</v>
      </c>
      <c r="Q123" s="269">
        <f>+ม.ค.!Q123+ก.พ.!Q122+มี.ค.!Q122</f>
        <v>0</v>
      </c>
      <c r="R123" s="269">
        <f>+ม.ค.!R123+ก.พ.!R122+มี.ค.!R122</f>
        <v>0</v>
      </c>
      <c r="S123" s="269">
        <f>+ม.ค.!S123+ก.พ.!S122+มี.ค.!S122</f>
        <v>0</v>
      </c>
      <c r="T123" s="269"/>
      <c r="U123" s="269">
        <f>+ม.ค.!U123+ก.พ.!U122+มี.ค.!U122</f>
        <v>0</v>
      </c>
      <c r="V123" s="269">
        <f>+ม.ค.!V123+ก.พ.!V122+มี.ค.!V122</f>
        <v>0</v>
      </c>
    </row>
    <row r="124" spans="1:22" ht="25.5" customHeight="1">
      <c r="A124" s="9"/>
      <c r="B124" s="187" t="s">
        <v>206</v>
      </c>
      <c r="C124" s="279">
        <v>20000</v>
      </c>
      <c r="D124" s="195"/>
      <c r="E124" s="269">
        <f>+ม.ค.!E124+ก.พ.!E123+มี.ค.!E123</f>
        <v>0</v>
      </c>
      <c r="F124" s="269">
        <f>+ม.ค.!F124+ก.พ.!F123+มี.ค.!F123</f>
        <v>0</v>
      </c>
      <c r="G124" s="269">
        <f>+ม.ค.!G124+ก.พ.!G123+มี.ค.!G123</f>
        <v>0</v>
      </c>
      <c r="H124" s="269">
        <f>+ม.ค.!H124+ก.พ.!H123+มี.ค.!H123</f>
        <v>0</v>
      </c>
      <c r="I124" s="269">
        <f>+ม.ค.!I124+ก.พ.!I123+มี.ค.!I123</f>
        <v>0</v>
      </c>
      <c r="J124" s="269">
        <f>+ม.ค.!J124+ก.พ.!J123+มี.ค.!J123</f>
        <v>0</v>
      </c>
      <c r="K124" s="269">
        <f>+ม.ค.!K124+ก.พ.!K123+มี.ค.!K123</f>
        <v>0</v>
      </c>
      <c r="L124" s="269">
        <f>+ม.ค.!L124+ก.พ.!L123+มี.ค.!L123</f>
        <v>0</v>
      </c>
      <c r="M124" s="269">
        <f>+ม.ค.!M124+ก.พ.!M123+มี.ค.!M123</f>
        <v>0</v>
      </c>
      <c r="N124" s="269">
        <f>+ม.ค.!N124+ก.พ.!N123+มี.ค.!N123</f>
        <v>0</v>
      </c>
      <c r="O124" s="269">
        <f>+ม.ค.!O124+ก.พ.!O123+มี.ค.!O123</f>
        <v>0</v>
      </c>
      <c r="P124" s="269">
        <f>+ม.ค.!P124+ก.พ.!P123+มี.ค.!P123</f>
        <v>0</v>
      </c>
      <c r="Q124" s="269">
        <f>+ม.ค.!Q124+ก.พ.!Q123+มี.ค.!Q123</f>
        <v>0</v>
      </c>
      <c r="R124" s="269">
        <f>+ม.ค.!R124+ก.พ.!R123+มี.ค.!R123</f>
        <v>0</v>
      </c>
      <c r="S124" s="269">
        <f>+ม.ค.!S124+ก.พ.!S123+มี.ค.!S123</f>
        <v>0</v>
      </c>
      <c r="T124" s="269"/>
      <c r="U124" s="269">
        <f>+ม.ค.!U124+ก.พ.!U123+มี.ค.!U123</f>
        <v>0</v>
      </c>
      <c r="V124" s="269">
        <f>+ม.ค.!V124+ก.พ.!V123+มี.ค.!V123</f>
        <v>0</v>
      </c>
    </row>
    <row r="125" spans="1:22" ht="25.5" customHeight="1">
      <c r="A125" s="9"/>
      <c r="B125" s="187" t="s">
        <v>326</v>
      </c>
      <c r="C125" s="279">
        <v>5000</v>
      </c>
      <c r="D125" s="195"/>
      <c r="E125" s="269">
        <f>+ม.ค.!E125+ก.พ.!E124+มี.ค.!E124</f>
        <v>0</v>
      </c>
      <c r="F125" s="269">
        <f>+ม.ค.!F125+ก.พ.!F124+มี.ค.!F124</f>
        <v>0</v>
      </c>
      <c r="G125" s="269">
        <f>+ม.ค.!G125+ก.พ.!G124+มี.ค.!G124</f>
        <v>0</v>
      </c>
      <c r="H125" s="269">
        <f>+ม.ค.!H125+ก.พ.!H124+มี.ค.!H124</f>
        <v>0</v>
      </c>
      <c r="I125" s="269">
        <f>+ม.ค.!I125+ก.พ.!I124+มี.ค.!I124</f>
        <v>0</v>
      </c>
      <c r="J125" s="269">
        <f>+ม.ค.!J125+ก.พ.!J124+มี.ค.!J124</f>
        <v>0</v>
      </c>
      <c r="K125" s="269">
        <f>+ม.ค.!K125+ก.พ.!K124+มี.ค.!K124</f>
        <v>0</v>
      </c>
      <c r="L125" s="269">
        <f>+ม.ค.!L125+ก.พ.!L124+มี.ค.!L124</f>
        <v>0</v>
      </c>
      <c r="M125" s="269">
        <f>+ม.ค.!M125+ก.พ.!M124+มี.ค.!M124</f>
        <v>0</v>
      </c>
      <c r="N125" s="269">
        <f>+ม.ค.!N125+ก.พ.!N124+มี.ค.!N124</f>
        <v>0</v>
      </c>
      <c r="O125" s="269">
        <f>+ม.ค.!O125+ก.พ.!O124+มี.ค.!O124</f>
        <v>0</v>
      </c>
      <c r="P125" s="269">
        <f>+ม.ค.!P125+ก.พ.!P124+มี.ค.!P124</f>
        <v>0</v>
      </c>
      <c r="Q125" s="269">
        <f>+ม.ค.!Q125+ก.พ.!Q124+มี.ค.!Q124</f>
        <v>0</v>
      </c>
      <c r="R125" s="269">
        <f>+ม.ค.!R125+ก.พ.!R124+มี.ค.!R124</f>
        <v>0</v>
      </c>
      <c r="S125" s="269">
        <f>+ม.ค.!S125+ก.พ.!S124+มี.ค.!S124</f>
        <v>0</v>
      </c>
      <c r="T125" s="269"/>
      <c r="U125" s="269">
        <f>+ม.ค.!U125+ก.พ.!U124+มี.ค.!U124</f>
        <v>0</v>
      </c>
      <c r="V125" s="269">
        <f>+ม.ค.!V125+ก.พ.!V124+มี.ค.!V124</f>
        <v>0</v>
      </c>
    </row>
    <row r="126" spans="1:22" ht="25.5" customHeight="1">
      <c r="A126" s="9"/>
      <c r="B126" s="187" t="s">
        <v>327</v>
      </c>
      <c r="C126" s="279">
        <v>5000</v>
      </c>
      <c r="D126" s="195"/>
      <c r="E126" s="269">
        <f>+ม.ค.!E126+ก.พ.!E125+มี.ค.!E125</f>
        <v>0</v>
      </c>
      <c r="F126" s="269">
        <f>+ม.ค.!F126+ก.พ.!F125+มี.ค.!F125</f>
        <v>0</v>
      </c>
      <c r="G126" s="269">
        <f>+ม.ค.!G126+ก.พ.!G125+มี.ค.!G125</f>
        <v>0</v>
      </c>
      <c r="H126" s="269">
        <f>+ม.ค.!H126+ก.พ.!H125+มี.ค.!H125</f>
        <v>0</v>
      </c>
      <c r="I126" s="269">
        <f>+ม.ค.!I126+ก.พ.!I125+มี.ค.!I125</f>
        <v>0</v>
      </c>
      <c r="J126" s="269">
        <f>+ม.ค.!J126+ก.พ.!J125+มี.ค.!J125</f>
        <v>0</v>
      </c>
      <c r="K126" s="269">
        <f>+ม.ค.!K126+ก.พ.!K125+มี.ค.!K125</f>
        <v>0</v>
      </c>
      <c r="L126" s="269">
        <f>+ม.ค.!L126+ก.พ.!L125+มี.ค.!L125</f>
        <v>0</v>
      </c>
      <c r="M126" s="269">
        <f>+ม.ค.!M126+ก.พ.!M125+มี.ค.!M125</f>
        <v>0</v>
      </c>
      <c r="N126" s="269">
        <f>+ม.ค.!N126+ก.พ.!N125+มี.ค.!N125</f>
        <v>0</v>
      </c>
      <c r="O126" s="269">
        <f>+ม.ค.!O126+ก.พ.!O125+มี.ค.!O125</f>
        <v>0</v>
      </c>
      <c r="P126" s="269">
        <f>+ม.ค.!P126+ก.พ.!P125+มี.ค.!P125</f>
        <v>0</v>
      </c>
      <c r="Q126" s="269">
        <f>+ม.ค.!Q126+ก.พ.!Q125+มี.ค.!Q125</f>
        <v>0</v>
      </c>
      <c r="R126" s="269">
        <f>+ม.ค.!R126+ก.พ.!R125+มี.ค.!R125</f>
        <v>0</v>
      </c>
      <c r="S126" s="269">
        <f>+ม.ค.!S126+ก.พ.!S125+มี.ค.!S125</f>
        <v>0</v>
      </c>
      <c r="T126" s="269"/>
      <c r="U126" s="269">
        <f>+ม.ค.!U126+ก.พ.!U125+มี.ค.!U125</f>
        <v>0</v>
      </c>
      <c r="V126" s="269">
        <f>+ม.ค.!V126+ก.พ.!V125+มี.ค.!V125</f>
        <v>0</v>
      </c>
    </row>
    <row r="127" spans="1:22" ht="25.5" customHeight="1">
      <c r="A127" s="9"/>
      <c r="B127" s="187" t="s">
        <v>142</v>
      </c>
      <c r="C127" s="279">
        <v>20000</v>
      </c>
      <c r="D127" s="195"/>
      <c r="E127" s="269">
        <f>+ม.ค.!E127+ก.พ.!E126+มี.ค.!E126</f>
        <v>0</v>
      </c>
      <c r="F127" s="269">
        <f>+ม.ค.!F127+ก.พ.!F126+มี.ค.!F126</f>
        <v>0</v>
      </c>
      <c r="G127" s="269">
        <f>+ม.ค.!G127+ก.พ.!G126+มี.ค.!G126</f>
        <v>0</v>
      </c>
      <c r="H127" s="269">
        <f>+ม.ค.!H127+ก.พ.!H126+มี.ค.!H126</f>
        <v>0</v>
      </c>
      <c r="I127" s="269">
        <f>+ม.ค.!I127+ก.พ.!I126+มี.ค.!I126</f>
        <v>0</v>
      </c>
      <c r="J127" s="269">
        <f>+ม.ค.!J127+ก.พ.!J126+มี.ค.!J126</f>
        <v>0</v>
      </c>
      <c r="K127" s="269">
        <f>+ม.ค.!K127+ก.พ.!K126+มี.ค.!K126</f>
        <v>0</v>
      </c>
      <c r="L127" s="269">
        <f>+ม.ค.!L127+ก.พ.!L126+มี.ค.!L126</f>
        <v>0</v>
      </c>
      <c r="M127" s="269">
        <f>+ม.ค.!M127+ก.พ.!M126+มี.ค.!M126</f>
        <v>0</v>
      </c>
      <c r="N127" s="269">
        <f>+ม.ค.!N127+ก.พ.!N126+มี.ค.!N126</f>
        <v>0</v>
      </c>
      <c r="O127" s="269">
        <f>+ม.ค.!O127+ก.พ.!O126+มี.ค.!O126</f>
        <v>0</v>
      </c>
      <c r="P127" s="269">
        <f>+ม.ค.!P127+ก.พ.!P126+มี.ค.!P126</f>
        <v>0</v>
      </c>
      <c r="Q127" s="269">
        <f>+ม.ค.!Q127+ก.พ.!Q126+มี.ค.!Q126</f>
        <v>0</v>
      </c>
      <c r="R127" s="269">
        <f>+ม.ค.!R127+ก.พ.!R126+มี.ค.!R126</f>
        <v>0</v>
      </c>
      <c r="S127" s="269">
        <f>+ม.ค.!S127+ก.พ.!S126+มี.ค.!S126</f>
        <v>0</v>
      </c>
      <c r="T127" s="269"/>
      <c r="U127" s="269">
        <f>+ม.ค.!U127+ก.พ.!U126+มี.ค.!U126</f>
        <v>0</v>
      </c>
      <c r="V127" s="269">
        <f>+ม.ค.!V127+ก.พ.!V126+มี.ค.!V126</f>
        <v>0</v>
      </c>
    </row>
    <row r="128" spans="1:22" ht="25.5" customHeight="1">
      <c r="A128" s="9"/>
      <c r="B128" s="226" t="s">
        <v>328</v>
      </c>
      <c r="C128" s="279">
        <v>10000</v>
      </c>
      <c r="D128" s="195"/>
      <c r="E128" s="269">
        <f>+ม.ค.!E128+ก.พ.!E127+มี.ค.!E127</f>
        <v>0</v>
      </c>
      <c r="F128" s="269">
        <f>+ม.ค.!F128+ก.พ.!F127+มี.ค.!F127</f>
        <v>0</v>
      </c>
      <c r="G128" s="269">
        <f>+ม.ค.!G128+ก.พ.!G127+มี.ค.!G127</f>
        <v>0</v>
      </c>
      <c r="H128" s="269">
        <f>+ม.ค.!H128+ก.พ.!H127+มี.ค.!H127</f>
        <v>0</v>
      </c>
      <c r="I128" s="269">
        <f>+ม.ค.!I128+ก.พ.!I127+มี.ค.!I127</f>
        <v>0</v>
      </c>
      <c r="J128" s="269">
        <f>+ม.ค.!J128+ก.พ.!J127+มี.ค.!J127</f>
        <v>0</v>
      </c>
      <c r="K128" s="269">
        <f>+ม.ค.!K128+ก.พ.!K127+มี.ค.!K127</f>
        <v>0</v>
      </c>
      <c r="L128" s="269">
        <f>+ม.ค.!L128+ก.พ.!L127+มี.ค.!L127</f>
        <v>0</v>
      </c>
      <c r="M128" s="269">
        <f>+ม.ค.!M128+ก.พ.!M127+มี.ค.!M127</f>
        <v>0</v>
      </c>
      <c r="N128" s="269">
        <f>+ม.ค.!N128+ก.พ.!N127+มี.ค.!N127</f>
        <v>0</v>
      </c>
      <c r="O128" s="269">
        <f>+ม.ค.!O128+ก.พ.!O127+มี.ค.!O127</f>
        <v>0</v>
      </c>
      <c r="P128" s="269">
        <f>+ม.ค.!P128+ก.พ.!P127+มี.ค.!P127</f>
        <v>0</v>
      </c>
      <c r="Q128" s="269">
        <f>+ม.ค.!Q128+ก.พ.!Q127+มี.ค.!Q127</f>
        <v>0</v>
      </c>
      <c r="R128" s="269">
        <f>+ม.ค.!R128+ก.พ.!R127+มี.ค.!R127</f>
        <v>0</v>
      </c>
      <c r="S128" s="269">
        <f>+ม.ค.!S128+ก.พ.!S127+มี.ค.!S127</f>
        <v>0</v>
      </c>
      <c r="T128" s="269"/>
      <c r="U128" s="269">
        <f>+ม.ค.!U128+ก.พ.!U127+มี.ค.!U127</f>
        <v>0</v>
      </c>
      <c r="V128" s="269">
        <f>+ม.ค.!V128+ก.พ.!V127+มี.ค.!V127</f>
        <v>0</v>
      </c>
    </row>
    <row r="129" spans="1:22" ht="25.5" customHeight="1">
      <c r="A129" s="9"/>
      <c r="B129" s="226" t="s">
        <v>329</v>
      </c>
      <c r="C129" s="279">
        <v>10000</v>
      </c>
      <c r="D129" s="131"/>
      <c r="E129" s="269">
        <f>+ม.ค.!E129+ก.พ.!E128+มี.ค.!E128</f>
        <v>0</v>
      </c>
      <c r="F129" s="269">
        <f>+ม.ค.!F129+ก.พ.!F128+มี.ค.!F128</f>
        <v>0</v>
      </c>
      <c r="G129" s="269">
        <f>+ม.ค.!G129+ก.พ.!G128+มี.ค.!G128</f>
        <v>0</v>
      </c>
      <c r="H129" s="269">
        <f>+ม.ค.!H129+ก.พ.!H128+มี.ค.!H128</f>
        <v>0</v>
      </c>
      <c r="I129" s="269">
        <f>+ม.ค.!I129+ก.พ.!I128+มี.ค.!I128</f>
        <v>0</v>
      </c>
      <c r="J129" s="269">
        <f>+ม.ค.!J129+ก.พ.!J128+มี.ค.!J128</f>
        <v>0</v>
      </c>
      <c r="K129" s="269">
        <f>+ม.ค.!K129+ก.พ.!K128+มี.ค.!K128</f>
        <v>0</v>
      </c>
      <c r="L129" s="269">
        <f>+ม.ค.!L129+ก.พ.!L128+มี.ค.!L128</f>
        <v>0</v>
      </c>
      <c r="M129" s="269">
        <f>+ม.ค.!M129+ก.พ.!M128+มี.ค.!M128</f>
        <v>0</v>
      </c>
      <c r="N129" s="269">
        <f>+ม.ค.!N129+ก.พ.!N128+มี.ค.!N128</f>
        <v>0</v>
      </c>
      <c r="O129" s="269">
        <f>+ม.ค.!O129+ก.พ.!O128+มี.ค.!O128</f>
        <v>0</v>
      </c>
      <c r="P129" s="269">
        <f>+ม.ค.!P129+ก.พ.!P128+มี.ค.!P128</f>
        <v>0</v>
      </c>
      <c r="Q129" s="269">
        <f>+ม.ค.!Q129+ก.พ.!Q128+มี.ค.!Q128</f>
        <v>0</v>
      </c>
      <c r="R129" s="269">
        <f>+ม.ค.!R129+ก.พ.!R128+มี.ค.!R128</f>
        <v>0</v>
      </c>
      <c r="S129" s="269">
        <f>+ม.ค.!S129+ก.พ.!S128+มี.ค.!S128</f>
        <v>0</v>
      </c>
      <c r="T129" s="269"/>
      <c r="U129" s="269">
        <f>+ม.ค.!U129+ก.พ.!U128+มี.ค.!U128</f>
        <v>0</v>
      </c>
      <c r="V129" s="269">
        <f>+ม.ค.!V129+ก.พ.!V128+มี.ค.!V128</f>
        <v>0</v>
      </c>
    </row>
    <row r="130" spans="1:22" ht="25.5" customHeight="1">
      <c r="A130" s="9"/>
      <c r="B130" s="226" t="s">
        <v>330</v>
      </c>
      <c r="C130" s="279">
        <v>10000</v>
      </c>
      <c r="D130" s="195"/>
      <c r="E130" s="269">
        <f>+ม.ค.!E130+ก.พ.!E129+มี.ค.!E129</f>
        <v>0</v>
      </c>
      <c r="F130" s="269">
        <f>+ม.ค.!F130+ก.พ.!F129+มี.ค.!F129</f>
        <v>0</v>
      </c>
      <c r="G130" s="269">
        <f>+ม.ค.!G130+ก.พ.!G129+มี.ค.!G129</f>
        <v>0</v>
      </c>
      <c r="H130" s="269">
        <f>+ม.ค.!H130+ก.พ.!H129+มี.ค.!H129</f>
        <v>0</v>
      </c>
      <c r="I130" s="269">
        <f>+ม.ค.!I130+ก.พ.!I129+มี.ค.!I129</f>
        <v>0</v>
      </c>
      <c r="J130" s="269">
        <f>+ม.ค.!J130+ก.พ.!J129+มี.ค.!J129</f>
        <v>0</v>
      </c>
      <c r="K130" s="269">
        <f>+ม.ค.!K130+ก.พ.!K129+มี.ค.!K129</f>
        <v>0</v>
      </c>
      <c r="L130" s="269">
        <f>+ม.ค.!L130+ก.พ.!L129+มี.ค.!L129</f>
        <v>0</v>
      </c>
      <c r="M130" s="269">
        <f>+ม.ค.!M130+ก.พ.!M129+มี.ค.!M129</f>
        <v>0</v>
      </c>
      <c r="N130" s="269">
        <f>+ม.ค.!N130+ก.พ.!N129+มี.ค.!N129</f>
        <v>0</v>
      </c>
      <c r="O130" s="269">
        <f>+ม.ค.!O130+ก.พ.!O129+มี.ค.!O129</f>
        <v>0</v>
      </c>
      <c r="P130" s="269">
        <f>+ม.ค.!P130+ก.พ.!P129+มี.ค.!P129</f>
        <v>0</v>
      </c>
      <c r="Q130" s="269">
        <f>+ม.ค.!Q130+ก.พ.!Q129+มี.ค.!Q129</f>
        <v>0</v>
      </c>
      <c r="R130" s="269">
        <f>+ม.ค.!R130+ก.พ.!R129+มี.ค.!R129</f>
        <v>0</v>
      </c>
      <c r="S130" s="269">
        <f>+ม.ค.!S130+ก.พ.!S129+มี.ค.!S129</f>
        <v>0</v>
      </c>
      <c r="T130" s="269"/>
      <c r="U130" s="269">
        <f>+ม.ค.!U130+ก.พ.!U129+มี.ค.!U129</f>
        <v>0</v>
      </c>
      <c r="V130" s="269">
        <f>+ม.ค.!V130+ก.พ.!V129+มี.ค.!V129</f>
        <v>0</v>
      </c>
    </row>
    <row r="131" spans="1:22" ht="25.5" customHeight="1">
      <c r="A131" s="9"/>
      <c r="B131" s="226" t="s">
        <v>331</v>
      </c>
      <c r="C131" s="279">
        <f>10000-10000</f>
        <v>0</v>
      </c>
      <c r="D131" s="195"/>
      <c r="E131" s="269">
        <f>+ม.ค.!E131+ก.พ.!E130+มี.ค.!E130</f>
        <v>0</v>
      </c>
      <c r="F131" s="269">
        <f>+ม.ค.!F131+ก.พ.!F130+มี.ค.!F130</f>
        <v>0</v>
      </c>
      <c r="G131" s="269">
        <f>+ม.ค.!G131+ก.พ.!G130+มี.ค.!G130</f>
        <v>0</v>
      </c>
      <c r="H131" s="269">
        <f>+ม.ค.!H131+ก.พ.!H130+มี.ค.!H130</f>
        <v>0</v>
      </c>
      <c r="I131" s="269">
        <f>+ม.ค.!I131+ก.พ.!I130+มี.ค.!I130</f>
        <v>0</v>
      </c>
      <c r="J131" s="269">
        <f>+ม.ค.!J131+ก.พ.!J130+มี.ค.!J130</f>
        <v>0</v>
      </c>
      <c r="K131" s="269">
        <f>+ม.ค.!K131+ก.พ.!K130+มี.ค.!K130</f>
        <v>0</v>
      </c>
      <c r="L131" s="269">
        <f>+ม.ค.!L131+ก.พ.!L130+มี.ค.!L130</f>
        <v>0</v>
      </c>
      <c r="M131" s="269">
        <f>+ม.ค.!M131+ก.พ.!M130+มี.ค.!M130</f>
        <v>0</v>
      </c>
      <c r="N131" s="269">
        <f>+ม.ค.!N131+ก.พ.!N130+มี.ค.!N130</f>
        <v>0</v>
      </c>
      <c r="O131" s="269">
        <f>+ม.ค.!O131+ก.พ.!O130+มี.ค.!O130</f>
        <v>0</v>
      </c>
      <c r="P131" s="269">
        <f>+ม.ค.!P131+ก.พ.!P130+มี.ค.!P130</f>
        <v>0</v>
      </c>
      <c r="Q131" s="269">
        <f>+ม.ค.!Q131+ก.พ.!Q130+มี.ค.!Q130</f>
        <v>0</v>
      </c>
      <c r="R131" s="269">
        <f>+ม.ค.!R131+ก.พ.!R130+มี.ค.!R130</f>
        <v>0</v>
      </c>
      <c r="S131" s="269">
        <f>+ม.ค.!S131+ก.พ.!S130+มี.ค.!S130</f>
        <v>0</v>
      </c>
      <c r="T131" s="269"/>
      <c r="U131" s="269">
        <f>+ม.ค.!U131+ก.พ.!U130+มี.ค.!U130</f>
        <v>0</v>
      </c>
      <c r="V131" s="269">
        <f>+ม.ค.!V131+ก.พ.!V130+มี.ค.!V130</f>
        <v>0</v>
      </c>
    </row>
    <row r="132" spans="1:22" ht="25.5" customHeight="1">
      <c r="A132" s="9"/>
      <c r="B132" s="226" t="s">
        <v>333</v>
      </c>
      <c r="C132" s="279">
        <v>15000</v>
      </c>
      <c r="D132" s="195"/>
      <c r="E132" s="269">
        <f>+ม.ค.!E132+ก.พ.!E131+มี.ค.!E131</f>
        <v>0</v>
      </c>
      <c r="F132" s="269">
        <f>+ม.ค.!F132+ก.พ.!F131+มี.ค.!F131</f>
        <v>0</v>
      </c>
      <c r="G132" s="269">
        <f>+ม.ค.!G132+ก.พ.!G131+มี.ค.!G131</f>
        <v>0</v>
      </c>
      <c r="H132" s="269">
        <f>+ม.ค.!H132+ก.พ.!H131+มี.ค.!H131</f>
        <v>0</v>
      </c>
      <c r="I132" s="269">
        <f>+ม.ค.!I132+ก.พ.!I131+มี.ค.!I131</f>
        <v>0</v>
      </c>
      <c r="J132" s="269">
        <f>+ม.ค.!J132+ก.พ.!J131+มี.ค.!J131</f>
        <v>0</v>
      </c>
      <c r="K132" s="269">
        <f>+ม.ค.!K132+ก.พ.!K131+มี.ค.!K131</f>
        <v>0</v>
      </c>
      <c r="L132" s="269">
        <f>+ม.ค.!L132+ก.พ.!L131+มี.ค.!L131</f>
        <v>0</v>
      </c>
      <c r="M132" s="269">
        <f>+ม.ค.!M132+ก.พ.!M131+มี.ค.!M131</f>
        <v>0</v>
      </c>
      <c r="N132" s="269">
        <f>+ม.ค.!N132+ก.พ.!N131+มี.ค.!N131</f>
        <v>0</v>
      </c>
      <c r="O132" s="269">
        <f>+ม.ค.!O132+ก.พ.!O131+มี.ค.!O131</f>
        <v>0</v>
      </c>
      <c r="P132" s="269">
        <f>+ม.ค.!P132+ก.พ.!P131+มี.ค.!P131</f>
        <v>0</v>
      </c>
      <c r="Q132" s="269">
        <f>+ม.ค.!Q132+ก.พ.!Q131+มี.ค.!Q131</f>
        <v>0</v>
      </c>
      <c r="R132" s="269">
        <f>+ม.ค.!R132+ก.พ.!R131+มี.ค.!R131</f>
        <v>0</v>
      </c>
      <c r="S132" s="269">
        <f>+ม.ค.!S132+ก.พ.!S131+มี.ค.!S131</f>
        <v>0</v>
      </c>
      <c r="T132" s="269"/>
      <c r="U132" s="269">
        <f>+ม.ค.!U132+ก.พ.!U131+มี.ค.!U131</f>
        <v>0</v>
      </c>
      <c r="V132" s="269">
        <f>+ม.ค.!V132+ก.พ.!V131+มี.ค.!V131</f>
        <v>0</v>
      </c>
    </row>
    <row r="133" spans="1:22" ht="25.5" customHeight="1">
      <c r="A133" s="9"/>
      <c r="B133" s="226" t="s">
        <v>157</v>
      </c>
      <c r="C133" s="279">
        <v>10000</v>
      </c>
      <c r="D133" s="195"/>
      <c r="E133" s="269">
        <f>+ม.ค.!E133+ก.พ.!E132+มี.ค.!E132</f>
        <v>0</v>
      </c>
      <c r="F133" s="269">
        <f>+ม.ค.!F133+ก.พ.!F132+มี.ค.!F132</f>
        <v>0</v>
      </c>
      <c r="G133" s="269">
        <f>+ม.ค.!G133+ก.พ.!G132+มี.ค.!G132</f>
        <v>0</v>
      </c>
      <c r="H133" s="269">
        <f>+ม.ค.!H133+ก.พ.!H132+มี.ค.!H132</f>
        <v>0</v>
      </c>
      <c r="I133" s="269">
        <f>+ม.ค.!I133+ก.พ.!I132+มี.ค.!I132</f>
        <v>0</v>
      </c>
      <c r="J133" s="269">
        <f>+ม.ค.!J133+ก.พ.!J132+มี.ค.!J132</f>
        <v>0</v>
      </c>
      <c r="K133" s="269">
        <f>+ม.ค.!K133+ก.พ.!K132+มี.ค.!K132</f>
        <v>0</v>
      </c>
      <c r="L133" s="269">
        <f>+ม.ค.!L133+ก.พ.!L132+มี.ค.!L132</f>
        <v>0</v>
      </c>
      <c r="M133" s="269">
        <f>+ม.ค.!M133+ก.พ.!M132+มี.ค.!M132</f>
        <v>0</v>
      </c>
      <c r="N133" s="269">
        <f>+ม.ค.!N133+ก.พ.!N132+มี.ค.!N132</f>
        <v>0</v>
      </c>
      <c r="O133" s="269">
        <f>+ม.ค.!O133+ก.พ.!O132+มี.ค.!O132</f>
        <v>0</v>
      </c>
      <c r="P133" s="269">
        <f>+ม.ค.!P133+ก.พ.!P132+มี.ค.!P132</f>
        <v>0</v>
      </c>
      <c r="Q133" s="269">
        <f>+ม.ค.!Q133+ก.พ.!Q132+มี.ค.!Q132</f>
        <v>0</v>
      </c>
      <c r="R133" s="269">
        <f>+ม.ค.!R133+ก.พ.!R132+มี.ค.!R132</f>
        <v>0</v>
      </c>
      <c r="S133" s="269">
        <f>+ม.ค.!S133+ก.พ.!S132+มี.ค.!S132</f>
        <v>0</v>
      </c>
      <c r="T133" s="269"/>
      <c r="U133" s="269">
        <f>+ม.ค.!U133+ก.พ.!U132+มี.ค.!U132</f>
        <v>0</v>
      </c>
      <c r="V133" s="269">
        <f>+ม.ค.!V133+ก.พ.!V132+มี.ค.!V132</f>
        <v>0</v>
      </c>
    </row>
    <row r="134" spans="1:22" ht="25.5" customHeight="1">
      <c r="A134" s="9"/>
      <c r="B134" s="226" t="s">
        <v>158</v>
      </c>
      <c r="C134" s="279">
        <v>10000</v>
      </c>
      <c r="D134" s="195"/>
      <c r="E134" s="269">
        <f>+ม.ค.!E134+ก.พ.!E133+มี.ค.!E133</f>
        <v>0</v>
      </c>
      <c r="F134" s="269">
        <f>+ม.ค.!F134+ก.พ.!F133+มี.ค.!F133</f>
        <v>0</v>
      </c>
      <c r="G134" s="269">
        <f>+ม.ค.!G134+ก.พ.!G133+มี.ค.!G133</f>
        <v>0</v>
      </c>
      <c r="H134" s="269">
        <f>+ม.ค.!H134+ก.พ.!H133+มี.ค.!H133</f>
        <v>0</v>
      </c>
      <c r="I134" s="269">
        <f>+ม.ค.!I134+ก.พ.!I133+มี.ค.!I133</f>
        <v>0</v>
      </c>
      <c r="J134" s="269">
        <f>+ม.ค.!J134+ก.พ.!J133+มี.ค.!J133</f>
        <v>0</v>
      </c>
      <c r="K134" s="269">
        <f>+ม.ค.!K134+ก.พ.!K133+มี.ค.!K133</f>
        <v>0</v>
      </c>
      <c r="L134" s="269">
        <f>+ม.ค.!L134+ก.พ.!L133+มี.ค.!L133</f>
        <v>0</v>
      </c>
      <c r="M134" s="269">
        <f>+ม.ค.!M134+ก.พ.!M133+มี.ค.!M133</f>
        <v>0</v>
      </c>
      <c r="N134" s="269">
        <f>+ม.ค.!N134+ก.พ.!N133+มี.ค.!N133</f>
        <v>0</v>
      </c>
      <c r="O134" s="269">
        <f>+ม.ค.!O134+ก.พ.!O133+มี.ค.!O133</f>
        <v>0</v>
      </c>
      <c r="P134" s="269">
        <f>+ม.ค.!P134+ก.พ.!P133+มี.ค.!P133</f>
        <v>0</v>
      </c>
      <c r="Q134" s="269">
        <f>+ม.ค.!Q134+ก.พ.!Q133+มี.ค.!Q133</f>
        <v>0</v>
      </c>
      <c r="R134" s="269">
        <f>+ม.ค.!R134+ก.พ.!R133+มี.ค.!R133</f>
        <v>0</v>
      </c>
      <c r="S134" s="269">
        <f>+ม.ค.!S134+ก.พ.!S133+มี.ค.!S133</f>
        <v>0</v>
      </c>
      <c r="T134" s="269"/>
      <c r="U134" s="269">
        <f>+ม.ค.!U134+ก.พ.!U133+มี.ค.!U133</f>
        <v>0</v>
      </c>
      <c r="V134" s="269">
        <f>+ม.ค.!V134+ก.พ.!V133+มี.ค.!V133</f>
        <v>0</v>
      </c>
    </row>
    <row r="135" spans="1:22" ht="25.5" customHeight="1">
      <c r="A135" s="9"/>
      <c r="B135" s="226" t="s">
        <v>352</v>
      </c>
      <c r="C135" s="279">
        <f>10000+10000-20000</f>
        <v>0</v>
      </c>
      <c r="D135" s="195"/>
      <c r="E135" s="269">
        <f>+ม.ค.!E135+ก.พ.!E134+มี.ค.!E134</f>
        <v>0</v>
      </c>
      <c r="F135" s="269">
        <f>+ม.ค.!F135+ก.พ.!F134+มี.ค.!F134</f>
        <v>0</v>
      </c>
      <c r="G135" s="269">
        <f>+ม.ค.!G135+ก.พ.!G134+มี.ค.!G134</f>
        <v>0</v>
      </c>
      <c r="H135" s="269">
        <f>+ม.ค.!H135+ก.พ.!H134+มี.ค.!H134</f>
        <v>0</v>
      </c>
      <c r="I135" s="269">
        <f>+ม.ค.!I135+ก.พ.!I134+มี.ค.!I134</f>
        <v>0</v>
      </c>
      <c r="J135" s="269">
        <f>+ม.ค.!J135+ก.พ.!J134+มี.ค.!J134</f>
        <v>0</v>
      </c>
      <c r="K135" s="269">
        <f>+ม.ค.!K135+ก.พ.!K134+มี.ค.!K134</f>
        <v>0</v>
      </c>
      <c r="L135" s="269">
        <f>+ม.ค.!L135+ก.พ.!L134+มี.ค.!L134</f>
        <v>0</v>
      </c>
      <c r="M135" s="269">
        <f>+ม.ค.!M135+ก.พ.!M134+มี.ค.!M134</f>
        <v>0</v>
      </c>
      <c r="N135" s="269">
        <f>+ม.ค.!N135+ก.พ.!N134+มี.ค.!N134</f>
        <v>0</v>
      </c>
      <c r="O135" s="269">
        <f>+ม.ค.!O135+ก.พ.!O134+มี.ค.!O134</f>
        <v>0</v>
      </c>
      <c r="P135" s="269">
        <f>+ม.ค.!P135+ก.พ.!P134+มี.ค.!P134</f>
        <v>0</v>
      </c>
      <c r="Q135" s="269">
        <f>+ม.ค.!Q135+ก.พ.!Q134+มี.ค.!Q134</f>
        <v>0</v>
      </c>
      <c r="R135" s="269">
        <f>+ม.ค.!R135+ก.พ.!R134+มี.ค.!R134</f>
        <v>0</v>
      </c>
      <c r="S135" s="269">
        <f>+ม.ค.!S135+ก.พ.!S134+มี.ค.!S134</f>
        <v>0</v>
      </c>
      <c r="T135" s="269"/>
      <c r="U135" s="269">
        <f>+ม.ค.!U135+ก.พ.!U134+มี.ค.!U134</f>
        <v>0</v>
      </c>
      <c r="V135" s="269">
        <f>+ม.ค.!V135+ก.พ.!V134+มี.ค.!V134</f>
        <v>0</v>
      </c>
    </row>
    <row r="136" spans="1:22" ht="25.5" customHeight="1">
      <c r="A136" s="9"/>
      <c r="B136" s="226" t="s">
        <v>213</v>
      </c>
      <c r="C136" s="279">
        <v>15000</v>
      </c>
      <c r="D136" s="195"/>
      <c r="E136" s="269">
        <f>+ม.ค.!E136+ก.พ.!E135+มี.ค.!E135</f>
        <v>0</v>
      </c>
      <c r="F136" s="269">
        <f>+ม.ค.!F136+ก.พ.!F135+มี.ค.!F135</f>
        <v>0</v>
      </c>
      <c r="G136" s="269">
        <f>+ม.ค.!G136+ก.พ.!G135+มี.ค.!G135</f>
        <v>0</v>
      </c>
      <c r="H136" s="269">
        <f>+ม.ค.!H136+ก.พ.!H135+มี.ค.!H135</f>
        <v>0</v>
      </c>
      <c r="I136" s="269">
        <f>+ม.ค.!I136+ก.พ.!I135+มี.ค.!I135</f>
        <v>0</v>
      </c>
      <c r="J136" s="269">
        <f>+ม.ค.!J136+ก.พ.!J135+มี.ค.!J135</f>
        <v>0</v>
      </c>
      <c r="K136" s="269">
        <f>+ม.ค.!K136+ก.พ.!K135+มี.ค.!K135</f>
        <v>0</v>
      </c>
      <c r="L136" s="269">
        <f>+ม.ค.!L136+ก.พ.!L135+มี.ค.!L135</f>
        <v>0</v>
      </c>
      <c r="M136" s="269">
        <f>+ม.ค.!M136+ก.พ.!M135+มี.ค.!M135</f>
        <v>0</v>
      </c>
      <c r="N136" s="269">
        <f>+ม.ค.!N136+ก.พ.!N135+มี.ค.!N135</f>
        <v>0</v>
      </c>
      <c r="O136" s="269">
        <f>+ม.ค.!O136+ก.พ.!O135+มี.ค.!O135</f>
        <v>0</v>
      </c>
      <c r="P136" s="269">
        <f>+ม.ค.!P136+ก.พ.!P135+มี.ค.!P135</f>
        <v>0</v>
      </c>
      <c r="Q136" s="269">
        <f>+ม.ค.!Q136+ก.พ.!Q135+มี.ค.!Q135</f>
        <v>0</v>
      </c>
      <c r="R136" s="269">
        <f>+ม.ค.!R136+ก.พ.!R135+มี.ค.!R135</f>
        <v>0</v>
      </c>
      <c r="S136" s="269">
        <f>+ม.ค.!S136+ก.พ.!S135+มี.ค.!S135</f>
        <v>0</v>
      </c>
      <c r="T136" s="269"/>
      <c r="U136" s="269">
        <f>+ม.ค.!U136+ก.พ.!U135+มี.ค.!U135</f>
        <v>0</v>
      </c>
      <c r="V136" s="269">
        <f>+ม.ค.!V136+ก.พ.!V135+มี.ค.!V135</f>
        <v>0</v>
      </c>
    </row>
    <row r="137" spans="1:22" ht="25.5" customHeight="1">
      <c r="A137" s="9"/>
      <c r="B137" s="226" t="s">
        <v>265</v>
      </c>
      <c r="C137" s="279">
        <f>20000-20000</f>
        <v>0</v>
      </c>
      <c r="D137" s="195"/>
      <c r="E137" s="269">
        <f>+ม.ค.!E137+ก.พ.!E136+มี.ค.!E136</f>
        <v>0</v>
      </c>
      <c r="F137" s="269">
        <f>+ม.ค.!F137+ก.พ.!F136+มี.ค.!F136</f>
        <v>0</v>
      </c>
      <c r="G137" s="269">
        <f>+ม.ค.!G137+ก.พ.!G136+มี.ค.!G136</f>
        <v>0</v>
      </c>
      <c r="H137" s="269">
        <f>+ม.ค.!H137+ก.พ.!H136+มี.ค.!H136</f>
        <v>0</v>
      </c>
      <c r="I137" s="269">
        <f>+ม.ค.!I137+ก.พ.!I136+มี.ค.!I136</f>
        <v>0</v>
      </c>
      <c r="J137" s="269">
        <f>+ม.ค.!J137+ก.พ.!J136+มี.ค.!J136</f>
        <v>0</v>
      </c>
      <c r="K137" s="269">
        <f>+ม.ค.!K137+ก.พ.!K136+มี.ค.!K136</f>
        <v>0</v>
      </c>
      <c r="L137" s="269">
        <f>+ม.ค.!L137+ก.พ.!L136+มี.ค.!L136</f>
        <v>0</v>
      </c>
      <c r="M137" s="269">
        <f>+ม.ค.!M137+ก.พ.!M136+มี.ค.!M136</f>
        <v>0</v>
      </c>
      <c r="N137" s="269">
        <f>+ม.ค.!N137+ก.พ.!N136+มี.ค.!N136</f>
        <v>0</v>
      </c>
      <c r="O137" s="269">
        <f>+ม.ค.!O137+ก.พ.!O136+มี.ค.!O136</f>
        <v>0</v>
      </c>
      <c r="P137" s="269">
        <f>+ม.ค.!P137+ก.พ.!P136+มี.ค.!P136</f>
        <v>0</v>
      </c>
      <c r="Q137" s="269">
        <f>+ม.ค.!Q137+ก.พ.!Q136+มี.ค.!Q136</f>
        <v>0</v>
      </c>
      <c r="R137" s="269">
        <f>+ม.ค.!R137+ก.พ.!R136+มี.ค.!R136</f>
        <v>0</v>
      </c>
      <c r="S137" s="269">
        <f>+ม.ค.!S137+ก.พ.!S136+มี.ค.!S136</f>
        <v>0</v>
      </c>
      <c r="T137" s="269"/>
      <c r="U137" s="269">
        <f>+ม.ค.!U137+ก.พ.!U136+มี.ค.!U136</f>
        <v>0</v>
      </c>
      <c r="V137" s="269">
        <f>+ม.ค.!V137+ก.พ.!V136+มี.ค.!V136</f>
        <v>0</v>
      </c>
    </row>
    <row r="138" spans="1:22" ht="25.5" customHeight="1">
      <c r="A138" s="9"/>
      <c r="B138" s="226" t="s">
        <v>353</v>
      </c>
      <c r="C138" s="279">
        <v>5000</v>
      </c>
      <c r="D138" s="195"/>
      <c r="E138" s="269">
        <f>+ม.ค.!E138+ก.พ.!E137+มี.ค.!E137</f>
        <v>0</v>
      </c>
      <c r="F138" s="269">
        <f>+ม.ค.!F138+ก.พ.!F137+มี.ค.!F137</f>
        <v>0</v>
      </c>
      <c r="G138" s="269">
        <f>+ม.ค.!G138+ก.พ.!G137+มี.ค.!G137</f>
        <v>0</v>
      </c>
      <c r="H138" s="269">
        <f>+ม.ค.!H138+ก.พ.!H137+มี.ค.!H137</f>
        <v>0</v>
      </c>
      <c r="I138" s="269">
        <f>+ม.ค.!I138+ก.พ.!I137+มี.ค.!I137</f>
        <v>0</v>
      </c>
      <c r="J138" s="269">
        <f>+ม.ค.!J138+ก.พ.!J137+มี.ค.!J137</f>
        <v>0</v>
      </c>
      <c r="K138" s="269">
        <f>+ม.ค.!K138+ก.พ.!K137+มี.ค.!K137</f>
        <v>0</v>
      </c>
      <c r="L138" s="269">
        <f>+ม.ค.!L138+ก.พ.!L137+มี.ค.!L137</f>
        <v>0</v>
      </c>
      <c r="M138" s="269">
        <f>+ม.ค.!M138+ก.พ.!M137+มี.ค.!M137</f>
        <v>0</v>
      </c>
      <c r="N138" s="269">
        <f>+ม.ค.!N138+ก.พ.!N137+มี.ค.!N137</f>
        <v>0</v>
      </c>
      <c r="O138" s="269">
        <f>+ม.ค.!O138+ก.พ.!O137+มี.ค.!O137</f>
        <v>0</v>
      </c>
      <c r="P138" s="269">
        <f>+ม.ค.!P138+ก.พ.!P137+มี.ค.!P137</f>
        <v>0</v>
      </c>
      <c r="Q138" s="269">
        <f>+ม.ค.!Q138+ก.พ.!Q137+มี.ค.!Q137</f>
        <v>0</v>
      </c>
      <c r="R138" s="269">
        <f>+ม.ค.!R138+ก.พ.!R137+มี.ค.!R137</f>
        <v>0</v>
      </c>
      <c r="S138" s="269">
        <f>+ม.ค.!S138+ก.พ.!S137+มี.ค.!S137</f>
        <v>0</v>
      </c>
      <c r="T138" s="269"/>
      <c r="U138" s="269">
        <f>+ม.ค.!U138+ก.พ.!U137+มี.ค.!U137</f>
        <v>0</v>
      </c>
      <c r="V138" s="269">
        <f>+ม.ค.!V138+ก.พ.!V137+มี.ค.!V137</f>
        <v>0</v>
      </c>
    </row>
    <row r="139" spans="1:22" ht="25.5" customHeight="1">
      <c r="A139" s="9"/>
      <c r="B139" s="226" t="s">
        <v>354</v>
      </c>
      <c r="C139" s="279">
        <v>10000</v>
      </c>
      <c r="D139" s="195"/>
      <c r="E139" s="269">
        <f>+ม.ค.!E139+ก.พ.!E138+มี.ค.!E138</f>
        <v>0</v>
      </c>
      <c r="F139" s="269">
        <f>+ม.ค.!F139+ก.พ.!F138+มี.ค.!F138</f>
        <v>0</v>
      </c>
      <c r="G139" s="269">
        <f>+ม.ค.!G139+ก.พ.!G138+มี.ค.!G138</f>
        <v>0</v>
      </c>
      <c r="H139" s="269">
        <f>+ม.ค.!H139+ก.พ.!H138+มี.ค.!H138</f>
        <v>0</v>
      </c>
      <c r="I139" s="269">
        <f>+ม.ค.!I139+ก.พ.!I138+มี.ค.!I138</f>
        <v>0</v>
      </c>
      <c r="J139" s="269">
        <f>+ม.ค.!J139+ก.พ.!J138+มี.ค.!J138</f>
        <v>0</v>
      </c>
      <c r="K139" s="269">
        <f>+ม.ค.!K139+ก.พ.!K138+มี.ค.!K138</f>
        <v>0</v>
      </c>
      <c r="L139" s="269">
        <f>+ม.ค.!L139+ก.พ.!L138+มี.ค.!L138</f>
        <v>0</v>
      </c>
      <c r="M139" s="269">
        <f>+ม.ค.!M139+ก.พ.!M138+มี.ค.!M138</f>
        <v>0</v>
      </c>
      <c r="N139" s="269">
        <f>+ม.ค.!N139+ก.พ.!N138+มี.ค.!N138</f>
        <v>0</v>
      </c>
      <c r="O139" s="269">
        <f>+ม.ค.!O139+ก.พ.!O138+มี.ค.!O138</f>
        <v>0</v>
      </c>
      <c r="P139" s="269">
        <f>+ม.ค.!P139+ก.พ.!P138+มี.ค.!P138</f>
        <v>0</v>
      </c>
      <c r="Q139" s="269">
        <f>+ม.ค.!Q139+ก.พ.!Q138+มี.ค.!Q138</f>
        <v>0</v>
      </c>
      <c r="R139" s="269">
        <f>+ม.ค.!R139+ก.พ.!R138+มี.ค.!R138</f>
        <v>0</v>
      </c>
      <c r="S139" s="269">
        <f>+ม.ค.!S139+ก.พ.!S138+มี.ค.!S138</f>
        <v>0</v>
      </c>
      <c r="T139" s="269"/>
      <c r="U139" s="269">
        <f>+ม.ค.!U139+ก.พ.!U138+มี.ค.!U138</f>
        <v>0</v>
      </c>
      <c r="V139" s="269">
        <f>+ม.ค.!V139+ก.พ.!V138+มี.ค.!V138</f>
        <v>0</v>
      </c>
    </row>
    <row r="140" spans="1:22" ht="25.5" customHeight="1">
      <c r="A140" s="9"/>
      <c r="B140" s="187" t="s">
        <v>355</v>
      </c>
      <c r="C140" s="279">
        <v>20000</v>
      </c>
      <c r="D140" s="195"/>
      <c r="E140" s="269">
        <f>+ม.ค.!E140+ก.พ.!E139+มี.ค.!E139</f>
        <v>0</v>
      </c>
      <c r="F140" s="269">
        <f>+ม.ค.!F140+ก.พ.!F139+มี.ค.!F139</f>
        <v>0</v>
      </c>
      <c r="G140" s="269">
        <f>+ม.ค.!G140+ก.พ.!G139+มี.ค.!G139</f>
        <v>0</v>
      </c>
      <c r="H140" s="269">
        <f>+ม.ค.!H140+ก.พ.!H139+มี.ค.!H139</f>
        <v>0</v>
      </c>
      <c r="I140" s="269">
        <f>+ม.ค.!I140+ก.พ.!I139+มี.ค.!I139</f>
        <v>0</v>
      </c>
      <c r="J140" s="269">
        <f>+ม.ค.!J140+ก.พ.!J139+มี.ค.!J139</f>
        <v>0</v>
      </c>
      <c r="K140" s="269">
        <f>+ม.ค.!K140+ก.พ.!K139+มี.ค.!K139</f>
        <v>0</v>
      </c>
      <c r="L140" s="269">
        <f>+ม.ค.!L140+ก.พ.!L139+มี.ค.!L139</f>
        <v>0</v>
      </c>
      <c r="M140" s="269">
        <f>+ม.ค.!M140+ก.พ.!M139+มี.ค.!M139</f>
        <v>0</v>
      </c>
      <c r="N140" s="269">
        <f>+ม.ค.!N140+ก.พ.!N139+มี.ค.!N139</f>
        <v>0</v>
      </c>
      <c r="O140" s="269">
        <f>+ม.ค.!O140+ก.พ.!O139+มี.ค.!O139</f>
        <v>0</v>
      </c>
      <c r="P140" s="269">
        <f>+ม.ค.!P140+ก.พ.!P139+มี.ค.!P139</f>
        <v>0</v>
      </c>
      <c r="Q140" s="269">
        <f>+ม.ค.!Q140+ก.พ.!Q139+มี.ค.!Q139</f>
        <v>0</v>
      </c>
      <c r="R140" s="269">
        <f>+ม.ค.!R140+ก.พ.!R139+มี.ค.!R139</f>
        <v>0</v>
      </c>
      <c r="S140" s="269">
        <f>+ม.ค.!S140+ก.พ.!S139+มี.ค.!S139</f>
        <v>0</v>
      </c>
      <c r="T140" s="269"/>
      <c r="U140" s="269">
        <f>+ม.ค.!U140+ก.พ.!U139+มี.ค.!U139</f>
        <v>0</v>
      </c>
      <c r="V140" s="269">
        <f>+ม.ค.!V140+ก.พ.!V139+มี.ค.!V139</f>
        <v>0</v>
      </c>
    </row>
    <row r="141" spans="1:22" ht="25.5" customHeight="1">
      <c r="A141" s="9"/>
      <c r="B141" s="187" t="s">
        <v>356</v>
      </c>
      <c r="C141" s="279">
        <v>20000</v>
      </c>
      <c r="D141" s="195"/>
      <c r="E141" s="269">
        <f>+ม.ค.!E141+ก.พ.!E140+มี.ค.!E140</f>
        <v>0</v>
      </c>
      <c r="F141" s="269">
        <f>+ม.ค.!F141+ก.พ.!F140+มี.ค.!F140</f>
        <v>0</v>
      </c>
      <c r="G141" s="269">
        <f>+ม.ค.!G141+ก.พ.!G140+มี.ค.!G140</f>
        <v>0</v>
      </c>
      <c r="H141" s="269">
        <f>+ม.ค.!H141+ก.พ.!H140+มี.ค.!H140</f>
        <v>0</v>
      </c>
      <c r="I141" s="269">
        <f>+ม.ค.!I141+ก.พ.!I140+มี.ค.!I140</f>
        <v>0</v>
      </c>
      <c r="J141" s="269">
        <f>+ม.ค.!J141+ก.พ.!J140+มี.ค.!J140</f>
        <v>0</v>
      </c>
      <c r="K141" s="269">
        <f>+ม.ค.!K141+ก.พ.!K140+มี.ค.!K140</f>
        <v>0</v>
      </c>
      <c r="L141" s="269">
        <f>+ม.ค.!L141+ก.พ.!L140+มี.ค.!L140</f>
        <v>0</v>
      </c>
      <c r="M141" s="269">
        <f>+ม.ค.!M141+ก.พ.!M140+มี.ค.!M140</f>
        <v>0</v>
      </c>
      <c r="N141" s="269">
        <f>+ม.ค.!N141+ก.พ.!N140+มี.ค.!N140</f>
        <v>0</v>
      </c>
      <c r="O141" s="269">
        <f>+ม.ค.!O141+ก.พ.!O140+มี.ค.!O140</f>
        <v>0</v>
      </c>
      <c r="P141" s="269">
        <f>+ม.ค.!P141+ก.พ.!P140+มี.ค.!P140</f>
        <v>0</v>
      </c>
      <c r="Q141" s="269">
        <f>+ม.ค.!Q141+ก.พ.!Q140+มี.ค.!Q140</f>
        <v>0</v>
      </c>
      <c r="R141" s="269">
        <f>+ม.ค.!R141+ก.พ.!R140+มี.ค.!R140</f>
        <v>0</v>
      </c>
      <c r="S141" s="269">
        <f>+ม.ค.!S141+ก.พ.!S140+มี.ค.!S140</f>
        <v>0</v>
      </c>
      <c r="T141" s="269"/>
      <c r="U141" s="269">
        <f>+ม.ค.!U141+ก.พ.!U140+มี.ค.!U140</f>
        <v>0</v>
      </c>
      <c r="V141" s="269">
        <f>+ม.ค.!V141+ก.พ.!V140+มี.ค.!V140</f>
        <v>0</v>
      </c>
    </row>
    <row r="142" spans="1:22" ht="25.5" customHeight="1">
      <c r="A142" s="9"/>
      <c r="B142" s="187" t="s">
        <v>357</v>
      </c>
      <c r="C142" s="279">
        <v>10000</v>
      </c>
      <c r="D142" s="195"/>
      <c r="E142" s="269">
        <f>+ม.ค.!E142+ก.พ.!E141+มี.ค.!E141</f>
        <v>0</v>
      </c>
      <c r="F142" s="269">
        <f>+ม.ค.!F142+ก.พ.!F141+มี.ค.!F141</f>
        <v>0</v>
      </c>
      <c r="G142" s="269">
        <f>+ม.ค.!G142+ก.พ.!G141+มี.ค.!G141</f>
        <v>0</v>
      </c>
      <c r="H142" s="269">
        <f>+ม.ค.!H142+ก.พ.!H141+มี.ค.!H141</f>
        <v>0</v>
      </c>
      <c r="I142" s="269">
        <f>+ม.ค.!I142+ก.พ.!I141+มี.ค.!I141</f>
        <v>0</v>
      </c>
      <c r="J142" s="269">
        <f>+ม.ค.!J142+ก.พ.!J141+มี.ค.!J141</f>
        <v>0</v>
      </c>
      <c r="K142" s="269">
        <f>+ม.ค.!K142+ก.พ.!K141+มี.ค.!K141</f>
        <v>0</v>
      </c>
      <c r="L142" s="269">
        <f>+ม.ค.!L142+ก.พ.!L141+มี.ค.!L141</f>
        <v>0</v>
      </c>
      <c r="M142" s="269">
        <f>+ม.ค.!M142+ก.พ.!M141+มี.ค.!M141</f>
        <v>0</v>
      </c>
      <c r="N142" s="269">
        <f>+ม.ค.!N142+ก.พ.!N141+มี.ค.!N141</f>
        <v>0</v>
      </c>
      <c r="O142" s="269">
        <f>+ม.ค.!O142+ก.พ.!O141+มี.ค.!O141</f>
        <v>0</v>
      </c>
      <c r="P142" s="269">
        <f>+ม.ค.!P142+ก.พ.!P141+มี.ค.!P141</f>
        <v>0</v>
      </c>
      <c r="Q142" s="269">
        <f>+ม.ค.!Q142+ก.พ.!Q141+มี.ค.!Q141</f>
        <v>0</v>
      </c>
      <c r="R142" s="269">
        <f>+ม.ค.!R142+ก.พ.!R141+มี.ค.!R141</f>
        <v>0</v>
      </c>
      <c r="S142" s="269">
        <f>+ม.ค.!S142+ก.พ.!S141+มี.ค.!S141</f>
        <v>0</v>
      </c>
      <c r="T142" s="269"/>
      <c r="U142" s="269">
        <f>+ม.ค.!U142+ก.พ.!U141+มี.ค.!U141</f>
        <v>0</v>
      </c>
      <c r="V142" s="269">
        <f>+ม.ค.!V142+ก.พ.!V141+มี.ค.!V141</f>
        <v>0</v>
      </c>
    </row>
    <row r="143" spans="1:22" ht="25.5" customHeight="1">
      <c r="A143" s="9"/>
      <c r="B143" s="187" t="s">
        <v>358</v>
      </c>
      <c r="C143" s="279">
        <v>10000</v>
      </c>
      <c r="D143" s="195"/>
      <c r="E143" s="269">
        <f>+ม.ค.!E143+ก.พ.!E142+มี.ค.!E142</f>
        <v>0</v>
      </c>
      <c r="F143" s="269">
        <f>+ม.ค.!F143+ก.พ.!F142+มี.ค.!F142</f>
        <v>0</v>
      </c>
      <c r="G143" s="269">
        <f>+ม.ค.!G143+ก.พ.!G142+มี.ค.!G142</f>
        <v>0</v>
      </c>
      <c r="H143" s="269">
        <f>+ม.ค.!H143+ก.พ.!H142+มี.ค.!H142</f>
        <v>0</v>
      </c>
      <c r="I143" s="269">
        <f>+ม.ค.!I143+ก.พ.!I142+มี.ค.!I142</f>
        <v>0</v>
      </c>
      <c r="J143" s="269">
        <f>+ม.ค.!J143+ก.พ.!J142+มี.ค.!J142</f>
        <v>0</v>
      </c>
      <c r="K143" s="269">
        <f>+ม.ค.!K143+ก.พ.!K142+มี.ค.!K142</f>
        <v>0</v>
      </c>
      <c r="L143" s="269">
        <f>+ม.ค.!L143+ก.พ.!L142+มี.ค.!L142</f>
        <v>0</v>
      </c>
      <c r="M143" s="269">
        <f>+ม.ค.!M143+ก.พ.!M142+มี.ค.!M142</f>
        <v>0</v>
      </c>
      <c r="N143" s="269">
        <f>+ม.ค.!N143+ก.พ.!N142+มี.ค.!N142</f>
        <v>0</v>
      </c>
      <c r="O143" s="269">
        <f>+ม.ค.!O143+ก.พ.!O142+มี.ค.!O142</f>
        <v>0</v>
      </c>
      <c r="P143" s="269">
        <f>+ม.ค.!P143+ก.พ.!P142+มี.ค.!P142</f>
        <v>0</v>
      </c>
      <c r="Q143" s="269">
        <f>+ม.ค.!Q143+ก.พ.!Q142+มี.ค.!Q142</f>
        <v>0</v>
      </c>
      <c r="R143" s="269">
        <f>+ม.ค.!R143+ก.พ.!R142+มี.ค.!R142</f>
        <v>0</v>
      </c>
      <c r="S143" s="269">
        <f>+ม.ค.!S143+ก.พ.!S142+มี.ค.!S142</f>
        <v>0</v>
      </c>
      <c r="T143" s="269"/>
      <c r="U143" s="269">
        <f>+ม.ค.!U143+ก.พ.!U142+มี.ค.!U142</f>
        <v>0</v>
      </c>
      <c r="V143" s="269">
        <f>+ม.ค.!V143+ก.พ.!V142+มี.ค.!V142</f>
        <v>0</v>
      </c>
    </row>
    <row r="144" spans="1:22" ht="25.5" customHeight="1">
      <c r="A144" s="9"/>
      <c r="B144" s="187" t="s">
        <v>359</v>
      </c>
      <c r="C144" s="279">
        <v>5000</v>
      </c>
      <c r="D144" s="195"/>
      <c r="E144" s="269">
        <f>+ม.ค.!E144+ก.พ.!E143+มี.ค.!E143</f>
        <v>0</v>
      </c>
      <c r="F144" s="269">
        <f>+ม.ค.!F144+ก.พ.!F143+มี.ค.!F143</f>
        <v>0</v>
      </c>
      <c r="G144" s="269">
        <f>+ม.ค.!G144+ก.พ.!G143+มี.ค.!G143</f>
        <v>0</v>
      </c>
      <c r="H144" s="269">
        <f>+ม.ค.!H144+ก.พ.!H143+มี.ค.!H143</f>
        <v>0</v>
      </c>
      <c r="I144" s="269">
        <f>+ม.ค.!I144+ก.พ.!I143+มี.ค.!I143</f>
        <v>0</v>
      </c>
      <c r="J144" s="269">
        <f>+ม.ค.!J144+ก.พ.!J143+มี.ค.!J143</f>
        <v>0</v>
      </c>
      <c r="K144" s="269">
        <f>+ม.ค.!K144+ก.พ.!K143+มี.ค.!K143</f>
        <v>0</v>
      </c>
      <c r="L144" s="269">
        <f>+ม.ค.!L144+ก.พ.!L143+มี.ค.!L143</f>
        <v>0</v>
      </c>
      <c r="M144" s="269">
        <f>+ม.ค.!M144+ก.พ.!M143+มี.ค.!M143</f>
        <v>0</v>
      </c>
      <c r="N144" s="269">
        <f>+ม.ค.!N144+ก.พ.!N143+มี.ค.!N143</f>
        <v>0</v>
      </c>
      <c r="O144" s="269">
        <f>+ม.ค.!O144+ก.พ.!O143+มี.ค.!O143</f>
        <v>0</v>
      </c>
      <c r="P144" s="269">
        <f>+ม.ค.!P144+ก.พ.!P143+มี.ค.!P143</f>
        <v>0</v>
      </c>
      <c r="Q144" s="269">
        <f>+ม.ค.!Q144+ก.พ.!Q143+มี.ค.!Q143</f>
        <v>0</v>
      </c>
      <c r="R144" s="269">
        <f>+ม.ค.!R144+ก.พ.!R143+มี.ค.!R143</f>
        <v>0</v>
      </c>
      <c r="S144" s="269">
        <f>+ม.ค.!S144+ก.พ.!S143+มี.ค.!S143</f>
        <v>0</v>
      </c>
      <c r="T144" s="269"/>
      <c r="U144" s="269">
        <f>+ม.ค.!U144+ก.พ.!U143+มี.ค.!U143</f>
        <v>0</v>
      </c>
      <c r="V144" s="269">
        <f>+ม.ค.!V144+ก.พ.!V143+มี.ค.!V143</f>
        <v>0</v>
      </c>
    </row>
    <row r="145" spans="1:22" ht="25.5" customHeight="1">
      <c r="A145" s="9"/>
      <c r="B145" s="187" t="s">
        <v>360</v>
      </c>
      <c r="C145" s="279">
        <v>5000</v>
      </c>
      <c r="D145" s="195"/>
      <c r="E145" s="269">
        <f>+ม.ค.!E145+ก.พ.!E144+มี.ค.!E144</f>
        <v>0</v>
      </c>
      <c r="F145" s="269">
        <f>+ม.ค.!F145+ก.พ.!F144+มี.ค.!F144</f>
        <v>0</v>
      </c>
      <c r="G145" s="269">
        <f>+ม.ค.!G145+ก.พ.!G144+มี.ค.!G144</f>
        <v>0</v>
      </c>
      <c r="H145" s="269">
        <f>+ม.ค.!H145+ก.พ.!H144+มี.ค.!H144</f>
        <v>0</v>
      </c>
      <c r="I145" s="269">
        <f>+ม.ค.!I145+ก.พ.!I144+มี.ค.!I144</f>
        <v>0</v>
      </c>
      <c r="J145" s="269">
        <f>+ม.ค.!J145+ก.พ.!J144+มี.ค.!J144</f>
        <v>0</v>
      </c>
      <c r="K145" s="269">
        <f>+ม.ค.!K145+ก.พ.!K144+มี.ค.!K144</f>
        <v>0</v>
      </c>
      <c r="L145" s="269">
        <f>+ม.ค.!L145+ก.พ.!L144+มี.ค.!L144</f>
        <v>0</v>
      </c>
      <c r="M145" s="269">
        <f>+ม.ค.!M145+ก.พ.!M144+มี.ค.!M144</f>
        <v>0</v>
      </c>
      <c r="N145" s="269">
        <f>+ม.ค.!N145+ก.พ.!N144+มี.ค.!N144</f>
        <v>0</v>
      </c>
      <c r="O145" s="269">
        <f>+ม.ค.!O145+ก.พ.!O144+มี.ค.!O144</f>
        <v>0</v>
      </c>
      <c r="P145" s="269">
        <f>+ม.ค.!P145+ก.พ.!P144+มี.ค.!P144</f>
        <v>0</v>
      </c>
      <c r="Q145" s="269">
        <f>+ม.ค.!Q145+ก.พ.!Q144+มี.ค.!Q144</f>
        <v>0</v>
      </c>
      <c r="R145" s="269">
        <f>+ม.ค.!R145+ก.พ.!R144+มี.ค.!R144</f>
        <v>0</v>
      </c>
      <c r="S145" s="269">
        <f>+ม.ค.!S145+ก.พ.!S144+มี.ค.!S144</f>
        <v>0</v>
      </c>
      <c r="T145" s="269"/>
      <c r="U145" s="269">
        <f>+ม.ค.!U145+ก.พ.!U144+มี.ค.!U144</f>
        <v>0</v>
      </c>
      <c r="V145" s="269">
        <f>+ม.ค.!V145+ก.พ.!V144+มี.ค.!V144</f>
        <v>0</v>
      </c>
    </row>
    <row r="146" spans="1:22" ht="25.5" customHeight="1">
      <c r="A146" s="9"/>
      <c r="B146" s="187" t="s">
        <v>361</v>
      </c>
      <c r="C146" s="279">
        <v>5000</v>
      </c>
      <c r="D146" s="195"/>
      <c r="E146" s="269">
        <f>+ม.ค.!E146+ก.พ.!E145+มี.ค.!E145</f>
        <v>0</v>
      </c>
      <c r="F146" s="269">
        <f>+ม.ค.!F146+ก.พ.!F145+มี.ค.!F145</f>
        <v>0</v>
      </c>
      <c r="G146" s="269">
        <f>+ม.ค.!G146+ก.พ.!G145+มี.ค.!G145</f>
        <v>0</v>
      </c>
      <c r="H146" s="269">
        <f>+ม.ค.!H146+ก.พ.!H145+มี.ค.!H145</f>
        <v>0</v>
      </c>
      <c r="I146" s="269">
        <f>+ม.ค.!I146+ก.พ.!I145+มี.ค.!I145</f>
        <v>0</v>
      </c>
      <c r="J146" s="269">
        <f>+ม.ค.!J146+ก.พ.!J145+มี.ค.!J145</f>
        <v>0</v>
      </c>
      <c r="K146" s="269">
        <f>+ม.ค.!K146+ก.พ.!K145+มี.ค.!K145</f>
        <v>0</v>
      </c>
      <c r="L146" s="269">
        <f>+ม.ค.!L146+ก.พ.!L145+มี.ค.!L145</f>
        <v>0</v>
      </c>
      <c r="M146" s="269">
        <f>+ม.ค.!M146+ก.พ.!M145+มี.ค.!M145</f>
        <v>0</v>
      </c>
      <c r="N146" s="269">
        <f>+ม.ค.!N146+ก.พ.!N145+มี.ค.!N145</f>
        <v>0</v>
      </c>
      <c r="O146" s="269">
        <f>+ม.ค.!O146+ก.พ.!O145+มี.ค.!O145</f>
        <v>0</v>
      </c>
      <c r="P146" s="269">
        <f>+ม.ค.!P146+ก.พ.!P145+มี.ค.!P145</f>
        <v>0</v>
      </c>
      <c r="Q146" s="269">
        <f>+ม.ค.!Q146+ก.พ.!Q145+มี.ค.!Q145</f>
        <v>0</v>
      </c>
      <c r="R146" s="269">
        <f>+ม.ค.!R146+ก.พ.!R145+มี.ค.!R145</f>
        <v>0</v>
      </c>
      <c r="S146" s="269">
        <f>+ม.ค.!S146+ก.พ.!S145+มี.ค.!S145</f>
        <v>0</v>
      </c>
      <c r="T146" s="269"/>
      <c r="U146" s="269">
        <f>+ม.ค.!U146+ก.พ.!U145+มี.ค.!U145</f>
        <v>0</v>
      </c>
      <c r="V146" s="269">
        <f>+ม.ค.!V146+ก.พ.!V145+มี.ค.!V145</f>
        <v>0</v>
      </c>
    </row>
    <row r="147" spans="1:22" ht="25.5" customHeight="1">
      <c r="A147" s="9"/>
      <c r="B147" s="187" t="s">
        <v>362</v>
      </c>
      <c r="C147" s="279">
        <v>5000</v>
      </c>
      <c r="D147" s="195"/>
      <c r="E147" s="269">
        <f>+ม.ค.!E147+ก.พ.!E146+มี.ค.!E146</f>
        <v>0</v>
      </c>
      <c r="F147" s="269">
        <f>+ม.ค.!F147+ก.พ.!F146+มี.ค.!F146</f>
        <v>0</v>
      </c>
      <c r="G147" s="269">
        <f>+ม.ค.!G147+ก.พ.!G146+มี.ค.!G146</f>
        <v>0</v>
      </c>
      <c r="H147" s="269">
        <f>+ม.ค.!H147+ก.พ.!H146+มี.ค.!H146</f>
        <v>0</v>
      </c>
      <c r="I147" s="269">
        <f>+ม.ค.!I147+ก.พ.!I146+มี.ค.!I146</f>
        <v>0</v>
      </c>
      <c r="J147" s="269">
        <f>+ม.ค.!J147+ก.พ.!J146+มี.ค.!J146</f>
        <v>0</v>
      </c>
      <c r="K147" s="269">
        <f>+ม.ค.!K147+ก.พ.!K146+มี.ค.!K146</f>
        <v>0</v>
      </c>
      <c r="L147" s="269">
        <f>+ม.ค.!L147+ก.พ.!L146+มี.ค.!L146</f>
        <v>0</v>
      </c>
      <c r="M147" s="269">
        <f>+ม.ค.!M147+ก.พ.!M146+มี.ค.!M146</f>
        <v>0</v>
      </c>
      <c r="N147" s="269">
        <f>+ม.ค.!N147+ก.พ.!N146+มี.ค.!N146</f>
        <v>0</v>
      </c>
      <c r="O147" s="269">
        <f>+ม.ค.!O147+ก.พ.!O146+มี.ค.!O146</f>
        <v>0</v>
      </c>
      <c r="P147" s="269">
        <f>+ม.ค.!P147+ก.พ.!P146+มี.ค.!P146</f>
        <v>0</v>
      </c>
      <c r="Q147" s="269">
        <f>+ม.ค.!Q147+ก.พ.!Q146+มี.ค.!Q146</f>
        <v>0</v>
      </c>
      <c r="R147" s="269">
        <f>+ม.ค.!R147+ก.พ.!R146+มี.ค.!R146</f>
        <v>0</v>
      </c>
      <c r="S147" s="269">
        <f>+ม.ค.!S147+ก.พ.!S146+มี.ค.!S146</f>
        <v>0</v>
      </c>
      <c r="T147" s="269"/>
      <c r="U147" s="269">
        <f>+ม.ค.!U147+ก.พ.!U146+มี.ค.!U146</f>
        <v>0</v>
      </c>
      <c r="V147" s="269">
        <f>+ม.ค.!V147+ก.พ.!V146+มี.ค.!V146</f>
        <v>0</v>
      </c>
    </row>
    <row r="148" spans="1:22" ht="25.5" customHeight="1">
      <c r="A148" s="9"/>
      <c r="B148" s="187" t="s">
        <v>363</v>
      </c>
      <c r="C148" s="279">
        <v>5000</v>
      </c>
      <c r="D148" s="131"/>
      <c r="E148" s="269">
        <f>+ม.ค.!E148+ก.พ.!E147+มี.ค.!E147</f>
        <v>0</v>
      </c>
      <c r="F148" s="269">
        <f>+ม.ค.!F148+ก.พ.!F147+มี.ค.!F147</f>
        <v>0</v>
      </c>
      <c r="G148" s="269">
        <f>+ม.ค.!G148+ก.พ.!G147+มี.ค.!G147</f>
        <v>0</v>
      </c>
      <c r="H148" s="269">
        <f>+ม.ค.!H148+ก.พ.!H147+มี.ค.!H147</f>
        <v>0</v>
      </c>
      <c r="I148" s="269">
        <f>+ม.ค.!I148+ก.พ.!I147+มี.ค.!I147</f>
        <v>0</v>
      </c>
      <c r="J148" s="269">
        <f>+ม.ค.!J148+ก.พ.!J147+มี.ค.!J147</f>
        <v>0</v>
      </c>
      <c r="K148" s="269">
        <f>+ม.ค.!K148+ก.พ.!K147+มี.ค.!K147</f>
        <v>0</v>
      </c>
      <c r="L148" s="269">
        <f>+ม.ค.!L148+ก.พ.!L147+มี.ค.!L147</f>
        <v>0</v>
      </c>
      <c r="M148" s="269">
        <f>+ม.ค.!M148+ก.พ.!M147+มี.ค.!M147</f>
        <v>0</v>
      </c>
      <c r="N148" s="269">
        <f>+ม.ค.!N148+ก.พ.!N147+มี.ค.!N147</f>
        <v>0</v>
      </c>
      <c r="O148" s="269">
        <f>+ม.ค.!O148+ก.พ.!O147+มี.ค.!O147</f>
        <v>0</v>
      </c>
      <c r="P148" s="269">
        <f>+ม.ค.!P148+ก.พ.!P147+มี.ค.!P147</f>
        <v>0</v>
      </c>
      <c r="Q148" s="269">
        <f>+ม.ค.!Q148+ก.พ.!Q147+มี.ค.!Q147</f>
        <v>0</v>
      </c>
      <c r="R148" s="269">
        <f>+ม.ค.!R148+ก.พ.!R147+มี.ค.!R147</f>
        <v>0</v>
      </c>
      <c r="S148" s="269">
        <f>+ม.ค.!S148+ก.พ.!S147+มี.ค.!S147</f>
        <v>0</v>
      </c>
      <c r="T148" s="269"/>
      <c r="U148" s="269">
        <f>+ม.ค.!U148+ก.พ.!U147+มี.ค.!U147</f>
        <v>0</v>
      </c>
      <c r="V148" s="269">
        <f>+ม.ค.!V148+ก.พ.!V147+มี.ค.!V147</f>
        <v>0</v>
      </c>
    </row>
    <row r="149" spans="1:22" ht="25.5" customHeight="1">
      <c r="A149" s="9"/>
      <c r="B149" s="187" t="s">
        <v>364</v>
      </c>
      <c r="C149" s="279">
        <v>5000</v>
      </c>
      <c r="D149" s="131"/>
      <c r="E149" s="269">
        <f>+ม.ค.!E149+ก.พ.!E148+มี.ค.!E148</f>
        <v>0</v>
      </c>
      <c r="F149" s="269">
        <f>+ม.ค.!F149+ก.พ.!F148+มี.ค.!F148</f>
        <v>0</v>
      </c>
      <c r="G149" s="269">
        <f>+ม.ค.!G149+ก.พ.!G148+มี.ค.!G148</f>
        <v>0</v>
      </c>
      <c r="H149" s="269">
        <f>+ม.ค.!H149+ก.พ.!H148+มี.ค.!H148</f>
        <v>0</v>
      </c>
      <c r="I149" s="269">
        <f>+ม.ค.!I149+ก.พ.!I148+มี.ค.!I148</f>
        <v>0</v>
      </c>
      <c r="J149" s="269">
        <f>+ม.ค.!J149+ก.พ.!J148+มี.ค.!J148</f>
        <v>0</v>
      </c>
      <c r="K149" s="269">
        <f>+ม.ค.!K149+ก.พ.!K148+มี.ค.!K148</f>
        <v>0</v>
      </c>
      <c r="L149" s="269">
        <f>+ม.ค.!L149+ก.พ.!L148+มี.ค.!L148</f>
        <v>0</v>
      </c>
      <c r="M149" s="269">
        <f>+ม.ค.!M149+ก.พ.!M148+มี.ค.!M148</f>
        <v>0</v>
      </c>
      <c r="N149" s="269">
        <f>+ม.ค.!N149+ก.พ.!N148+มี.ค.!N148</f>
        <v>0</v>
      </c>
      <c r="O149" s="269">
        <f>+ม.ค.!O149+ก.พ.!O148+มี.ค.!O148</f>
        <v>0</v>
      </c>
      <c r="P149" s="269">
        <f>+ม.ค.!P149+ก.พ.!P148+มี.ค.!P148</f>
        <v>0</v>
      </c>
      <c r="Q149" s="269">
        <f>+ม.ค.!Q149+ก.พ.!Q148+มี.ค.!Q148</f>
        <v>0</v>
      </c>
      <c r="R149" s="269">
        <f>+ม.ค.!R149+ก.พ.!R148+มี.ค.!R148</f>
        <v>0</v>
      </c>
      <c r="S149" s="269">
        <f>+ม.ค.!S149+ก.พ.!S148+มี.ค.!S148</f>
        <v>0</v>
      </c>
      <c r="T149" s="269"/>
      <c r="U149" s="269">
        <f>+ม.ค.!U149+ก.พ.!U148+มี.ค.!U148</f>
        <v>0</v>
      </c>
      <c r="V149" s="269">
        <f>+ม.ค.!V149+ก.พ.!V148+มี.ค.!V148</f>
        <v>0</v>
      </c>
    </row>
    <row r="150" spans="1:22" ht="25.5" customHeight="1">
      <c r="A150" s="9"/>
      <c r="B150" s="187" t="s">
        <v>365</v>
      </c>
      <c r="C150" s="279">
        <v>5000</v>
      </c>
      <c r="D150" s="131"/>
      <c r="E150" s="269">
        <f>+ม.ค.!E150+ก.พ.!E149+มี.ค.!E149</f>
        <v>0</v>
      </c>
      <c r="F150" s="269">
        <f>+ม.ค.!F150+ก.พ.!F149+มี.ค.!F149</f>
        <v>0</v>
      </c>
      <c r="G150" s="269">
        <f>+ม.ค.!G150+ก.พ.!G149+มี.ค.!G149</f>
        <v>0</v>
      </c>
      <c r="H150" s="269">
        <f>+ม.ค.!H150+ก.พ.!H149+มี.ค.!H149</f>
        <v>0</v>
      </c>
      <c r="I150" s="269">
        <f>+ม.ค.!I150+ก.พ.!I149+มี.ค.!I149</f>
        <v>0</v>
      </c>
      <c r="J150" s="269">
        <f>+ม.ค.!J150+ก.พ.!J149+มี.ค.!J149</f>
        <v>0</v>
      </c>
      <c r="K150" s="269">
        <f>+ม.ค.!K150+ก.พ.!K149+มี.ค.!K149</f>
        <v>0</v>
      </c>
      <c r="L150" s="269">
        <f>+ม.ค.!L150+ก.พ.!L149+มี.ค.!L149</f>
        <v>0</v>
      </c>
      <c r="M150" s="269">
        <f>+ม.ค.!M150+ก.พ.!M149+มี.ค.!M149</f>
        <v>0</v>
      </c>
      <c r="N150" s="269">
        <f>+ม.ค.!N150+ก.พ.!N149+มี.ค.!N149</f>
        <v>0</v>
      </c>
      <c r="O150" s="269">
        <f>+ม.ค.!O150+ก.พ.!O149+มี.ค.!O149</f>
        <v>0</v>
      </c>
      <c r="P150" s="269">
        <f>+ม.ค.!P150+ก.พ.!P149+มี.ค.!P149</f>
        <v>0</v>
      </c>
      <c r="Q150" s="269">
        <f>+ม.ค.!Q150+ก.พ.!Q149+มี.ค.!Q149</f>
        <v>0</v>
      </c>
      <c r="R150" s="269">
        <f>+ม.ค.!R150+ก.พ.!R149+มี.ค.!R149</f>
        <v>0</v>
      </c>
      <c r="S150" s="269">
        <f>+ม.ค.!S150+ก.พ.!S149+มี.ค.!S149</f>
        <v>0</v>
      </c>
      <c r="T150" s="269"/>
      <c r="U150" s="269">
        <f>+ม.ค.!U150+ก.พ.!U149+มี.ค.!U149</f>
        <v>0</v>
      </c>
      <c r="V150" s="269">
        <f>+ม.ค.!V150+ก.พ.!V149+มี.ค.!V149</f>
        <v>0</v>
      </c>
    </row>
    <row r="151" spans="1:22" ht="25.5" customHeight="1">
      <c r="A151" s="9"/>
      <c r="B151" s="187" t="s">
        <v>366</v>
      </c>
      <c r="C151" s="279">
        <v>5000</v>
      </c>
      <c r="D151" s="131"/>
      <c r="E151" s="269">
        <f>+ม.ค.!E151+ก.พ.!E150+มี.ค.!E150</f>
        <v>0</v>
      </c>
      <c r="F151" s="269">
        <f>+ม.ค.!F151+ก.พ.!F150+มี.ค.!F150</f>
        <v>0</v>
      </c>
      <c r="G151" s="269">
        <f>+ม.ค.!G151+ก.พ.!G150+มี.ค.!G150</f>
        <v>0</v>
      </c>
      <c r="H151" s="269">
        <f>+ม.ค.!H151+ก.พ.!H150+มี.ค.!H150</f>
        <v>0</v>
      </c>
      <c r="I151" s="269">
        <f>+ม.ค.!I151+ก.พ.!I150+มี.ค.!I150</f>
        <v>0</v>
      </c>
      <c r="J151" s="269">
        <f>+ม.ค.!J151+ก.พ.!J150+มี.ค.!J150</f>
        <v>0</v>
      </c>
      <c r="K151" s="269">
        <f>+ม.ค.!K151+ก.พ.!K150+มี.ค.!K150</f>
        <v>0</v>
      </c>
      <c r="L151" s="269">
        <f>+ม.ค.!L151+ก.พ.!L150+มี.ค.!L150</f>
        <v>0</v>
      </c>
      <c r="M151" s="269">
        <f>+ม.ค.!M151+ก.พ.!M150+มี.ค.!M150</f>
        <v>0</v>
      </c>
      <c r="N151" s="269">
        <f>+ม.ค.!N151+ก.พ.!N150+มี.ค.!N150</f>
        <v>0</v>
      </c>
      <c r="O151" s="269">
        <f>+ม.ค.!O151+ก.พ.!O150+มี.ค.!O150</f>
        <v>0</v>
      </c>
      <c r="P151" s="269">
        <f>+ม.ค.!P151+ก.พ.!P150+มี.ค.!P150</f>
        <v>0</v>
      </c>
      <c r="Q151" s="269">
        <f>+ม.ค.!Q151+ก.พ.!Q150+มี.ค.!Q150</f>
        <v>0</v>
      </c>
      <c r="R151" s="269">
        <f>+ม.ค.!R151+ก.พ.!R150+มี.ค.!R150</f>
        <v>0</v>
      </c>
      <c r="S151" s="269">
        <f>+ม.ค.!S151+ก.พ.!S150+มี.ค.!S150</f>
        <v>0</v>
      </c>
      <c r="T151" s="269"/>
      <c r="U151" s="269">
        <f>+ม.ค.!U151+ก.พ.!U150+มี.ค.!U150</f>
        <v>0</v>
      </c>
      <c r="V151" s="269">
        <f>+ม.ค.!V151+ก.พ.!V150+มี.ค.!V150</f>
        <v>0</v>
      </c>
    </row>
    <row r="152" spans="1:22" ht="25.5" customHeight="1">
      <c r="A152" s="9"/>
      <c r="B152" s="187" t="s">
        <v>367</v>
      </c>
      <c r="C152" s="279">
        <v>5000</v>
      </c>
      <c r="D152" s="131"/>
      <c r="E152" s="269">
        <f>+ม.ค.!E152+ก.พ.!E151+มี.ค.!E151</f>
        <v>0</v>
      </c>
      <c r="F152" s="269">
        <f>+ม.ค.!F152+ก.พ.!F151+มี.ค.!F151</f>
        <v>0</v>
      </c>
      <c r="G152" s="269">
        <f>+ม.ค.!G152+ก.พ.!G151+มี.ค.!G151</f>
        <v>0</v>
      </c>
      <c r="H152" s="269">
        <f>+ม.ค.!H152+ก.พ.!H151+มี.ค.!H151</f>
        <v>0</v>
      </c>
      <c r="I152" s="269">
        <f>+ม.ค.!I152+ก.พ.!I151+มี.ค.!I151</f>
        <v>0</v>
      </c>
      <c r="J152" s="269">
        <f>+ม.ค.!J152+ก.พ.!J151+มี.ค.!J151</f>
        <v>0</v>
      </c>
      <c r="K152" s="269">
        <f>+ม.ค.!K152+ก.พ.!K151+มี.ค.!K151</f>
        <v>0</v>
      </c>
      <c r="L152" s="269">
        <f>+ม.ค.!L152+ก.พ.!L151+มี.ค.!L151</f>
        <v>0</v>
      </c>
      <c r="M152" s="269">
        <f>+ม.ค.!M152+ก.พ.!M151+มี.ค.!M151</f>
        <v>0</v>
      </c>
      <c r="N152" s="269">
        <f>+ม.ค.!N152+ก.พ.!N151+มี.ค.!N151</f>
        <v>0</v>
      </c>
      <c r="O152" s="269">
        <f>+ม.ค.!O152+ก.พ.!O151+มี.ค.!O151</f>
        <v>0</v>
      </c>
      <c r="P152" s="269">
        <f>+ม.ค.!P152+ก.พ.!P151+มี.ค.!P151</f>
        <v>0</v>
      </c>
      <c r="Q152" s="269">
        <f>+ม.ค.!Q152+ก.พ.!Q151+มี.ค.!Q151</f>
        <v>0</v>
      </c>
      <c r="R152" s="269">
        <f>+ม.ค.!R152+ก.พ.!R151+มี.ค.!R151</f>
        <v>0</v>
      </c>
      <c r="S152" s="269">
        <f>+ม.ค.!S152+ก.พ.!S151+มี.ค.!S151</f>
        <v>0</v>
      </c>
      <c r="T152" s="269"/>
      <c r="U152" s="269">
        <f>+ม.ค.!U152+ก.พ.!U151+มี.ค.!U151</f>
        <v>0</v>
      </c>
      <c r="V152" s="269">
        <f>+ม.ค.!V152+ก.พ.!V151+มี.ค.!V151</f>
        <v>0</v>
      </c>
    </row>
    <row r="153" spans="1:22" ht="25.5" customHeight="1">
      <c r="A153" s="9"/>
      <c r="B153" s="187" t="s">
        <v>368</v>
      </c>
      <c r="C153" s="279">
        <v>5000</v>
      </c>
      <c r="D153" s="131"/>
      <c r="E153" s="269">
        <f>+ม.ค.!E153+ก.พ.!E152+มี.ค.!E152</f>
        <v>0</v>
      </c>
      <c r="F153" s="269">
        <f>+ม.ค.!F153+ก.พ.!F152+มี.ค.!F152</f>
        <v>0</v>
      </c>
      <c r="G153" s="269">
        <f>+ม.ค.!G153+ก.พ.!G152+มี.ค.!G152</f>
        <v>0</v>
      </c>
      <c r="H153" s="269">
        <f>+ม.ค.!H153+ก.พ.!H152+มี.ค.!H152</f>
        <v>0</v>
      </c>
      <c r="I153" s="269">
        <f>+ม.ค.!I153+ก.พ.!I152+มี.ค.!I152</f>
        <v>0</v>
      </c>
      <c r="J153" s="269">
        <f>+ม.ค.!J153+ก.พ.!J152+มี.ค.!J152</f>
        <v>0</v>
      </c>
      <c r="K153" s="269">
        <f>+ม.ค.!K153+ก.พ.!K152+มี.ค.!K152</f>
        <v>0</v>
      </c>
      <c r="L153" s="269">
        <f>+ม.ค.!L153+ก.พ.!L152+มี.ค.!L152</f>
        <v>0</v>
      </c>
      <c r="M153" s="269">
        <f>+ม.ค.!M153+ก.พ.!M152+มี.ค.!M152</f>
        <v>0</v>
      </c>
      <c r="N153" s="269">
        <f>+ม.ค.!N153+ก.พ.!N152+มี.ค.!N152</f>
        <v>0</v>
      </c>
      <c r="O153" s="269">
        <f>+ม.ค.!O153+ก.พ.!O152+มี.ค.!O152</f>
        <v>0</v>
      </c>
      <c r="P153" s="269">
        <f>+ม.ค.!P153+ก.พ.!P152+มี.ค.!P152</f>
        <v>0</v>
      </c>
      <c r="Q153" s="269">
        <f>+ม.ค.!Q153+ก.พ.!Q152+มี.ค.!Q152</f>
        <v>0</v>
      </c>
      <c r="R153" s="269">
        <f>+ม.ค.!R153+ก.พ.!R152+มี.ค.!R152</f>
        <v>0</v>
      </c>
      <c r="S153" s="269">
        <f>+ม.ค.!S153+ก.พ.!S152+มี.ค.!S152</f>
        <v>0</v>
      </c>
      <c r="T153" s="269"/>
      <c r="U153" s="269">
        <f>+ม.ค.!U153+ก.พ.!U152+มี.ค.!U152</f>
        <v>0</v>
      </c>
      <c r="V153" s="269">
        <f>+ม.ค.!V153+ก.พ.!V152+มี.ค.!V152</f>
        <v>0</v>
      </c>
    </row>
    <row r="154" spans="1:22" ht="25.5" customHeight="1">
      <c r="A154" s="9"/>
      <c r="B154" s="187" t="s">
        <v>369</v>
      </c>
      <c r="C154" s="279">
        <f>10000-10000</f>
        <v>0</v>
      </c>
      <c r="D154" s="131"/>
      <c r="E154" s="269">
        <f>+ม.ค.!E154+ก.พ.!E153+มี.ค.!E153</f>
        <v>0</v>
      </c>
      <c r="F154" s="269">
        <f>+ม.ค.!F154+ก.พ.!F153+มี.ค.!F153</f>
        <v>0</v>
      </c>
      <c r="G154" s="269">
        <f>+ม.ค.!G154+ก.พ.!G153+มี.ค.!G153</f>
        <v>0</v>
      </c>
      <c r="H154" s="269">
        <f>+ม.ค.!H154+ก.พ.!H153+มี.ค.!H153</f>
        <v>0</v>
      </c>
      <c r="I154" s="269">
        <f>+ม.ค.!I154+ก.พ.!I153+มี.ค.!I153</f>
        <v>0</v>
      </c>
      <c r="J154" s="269">
        <f>+ม.ค.!J154+ก.พ.!J153+มี.ค.!J153</f>
        <v>0</v>
      </c>
      <c r="K154" s="269">
        <f>+ม.ค.!K154+ก.พ.!K153+มี.ค.!K153</f>
        <v>0</v>
      </c>
      <c r="L154" s="269">
        <f>+ม.ค.!L154+ก.พ.!L153+มี.ค.!L153</f>
        <v>0</v>
      </c>
      <c r="M154" s="269">
        <f>+ม.ค.!M154+ก.พ.!M153+มี.ค.!M153</f>
        <v>0</v>
      </c>
      <c r="N154" s="269">
        <f>+ม.ค.!N154+ก.พ.!N153+มี.ค.!N153</f>
        <v>0</v>
      </c>
      <c r="O154" s="269">
        <f>+ม.ค.!O154+ก.พ.!O153+มี.ค.!O153</f>
        <v>0</v>
      </c>
      <c r="P154" s="269">
        <f>+ม.ค.!P154+ก.พ.!P153+มี.ค.!P153</f>
        <v>0</v>
      </c>
      <c r="Q154" s="269">
        <f>+ม.ค.!Q154+ก.พ.!Q153+มี.ค.!Q153</f>
        <v>0</v>
      </c>
      <c r="R154" s="269">
        <f>+ม.ค.!R154+ก.พ.!R153+มี.ค.!R153</f>
        <v>0</v>
      </c>
      <c r="S154" s="269">
        <f>+ม.ค.!S154+ก.พ.!S153+มี.ค.!S153</f>
        <v>0</v>
      </c>
      <c r="T154" s="269"/>
      <c r="U154" s="269">
        <f>+ม.ค.!U154+ก.พ.!U153+มี.ค.!U153</f>
        <v>0</v>
      </c>
      <c r="V154" s="269">
        <f>+ม.ค.!V154+ก.พ.!V153+มี.ค.!V153</f>
        <v>0</v>
      </c>
    </row>
    <row r="155" spans="1:22" ht="25.5" customHeight="1">
      <c r="A155" s="9"/>
      <c r="B155" s="187" t="s">
        <v>370</v>
      </c>
      <c r="C155" s="279">
        <v>10000</v>
      </c>
      <c r="D155" s="131"/>
      <c r="E155" s="269">
        <f>+ม.ค.!E155+ก.พ.!E154+มี.ค.!E154</f>
        <v>0</v>
      </c>
      <c r="F155" s="269">
        <f>+ม.ค.!F155+ก.พ.!F154+มี.ค.!F154</f>
        <v>0</v>
      </c>
      <c r="G155" s="269">
        <f>+ม.ค.!G155+ก.พ.!G154+มี.ค.!G154</f>
        <v>0</v>
      </c>
      <c r="H155" s="269">
        <f>+ม.ค.!H155+ก.พ.!H154+มี.ค.!H154</f>
        <v>0</v>
      </c>
      <c r="I155" s="269">
        <f>+ม.ค.!I155+ก.พ.!I154+มี.ค.!I154</f>
        <v>0</v>
      </c>
      <c r="J155" s="269">
        <f>+ม.ค.!J155+ก.พ.!J154+มี.ค.!J154</f>
        <v>0</v>
      </c>
      <c r="K155" s="269">
        <f>+ม.ค.!K155+ก.พ.!K154+มี.ค.!K154</f>
        <v>0</v>
      </c>
      <c r="L155" s="269">
        <f>+ม.ค.!L155+ก.พ.!L154+มี.ค.!L154</f>
        <v>0</v>
      </c>
      <c r="M155" s="269">
        <f>+ม.ค.!M155+ก.พ.!M154+มี.ค.!M154</f>
        <v>0</v>
      </c>
      <c r="N155" s="269">
        <f>+ม.ค.!N155+ก.พ.!N154+มี.ค.!N154</f>
        <v>0</v>
      </c>
      <c r="O155" s="269">
        <f>+ม.ค.!O155+ก.พ.!O154+มี.ค.!O154</f>
        <v>0</v>
      </c>
      <c r="P155" s="269">
        <f>+ม.ค.!P155+ก.พ.!P154+มี.ค.!P154</f>
        <v>0</v>
      </c>
      <c r="Q155" s="269">
        <f>+ม.ค.!Q155+ก.พ.!Q154+มี.ค.!Q154</f>
        <v>0</v>
      </c>
      <c r="R155" s="269">
        <f>+ม.ค.!R155+ก.พ.!R154+มี.ค.!R154</f>
        <v>0</v>
      </c>
      <c r="S155" s="269">
        <f>+ม.ค.!S155+ก.พ.!S154+มี.ค.!S154</f>
        <v>0</v>
      </c>
      <c r="T155" s="269"/>
      <c r="U155" s="269">
        <f>+ม.ค.!U155+ก.พ.!U154+มี.ค.!U154</f>
        <v>0</v>
      </c>
      <c r="V155" s="269">
        <f>+ม.ค.!V155+ก.พ.!V154+มี.ค.!V154</f>
        <v>0</v>
      </c>
    </row>
    <row r="156" spans="1:22" ht="25.5" customHeight="1">
      <c r="A156" s="9"/>
      <c r="B156" s="187" t="s">
        <v>163</v>
      </c>
      <c r="C156" s="279">
        <f>350000-156000-153000-11000-10000-20000</f>
        <v>0</v>
      </c>
      <c r="D156" s="131"/>
      <c r="E156" s="269">
        <f>+ม.ค.!E156+ก.พ.!E155+มี.ค.!E155</f>
        <v>0</v>
      </c>
      <c r="F156" s="269">
        <f>+ม.ค.!F156+ก.พ.!F155+มี.ค.!F155</f>
        <v>0</v>
      </c>
      <c r="G156" s="269">
        <f>+ม.ค.!G156+ก.พ.!G155+มี.ค.!G155</f>
        <v>0</v>
      </c>
      <c r="H156" s="269">
        <f>+ม.ค.!H156+ก.พ.!H155+มี.ค.!H155</f>
        <v>0</v>
      </c>
      <c r="I156" s="269">
        <f>+ม.ค.!I156+ก.พ.!I155+มี.ค.!I155</f>
        <v>0</v>
      </c>
      <c r="J156" s="269">
        <f>+ม.ค.!J156+ก.พ.!J155+มี.ค.!J155</f>
        <v>0</v>
      </c>
      <c r="K156" s="269">
        <f>+ม.ค.!K156+ก.พ.!K155+มี.ค.!K155</f>
        <v>0</v>
      </c>
      <c r="L156" s="269">
        <f>+ม.ค.!L156+ก.พ.!L155+มี.ค.!L155</f>
        <v>0</v>
      </c>
      <c r="M156" s="269">
        <f>+ม.ค.!M156+ก.พ.!M155+มี.ค.!M155</f>
        <v>0</v>
      </c>
      <c r="N156" s="269">
        <f>+ม.ค.!N156+ก.พ.!N155+มี.ค.!N155</f>
        <v>0</v>
      </c>
      <c r="O156" s="269">
        <f>+ม.ค.!O156+ก.พ.!O155+มี.ค.!O155</f>
        <v>0</v>
      </c>
      <c r="P156" s="269">
        <f>+ม.ค.!P156+ก.พ.!P155+มี.ค.!P155</f>
        <v>0</v>
      </c>
      <c r="Q156" s="269">
        <f>+ม.ค.!Q156+ก.พ.!Q155+มี.ค.!Q155</f>
        <v>0</v>
      </c>
      <c r="R156" s="269">
        <f>+ม.ค.!R156+ก.พ.!R155+มี.ค.!R155</f>
        <v>0</v>
      </c>
      <c r="S156" s="269">
        <f>+ม.ค.!S156+ก.พ.!S155+มี.ค.!S155</f>
        <v>0</v>
      </c>
      <c r="T156" s="269"/>
      <c r="U156" s="269">
        <f>+ม.ค.!U156+ก.พ.!U155+มี.ค.!U155</f>
        <v>0</v>
      </c>
      <c r="V156" s="269">
        <f>+ม.ค.!V156+ก.พ.!V155+มี.ค.!V155</f>
        <v>0</v>
      </c>
    </row>
    <row r="157" spans="1:22" ht="25.5" customHeight="1">
      <c r="A157" s="9"/>
      <c r="B157" s="187" t="s">
        <v>214</v>
      </c>
      <c r="C157" s="279">
        <v>25000</v>
      </c>
      <c r="D157" s="131"/>
      <c r="E157" s="269">
        <f>+ม.ค.!E157+ก.พ.!E156+มี.ค.!E156</f>
        <v>0</v>
      </c>
      <c r="F157" s="269">
        <f>+ม.ค.!F157+ก.พ.!F156+มี.ค.!F156</f>
        <v>0</v>
      </c>
      <c r="G157" s="269">
        <f>+ม.ค.!G157+ก.พ.!G156+มี.ค.!G156</f>
        <v>0</v>
      </c>
      <c r="H157" s="269">
        <f>+ม.ค.!H157+ก.พ.!H156+มี.ค.!H156</f>
        <v>0</v>
      </c>
      <c r="I157" s="269">
        <f>+ม.ค.!I157+ก.พ.!I156+มี.ค.!I156</f>
        <v>0</v>
      </c>
      <c r="J157" s="269">
        <f>+ม.ค.!J157+ก.พ.!J156+มี.ค.!J156</f>
        <v>0</v>
      </c>
      <c r="K157" s="269">
        <f>+ม.ค.!K157+ก.พ.!K156+มี.ค.!K156</f>
        <v>0</v>
      </c>
      <c r="L157" s="269">
        <f>+ม.ค.!L157+ก.พ.!L156+มี.ค.!L156</f>
        <v>0</v>
      </c>
      <c r="M157" s="269">
        <f>+ม.ค.!M157+ก.พ.!M156+มี.ค.!M156</f>
        <v>0</v>
      </c>
      <c r="N157" s="269">
        <f>+ม.ค.!N157+ก.พ.!N156+มี.ค.!N156</f>
        <v>0</v>
      </c>
      <c r="O157" s="269">
        <f>+ม.ค.!O157+ก.พ.!O156+มี.ค.!O156</f>
        <v>0</v>
      </c>
      <c r="P157" s="269">
        <f>+ม.ค.!P157+ก.พ.!P156+มี.ค.!P156</f>
        <v>0</v>
      </c>
      <c r="Q157" s="269">
        <f>+ม.ค.!Q157+ก.พ.!Q156+มี.ค.!Q156</f>
        <v>0</v>
      </c>
      <c r="R157" s="269">
        <f>+ม.ค.!R157+ก.พ.!R156+มี.ค.!R156</f>
        <v>24450</v>
      </c>
      <c r="S157" s="269">
        <f>+ม.ค.!S157+ก.พ.!S156+มี.ค.!S156</f>
        <v>0</v>
      </c>
      <c r="T157" s="269"/>
      <c r="U157" s="269">
        <f>+ม.ค.!U157+ก.พ.!U156+มี.ค.!U156</f>
        <v>0</v>
      </c>
      <c r="V157" s="269">
        <f>+ม.ค.!V157+ก.พ.!V156+มี.ค.!V156</f>
        <v>0</v>
      </c>
    </row>
    <row r="158" spans="1:22" ht="25.5" customHeight="1">
      <c r="A158" s="9"/>
      <c r="B158" s="187" t="s">
        <v>167</v>
      </c>
      <c r="C158" s="279">
        <f>30000-30000</f>
        <v>0</v>
      </c>
      <c r="D158" s="131"/>
      <c r="E158" s="269">
        <f>+ม.ค.!E158+ก.พ.!E157+มี.ค.!E157</f>
        <v>0</v>
      </c>
      <c r="F158" s="269">
        <f>+ม.ค.!F158+ก.พ.!F157+มี.ค.!F157</f>
        <v>0</v>
      </c>
      <c r="G158" s="269">
        <f>+ม.ค.!G158+ก.พ.!G157+มี.ค.!G157</f>
        <v>0</v>
      </c>
      <c r="H158" s="269">
        <f>+ม.ค.!H158+ก.พ.!H157+มี.ค.!H157</f>
        <v>0</v>
      </c>
      <c r="I158" s="269">
        <f>+ม.ค.!I158+ก.พ.!I157+มี.ค.!I157</f>
        <v>0</v>
      </c>
      <c r="J158" s="269">
        <f>+ม.ค.!J158+ก.พ.!J157+มี.ค.!J157</f>
        <v>0</v>
      </c>
      <c r="K158" s="269">
        <f>+ม.ค.!K158+ก.พ.!K157+มี.ค.!K157</f>
        <v>0</v>
      </c>
      <c r="L158" s="269">
        <f>+ม.ค.!L158+ก.พ.!L157+มี.ค.!L157</f>
        <v>0</v>
      </c>
      <c r="M158" s="269">
        <f>+ม.ค.!M158+ก.พ.!M157+มี.ค.!M157</f>
        <v>0</v>
      </c>
      <c r="N158" s="269">
        <f>+ม.ค.!N158+ก.พ.!N157+มี.ค.!N157</f>
        <v>0</v>
      </c>
      <c r="O158" s="269">
        <f>+ม.ค.!O158+ก.พ.!O157+มี.ค.!O157</f>
        <v>0</v>
      </c>
      <c r="P158" s="269">
        <f>+ม.ค.!P158+ก.พ.!P157+มี.ค.!P157</f>
        <v>0</v>
      </c>
      <c r="Q158" s="269">
        <f>+ม.ค.!Q158+ก.พ.!Q157+มี.ค.!Q157</f>
        <v>0</v>
      </c>
      <c r="R158" s="269">
        <f>+ม.ค.!R158+ก.พ.!R157+มี.ค.!R157</f>
        <v>0</v>
      </c>
      <c r="S158" s="269">
        <f>+ม.ค.!S158+ก.พ.!S157+มี.ค.!S157</f>
        <v>0</v>
      </c>
      <c r="T158" s="269"/>
      <c r="U158" s="269">
        <f>+ม.ค.!U158+ก.พ.!U157+มี.ค.!U157</f>
        <v>0</v>
      </c>
      <c r="V158" s="269">
        <f>+ม.ค.!V158+ก.พ.!V157+มี.ค.!V157</f>
        <v>0</v>
      </c>
    </row>
    <row r="159" spans="1:22" ht="25.5" customHeight="1">
      <c r="A159" s="9"/>
      <c r="B159" s="187" t="s">
        <v>371</v>
      </c>
      <c r="C159" s="279">
        <v>30000</v>
      </c>
      <c r="D159" s="131"/>
      <c r="E159" s="269">
        <f>+ม.ค.!E159+ก.พ.!E158+มี.ค.!E158</f>
        <v>0</v>
      </c>
      <c r="F159" s="269">
        <f>+ม.ค.!F159+ก.พ.!F158+มี.ค.!F158</f>
        <v>0</v>
      </c>
      <c r="G159" s="269">
        <f>+ม.ค.!G159+ก.พ.!G158+มี.ค.!G158</f>
        <v>0</v>
      </c>
      <c r="H159" s="269">
        <f>+ม.ค.!H159+ก.พ.!H158+มี.ค.!H158</f>
        <v>0</v>
      </c>
      <c r="I159" s="269">
        <f>+ม.ค.!I159+ก.พ.!I158+มี.ค.!I158</f>
        <v>0</v>
      </c>
      <c r="J159" s="269">
        <f>+ม.ค.!J159+ก.พ.!J158+มี.ค.!J158</f>
        <v>0</v>
      </c>
      <c r="K159" s="269">
        <f>+ม.ค.!K159+ก.พ.!K158+มี.ค.!K158</f>
        <v>0</v>
      </c>
      <c r="L159" s="269">
        <f>+ม.ค.!L159+ก.พ.!L158+มี.ค.!L158</f>
        <v>0</v>
      </c>
      <c r="M159" s="269">
        <f>+ม.ค.!M159+ก.พ.!M158+มี.ค.!M158</f>
        <v>0</v>
      </c>
      <c r="N159" s="269">
        <f>+ม.ค.!N159+ก.พ.!N158+มี.ค.!N158</f>
        <v>0</v>
      </c>
      <c r="O159" s="269">
        <f>+ม.ค.!O159+ก.พ.!O158+มี.ค.!O158</f>
        <v>0</v>
      </c>
      <c r="P159" s="269">
        <f>+ม.ค.!P159+ก.พ.!P158+มี.ค.!P158</f>
        <v>0</v>
      </c>
      <c r="Q159" s="269">
        <f>+ม.ค.!Q159+ก.พ.!Q158+มี.ค.!Q158</f>
        <v>0</v>
      </c>
      <c r="R159" s="269">
        <f>+ม.ค.!R159+ก.พ.!R158+มี.ค.!R158</f>
        <v>0</v>
      </c>
      <c r="S159" s="269">
        <f>+ม.ค.!S159+ก.พ.!S158+มี.ค.!S158</f>
        <v>0</v>
      </c>
      <c r="T159" s="269"/>
      <c r="U159" s="269">
        <f>+ม.ค.!U159+ก.พ.!U158+มี.ค.!U158</f>
        <v>0</v>
      </c>
      <c r="V159" s="269">
        <f>+ม.ค.!V159+ก.พ.!V158+มี.ค.!V158</f>
        <v>0</v>
      </c>
    </row>
    <row r="160" spans="1:22" ht="25.5" customHeight="1">
      <c r="A160" s="9"/>
      <c r="B160" s="187" t="s">
        <v>170</v>
      </c>
      <c r="C160" s="279">
        <v>40000</v>
      </c>
      <c r="D160" s="131"/>
      <c r="E160" s="269">
        <f>+ม.ค.!E160+ก.พ.!E159+มี.ค.!E159</f>
        <v>0</v>
      </c>
      <c r="F160" s="269">
        <f>+ม.ค.!F160+ก.พ.!F159+มี.ค.!F159</f>
        <v>0</v>
      </c>
      <c r="G160" s="269">
        <f>+ม.ค.!G160+ก.พ.!G159+มี.ค.!G159</f>
        <v>0</v>
      </c>
      <c r="H160" s="269">
        <f>+ม.ค.!H160+ก.พ.!H159+มี.ค.!H159</f>
        <v>0</v>
      </c>
      <c r="I160" s="269">
        <f>+ม.ค.!I160+ก.พ.!I159+มี.ค.!I159</f>
        <v>0</v>
      </c>
      <c r="J160" s="269">
        <f>+ม.ค.!J160+ก.พ.!J159+มี.ค.!J159</f>
        <v>0</v>
      </c>
      <c r="K160" s="269">
        <f>+ม.ค.!K160+ก.พ.!K159+มี.ค.!K159</f>
        <v>0</v>
      </c>
      <c r="L160" s="269">
        <f>+ม.ค.!L160+ก.พ.!L159+มี.ค.!L159</f>
        <v>0</v>
      </c>
      <c r="M160" s="269">
        <f>+ม.ค.!M160+ก.พ.!M159+มี.ค.!M159</f>
        <v>0</v>
      </c>
      <c r="N160" s="269">
        <f>+ม.ค.!N160+ก.พ.!N159+มี.ค.!N159</f>
        <v>0</v>
      </c>
      <c r="O160" s="269">
        <f>+ม.ค.!O160+ก.พ.!O159+มี.ค.!O159</f>
        <v>0</v>
      </c>
      <c r="P160" s="269">
        <f>+ม.ค.!P160+ก.พ.!P159+มี.ค.!P159</f>
        <v>0</v>
      </c>
      <c r="Q160" s="269">
        <f>+ม.ค.!Q160+ก.พ.!Q159+มี.ค.!Q159</f>
        <v>0</v>
      </c>
      <c r="R160" s="269">
        <f>+ม.ค.!R160+ก.พ.!R159+มี.ค.!R159</f>
        <v>0</v>
      </c>
      <c r="S160" s="269">
        <f>+ม.ค.!S160+ก.พ.!S159+มี.ค.!S159</f>
        <v>0</v>
      </c>
      <c r="T160" s="269"/>
      <c r="U160" s="269">
        <f>+ม.ค.!U160+ก.พ.!U159+มี.ค.!U159</f>
        <v>0</v>
      </c>
      <c r="V160" s="269">
        <f>+ม.ค.!V160+ก.พ.!V159+มี.ค.!V159</f>
        <v>0</v>
      </c>
    </row>
    <row r="161" spans="1:23" ht="25.5" customHeight="1">
      <c r="A161" s="9"/>
      <c r="B161" s="187" t="s">
        <v>266</v>
      </c>
      <c r="C161" s="279">
        <v>15000</v>
      </c>
      <c r="D161" s="131"/>
      <c r="E161" s="269">
        <f>+ม.ค.!E161+ก.พ.!E160+มี.ค.!E160</f>
        <v>0</v>
      </c>
      <c r="F161" s="269">
        <f>+ม.ค.!F161+ก.พ.!F160+มี.ค.!F160</f>
        <v>0</v>
      </c>
      <c r="G161" s="269">
        <f>+ม.ค.!G161+ก.พ.!G160+มี.ค.!G160</f>
        <v>0</v>
      </c>
      <c r="H161" s="269">
        <f>+ม.ค.!H161+ก.พ.!H160+มี.ค.!H160</f>
        <v>0</v>
      </c>
      <c r="I161" s="269">
        <f>+ม.ค.!I161+ก.พ.!I160+มี.ค.!I160</f>
        <v>0</v>
      </c>
      <c r="J161" s="269">
        <f>+ม.ค.!J161+ก.พ.!J160+มี.ค.!J160</f>
        <v>0</v>
      </c>
      <c r="K161" s="269">
        <f>+ม.ค.!K161+ก.พ.!K160+มี.ค.!K160</f>
        <v>0</v>
      </c>
      <c r="L161" s="269">
        <f>+ม.ค.!L161+ก.พ.!L160+มี.ค.!L160</f>
        <v>0</v>
      </c>
      <c r="M161" s="269">
        <f>+ม.ค.!M161+ก.พ.!M160+มี.ค.!M160</f>
        <v>0</v>
      </c>
      <c r="N161" s="269">
        <f>+ม.ค.!N161+ก.พ.!N160+มี.ค.!N160</f>
        <v>0</v>
      </c>
      <c r="O161" s="269">
        <f>+ม.ค.!O161+ก.พ.!O160+มี.ค.!O160</f>
        <v>0</v>
      </c>
      <c r="P161" s="269">
        <f>+ม.ค.!P161+ก.พ.!P160+มี.ค.!P160</f>
        <v>0</v>
      </c>
      <c r="Q161" s="269">
        <f>+ม.ค.!Q161+ก.พ.!Q160+มี.ค.!Q160</f>
        <v>0</v>
      </c>
      <c r="R161" s="269">
        <f>+ม.ค.!R161+ก.พ.!R160+มี.ค.!R160</f>
        <v>0</v>
      </c>
      <c r="S161" s="269">
        <f>+ม.ค.!S161+ก.พ.!S160+มี.ค.!S160</f>
        <v>0</v>
      </c>
      <c r="T161" s="269"/>
      <c r="U161" s="269">
        <f>+ม.ค.!U161+ก.พ.!U160+มี.ค.!U160</f>
        <v>0</v>
      </c>
      <c r="V161" s="269">
        <f>+ม.ค.!V161+ก.พ.!V160+มี.ค.!V160</f>
        <v>0</v>
      </c>
    </row>
    <row r="162" spans="1:23" ht="25.5" customHeight="1">
      <c r="A162" s="9"/>
      <c r="B162" s="187" t="s">
        <v>372</v>
      </c>
      <c r="C162" s="279">
        <v>65000</v>
      </c>
      <c r="D162" s="131"/>
      <c r="E162" s="269">
        <f>+ม.ค.!E162+ก.พ.!E161+มี.ค.!E161</f>
        <v>0</v>
      </c>
      <c r="F162" s="269">
        <f>+ม.ค.!F162+ก.พ.!F161+มี.ค.!F161</f>
        <v>0</v>
      </c>
      <c r="G162" s="269">
        <f>+ม.ค.!G162+ก.พ.!G161+มี.ค.!G161</f>
        <v>0</v>
      </c>
      <c r="H162" s="269">
        <f>+ม.ค.!H162+ก.พ.!H161+มี.ค.!H161</f>
        <v>0</v>
      </c>
      <c r="I162" s="269">
        <f>+ม.ค.!I162+ก.พ.!I161+มี.ค.!I161</f>
        <v>0</v>
      </c>
      <c r="J162" s="269">
        <f>+ม.ค.!J162+ก.พ.!J161+มี.ค.!J161</f>
        <v>0</v>
      </c>
      <c r="K162" s="269">
        <f>+ม.ค.!K162+ก.พ.!K161+มี.ค.!K161</f>
        <v>0</v>
      </c>
      <c r="L162" s="269">
        <f>+ม.ค.!L162+ก.พ.!L161+มี.ค.!L161</f>
        <v>0</v>
      </c>
      <c r="M162" s="269">
        <f>+ม.ค.!M162+ก.พ.!M161+มี.ค.!M161</f>
        <v>0</v>
      </c>
      <c r="N162" s="269">
        <f>+ม.ค.!N162+ก.พ.!N161+มี.ค.!N161</f>
        <v>0</v>
      </c>
      <c r="O162" s="269">
        <f>+ม.ค.!O162+ก.พ.!O161+มี.ค.!O161</f>
        <v>0</v>
      </c>
      <c r="P162" s="269">
        <f>+ม.ค.!P162+ก.พ.!P161+มี.ค.!P161</f>
        <v>0</v>
      </c>
      <c r="Q162" s="269">
        <f>+ม.ค.!Q162+ก.พ.!Q161+มี.ค.!Q161</f>
        <v>0</v>
      </c>
      <c r="R162" s="269">
        <f>+ม.ค.!R162+ก.พ.!R161+มี.ค.!R161</f>
        <v>0</v>
      </c>
      <c r="S162" s="269">
        <f>+ม.ค.!S162+ก.พ.!S161+มี.ค.!S161</f>
        <v>4980</v>
      </c>
      <c r="T162" s="269"/>
      <c r="U162" s="269">
        <f>+ม.ค.!U162+ก.พ.!U161+มี.ค.!U161</f>
        <v>0</v>
      </c>
      <c r="V162" s="269">
        <f>+ม.ค.!V162+ก.พ.!V161+มี.ค.!V161</f>
        <v>0</v>
      </c>
    </row>
    <row r="163" spans="1:23" ht="25.5" customHeight="1">
      <c r="A163" s="9"/>
      <c r="B163" s="187" t="s">
        <v>373</v>
      </c>
      <c r="C163" s="279">
        <f>65000-65000</f>
        <v>0</v>
      </c>
      <c r="D163" s="131"/>
      <c r="E163" s="269">
        <f>+ม.ค.!E163+ก.พ.!E162+มี.ค.!E162</f>
        <v>0</v>
      </c>
      <c r="F163" s="269">
        <f>+ม.ค.!F163+ก.พ.!F162+มี.ค.!F162</f>
        <v>0</v>
      </c>
      <c r="G163" s="269">
        <f>+ม.ค.!G163+ก.พ.!G162+มี.ค.!G162</f>
        <v>0</v>
      </c>
      <c r="H163" s="269">
        <f>+ม.ค.!H163+ก.พ.!H162+มี.ค.!H162</f>
        <v>0</v>
      </c>
      <c r="I163" s="269">
        <f>+ม.ค.!I163+ก.พ.!I162+มี.ค.!I162</f>
        <v>0</v>
      </c>
      <c r="J163" s="269">
        <f>+ม.ค.!J163+ก.พ.!J162+มี.ค.!J162</f>
        <v>0</v>
      </c>
      <c r="K163" s="269">
        <f>+ม.ค.!K163+ก.พ.!K162+มี.ค.!K162</f>
        <v>0</v>
      </c>
      <c r="L163" s="269">
        <f>+ม.ค.!L163+ก.พ.!L162+มี.ค.!L162</f>
        <v>0</v>
      </c>
      <c r="M163" s="269">
        <f>+ม.ค.!M163+ก.พ.!M162+มี.ค.!M162</f>
        <v>0</v>
      </c>
      <c r="N163" s="269">
        <f>+ม.ค.!N163+ก.พ.!N162+มี.ค.!N162</f>
        <v>0</v>
      </c>
      <c r="O163" s="269">
        <f>+ม.ค.!O163+ก.พ.!O162+มี.ค.!O162</f>
        <v>0</v>
      </c>
      <c r="P163" s="269">
        <f>+ม.ค.!P163+ก.พ.!P162+มี.ค.!P162</f>
        <v>0</v>
      </c>
      <c r="Q163" s="269">
        <f>+ม.ค.!Q163+ก.พ.!Q162+มี.ค.!Q162</f>
        <v>0</v>
      </c>
      <c r="R163" s="269">
        <f>+ม.ค.!R163+ก.พ.!R162+มี.ค.!R162</f>
        <v>0</v>
      </c>
      <c r="S163" s="269">
        <f>+ม.ค.!S163+ก.พ.!S162+มี.ค.!S162</f>
        <v>0</v>
      </c>
      <c r="T163" s="269"/>
      <c r="U163" s="269">
        <f>+ม.ค.!U163+ก.พ.!U162+มี.ค.!U162</f>
        <v>0</v>
      </c>
      <c r="V163" s="269">
        <f>+ม.ค.!V163+ก.พ.!V162+มี.ค.!V162</f>
        <v>0</v>
      </c>
    </row>
    <row r="164" spans="1:23" ht="25.5" customHeight="1">
      <c r="A164" s="9"/>
      <c r="B164" s="187" t="s">
        <v>374</v>
      </c>
      <c r="C164" s="279">
        <v>20000</v>
      </c>
      <c r="D164" s="131"/>
      <c r="E164" s="269">
        <f>+ม.ค.!E164+ก.พ.!E163+มี.ค.!E163</f>
        <v>0</v>
      </c>
      <c r="F164" s="269">
        <f>+ม.ค.!F164+ก.พ.!F163+มี.ค.!F163</f>
        <v>0</v>
      </c>
      <c r="G164" s="269">
        <f>+ม.ค.!G164+ก.พ.!G163+มี.ค.!G163</f>
        <v>0</v>
      </c>
      <c r="H164" s="269">
        <f>+ม.ค.!H164+ก.พ.!H163+มี.ค.!H163</f>
        <v>0</v>
      </c>
      <c r="I164" s="269">
        <f>+ม.ค.!I164+ก.พ.!I163+มี.ค.!I163</f>
        <v>0</v>
      </c>
      <c r="J164" s="269">
        <f>+ม.ค.!J164+ก.พ.!J163+มี.ค.!J163</f>
        <v>0</v>
      </c>
      <c r="K164" s="269">
        <f>+ม.ค.!K164+ก.พ.!K163+มี.ค.!K163</f>
        <v>0</v>
      </c>
      <c r="L164" s="269">
        <f>+ม.ค.!L164+ก.พ.!L163+มี.ค.!L163</f>
        <v>0</v>
      </c>
      <c r="M164" s="269">
        <f>+ม.ค.!M164+ก.พ.!M163+มี.ค.!M163</f>
        <v>0</v>
      </c>
      <c r="N164" s="269">
        <f>+ม.ค.!N164+ก.พ.!N163+มี.ค.!N163</f>
        <v>0</v>
      </c>
      <c r="O164" s="269">
        <f>+ม.ค.!O164+ก.พ.!O163+มี.ค.!O163</f>
        <v>0</v>
      </c>
      <c r="P164" s="269">
        <f>+ม.ค.!P164+ก.พ.!P163+มี.ค.!P163</f>
        <v>0</v>
      </c>
      <c r="Q164" s="269">
        <f>+ม.ค.!Q164+ก.พ.!Q163+มี.ค.!Q163</f>
        <v>0</v>
      </c>
      <c r="R164" s="269">
        <f>+ม.ค.!R164+ก.พ.!R163+มี.ค.!R163</f>
        <v>0</v>
      </c>
      <c r="S164" s="269">
        <f>+ม.ค.!S164+ก.พ.!S163+มี.ค.!S163</f>
        <v>0</v>
      </c>
      <c r="T164" s="269"/>
      <c r="U164" s="269">
        <f>+ม.ค.!U164+ก.พ.!U163+มี.ค.!U163</f>
        <v>0</v>
      </c>
      <c r="V164" s="269">
        <f>+ม.ค.!V164+ก.พ.!V163+มี.ค.!V163</f>
        <v>0</v>
      </c>
    </row>
    <row r="165" spans="1:23" ht="25.5" customHeight="1">
      <c r="A165" s="9"/>
      <c r="B165" s="187" t="s">
        <v>375</v>
      </c>
      <c r="C165" s="279">
        <v>20000</v>
      </c>
      <c r="D165" s="131"/>
      <c r="E165" s="269">
        <f>+ม.ค.!E165+ก.พ.!E164+มี.ค.!E164</f>
        <v>0</v>
      </c>
      <c r="F165" s="269">
        <f>+ม.ค.!F165+ก.พ.!F164+มี.ค.!F164</f>
        <v>0</v>
      </c>
      <c r="G165" s="269">
        <f>+ม.ค.!G165+ก.พ.!G164+มี.ค.!G164</f>
        <v>0</v>
      </c>
      <c r="H165" s="269">
        <f>+ม.ค.!H165+ก.พ.!H164+มี.ค.!H164</f>
        <v>0</v>
      </c>
      <c r="I165" s="269">
        <f>+ม.ค.!I165+ก.พ.!I164+มี.ค.!I164</f>
        <v>0</v>
      </c>
      <c r="J165" s="269">
        <f>+ม.ค.!J165+ก.พ.!J164+มี.ค.!J164</f>
        <v>0</v>
      </c>
      <c r="K165" s="269">
        <f>+ม.ค.!K165+ก.พ.!K164+มี.ค.!K164</f>
        <v>0</v>
      </c>
      <c r="L165" s="269">
        <f>+ม.ค.!L165+ก.พ.!L164+มี.ค.!L164</f>
        <v>0</v>
      </c>
      <c r="M165" s="269">
        <f>+ม.ค.!M165+ก.พ.!M164+มี.ค.!M164</f>
        <v>0</v>
      </c>
      <c r="N165" s="269">
        <f>+ม.ค.!N165+ก.พ.!N164+มี.ค.!N164</f>
        <v>0</v>
      </c>
      <c r="O165" s="269">
        <f>+ม.ค.!O165+ก.พ.!O164+มี.ค.!O164</f>
        <v>0</v>
      </c>
      <c r="P165" s="269">
        <f>+ม.ค.!P165+ก.พ.!P164+มี.ค.!P164</f>
        <v>0</v>
      </c>
      <c r="Q165" s="269">
        <f>+ม.ค.!Q165+ก.พ.!Q164+มี.ค.!Q164</f>
        <v>0</v>
      </c>
      <c r="R165" s="269">
        <f>+ม.ค.!R165+ก.พ.!R164+มี.ค.!R164</f>
        <v>0</v>
      </c>
      <c r="S165" s="269">
        <f>+ม.ค.!S165+ก.พ.!S164+มี.ค.!S164</f>
        <v>0</v>
      </c>
      <c r="T165" s="269"/>
      <c r="U165" s="269">
        <f>+ม.ค.!U165+ก.พ.!U164+มี.ค.!U164</f>
        <v>0</v>
      </c>
      <c r="V165" s="269">
        <f>+ม.ค.!V165+ก.พ.!V164+มี.ค.!V164</f>
        <v>0</v>
      </c>
    </row>
    <row r="166" spans="1:23" ht="25.5" customHeight="1">
      <c r="A166" s="9"/>
      <c r="B166" s="187" t="s">
        <v>376</v>
      </c>
      <c r="C166" s="279">
        <v>25000</v>
      </c>
      <c r="D166" s="131"/>
      <c r="E166" s="269">
        <f>+ม.ค.!E166+ก.พ.!E165+มี.ค.!E165</f>
        <v>0</v>
      </c>
      <c r="F166" s="269">
        <f>+ม.ค.!F166+ก.พ.!F165+มี.ค.!F165</f>
        <v>0</v>
      </c>
      <c r="G166" s="269">
        <f>+ม.ค.!G166+ก.พ.!G165+มี.ค.!G165</f>
        <v>0</v>
      </c>
      <c r="H166" s="269">
        <f>+ม.ค.!H166+ก.พ.!H165+มี.ค.!H165</f>
        <v>0</v>
      </c>
      <c r="I166" s="269">
        <f>+ม.ค.!I166+ก.พ.!I165+มี.ค.!I165</f>
        <v>0</v>
      </c>
      <c r="J166" s="269">
        <f>+ม.ค.!J166+ก.พ.!J165+มี.ค.!J165</f>
        <v>0</v>
      </c>
      <c r="K166" s="269">
        <f>+ม.ค.!K166+ก.พ.!K165+มี.ค.!K165</f>
        <v>0</v>
      </c>
      <c r="L166" s="269">
        <f>+ม.ค.!L166+ก.พ.!L165+มี.ค.!L165</f>
        <v>0</v>
      </c>
      <c r="M166" s="269">
        <f>+ม.ค.!M166+ก.พ.!M165+มี.ค.!M165</f>
        <v>0</v>
      </c>
      <c r="N166" s="269">
        <f>+ม.ค.!N166+ก.พ.!N165+มี.ค.!N165</f>
        <v>0</v>
      </c>
      <c r="O166" s="269">
        <f>+ม.ค.!O166+ก.พ.!O165+มี.ค.!O165</f>
        <v>0</v>
      </c>
      <c r="P166" s="269">
        <f>+ม.ค.!P166+ก.พ.!P165+มี.ค.!P165</f>
        <v>0</v>
      </c>
      <c r="Q166" s="269">
        <f>+ม.ค.!Q166+ก.พ.!Q165+มี.ค.!Q165</f>
        <v>0</v>
      </c>
      <c r="R166" s="269">
        <f>+ม.ค.!R166+ก.พ.!R165+มี.ค.!R165</f>
        <v>0</v>
      </c>
      <c r="S166" s="269">
        <f>+ม.ค.!S166+ก.พ.!S165+มี.ค.!S165</f>
        <v>0</v>
      </c>
      <c r="T166" s="269"/>
      <c r="U166" s="269">
        <f>+ม.ค.!U166+ก.พ.!U165+มี.ค.!U165</f>
        <v>0</v>
      </c>
      <c r="V166" s="269">
        <f>+ม.ค.!V166+ก.พ.!V165+มี.ค.!V165</f>
        <v>0</v>
      </c>
    </row>
    <row r="167" spans="1:23" ht="25.5" customHeight="1">
      <c r="A167" s="9"/>
      <c r="B167" s="187" t="s">
        <v>377</v>
      </c>
      <c r="C167" s="279">
        <v>20000</v>
      </c>
      <c r="D167" s="131"/>
      <c r="E167" s="269">
        <f>+ม.ค.!E167+ก.พ.!E166+มี.ค.!E166</f>
        <v>0</v>
      </c>
      <c r="F167" s="269">
        <f>+ม.ค.!F167+ก.พ.!F166+มี.ค.!F166</f>
        <v>0</v>
      </c>
      <c r="G167" s="269">
        <f>+ม.ค.!G167+ก.พ.!G166+มี.ค.!G166</f>
        <v>0</v>
      </c>
      <c r="H167" s="269">
        <f>+ม.ค.!H167+ก.พ.!H166+มี.ค.!H166</f>
        <v>0</v>
      </c>
      <c r="I167" s="269">
        <f>+ม.ค.!I167+ก.พ.!I166+มี.ค.!I166</f>
        <v>0</v>
      </c>
      <c r="J167" s="269">
        <f>+ม.ค.!J167+ก.พ.!J166+มี.ค.!J166</f>
        <v>0</v>
      </c>
      <c r="K167" s="269">
        <f>+ม.ค.!K167+ก.พ.!K166+มี.ค.!K166</f>
        <v>0</v>
      </c>
      <c r="L167" s="269">
        <f>+ม.ค.!L167+ก.พ.!L166+มี.ค.!L166</f>
        <v>0</v>
      </c>
      <c r="M167" s="269">
        <f>+ม.ค.!M167+ก.พ.!M166+มี.ค.!M166</f>
        <v>0</v>
      </c>
      <c r="N167" s="269">
        <f>+ม.ค.!N167+ก.พ.!N166+มี.ค.!N166</f>
        <v>0</v>
      </c>
      <c r="O167" s="269">
        <f>+ม.ค.!O167+ก.พ.!O166+มี.ค.!O166</f>
        <v>0</v>
      </c>
      <c r="P167" s="269">
        <f>+ม.ค.!P167+ก.พ.!P166+มี.ค.!P166</f>
        <v>0</v>
      </c>
      <c r="Q167" s="269">
        <f>+ม.ค.!Q167+ก.พ.!Q166+มี.ค.!Q166</f>
        <v>0</v>
      </c>
      <c r="R167" s="269">
        <f>+ม.ค.!R167+ก.พ.!R166+มี.ค.!R166</f>
        <v>0</v>
      </c>
      <c r="S167" s="269">
        <f>+ม.ค.!S167+ก.พ.!S166+มี.ค.!S166</f>
        <v>0</v>
      </c>
      <c r="T167" s="269"/>
      <c r="U167" s="269">
        <f>+ม.ค.!U167+ก.พ.!U166+มี.ค.!U166</f>
        <v>0</v>
      </c>
      <c r="V167" s="269">
        <f>+ม.ค.!V167+ก.พ.!V166+มี.ค.!V166</f>
        <v>0</v>
      </c>
    </row>
    <row r="168" spans="1:23" ht="25.5" customHeight="1">
      <c r="A168" s="9"/>
      <c r="B168" s="187" t="s">
        <v>267</v>
      </c>
      <c r="C168" s="279">
        <v>15000</v>
      </c>
      <c r="D168" s="131"/>
      <c r="E168" s="269">
        <f>+ม.ค.!E168+ก.พ.!E167+มี.ค.!E167</f>
        <v>0</v>
      </c>
      <c r="F168" s="269">
        <f>+ม.ค.!F168+ก.พ.!F167+มี.ค.!F167</f>
        <v>0</v>
      </c>
      <c r="G168" s="269">
        <f>+ม.ค.!G168+ก.พ.!G167+มี.ค.!G167</f>
        <v>0</v>
      </c>
      <c r="H168" s="269">
        <f>+ม.ค.!H168+ก.พ.!H167+มี.ค.!H167</f>
        <v>0</v>
      </c>
      <c r="I168" s="269">
        <f>+ม.ค.!I168+ก.พ.!I167+มี.ค.!I167</f>
        <v>0</v>
      </c>
      <c r="J168" s="269">
        <f>+ม.ค.!J168+ก.พ.!J167+มี.ค.!J167</f>
        <v>0</v>
      </c>
      <c r="K168" s="269">
        <f>+ม.ค.!K168+ก.พ.!K167+มี.ค.!K167</f>
        <v>0</v>
      </c>
      <c r="L168" s="269">
        <f>+ม.ค.!L168+ก.พ.!L167+มี.ค.!L167</f>
        <v>0</v>
      </c>
      <c r="M168" s="269">
        <f>+ม.ค.!M168+ก.พ.!M167+มี.ค.!M167</f>
        <v>0</v>
      </c>
      <c r="N168" s="269">
        <f>+ม.ค.!N168+ก.พ.!N167+มี.ค.!N167</f>
        <v>0</v>
      </c>
      <c r="O168" s="269">
        <f>+ม.ค.!O168+ก.พ.!O167+มี.ค.!O167</f>
        <v>0</v>
      </c>
      <c r="P168" s="269">
        <f>+ม.ค.!P168+ก.พ.!P167+มี.ค.!P167</f>
        <v>0</v>
      </c>
      <c r="Q168" s="269">
        <f>+ม.ค.!Q168+ก.พ.!Q167+มี.ค.!Q167</f>
        <v>0</v>
      </c>
      <c r="R168" s="269">
        <f>+ม.ค.!R168+ก.พ.!R167+มี.ค.!R167</f>
        <v>0</v>
      </c>
      <c r="S168" s="269">
        <f>+ม.ค.!S168+ก.พ.!S167+มี.ค.!S167</f>
        <v>0</v>
      </c>
      <c r="T168" s="269"/>
      <c r="U168" s="269">
        <f>+ม.ค.!U168+ก.พ.!U167+มี.ค.!U167</f>
        <v>0</v>
      </c>
      <c r="V168" s="269">
        <f>+ม.ค.!V168+ก.พ.!V167+มี.ค.!V167</f>
        <v>0</v>
      </c>
    </row>
    <row r="169" spans="1:23" ht="25.5" customHeight="1">
      <c r="A169" s="9"/>
      <c r="B169" s="187" t="s">
        <v>215</v>
      </c>
      <c r="C169" s="279">
        <v>10000</v>
      </c>
      <c r="D169" s="131"/>
      <c r="E169" s="269">
        <f>+ม.ค.!E169+ก.พ.!E168+มี.ค.!E168</f>
        <v>0</v>
      </c>
      <c r="F169" s="269">
        <f>+ม.ค.!F169+ก.พ.!F168+มี.ค.!F168</f>
        <v>0</v>
      </c>
      <c r="G169" s="269">
        <f>+ม.ค.!G169+ก.พ.!G168+มี.ค.!G168</f>
        <v>0</v>
      </c>
      <c r="H169" s="269">
        <f>+ม.ค.!H169+ก.พ.!H168+มี.ค.!H168</f>
        <v>0</v>
      </c>
      <c r="I169" s="269">
        <f>+ม.ค.!I169+ก.พ.!I168+มี.ค.!I168</f>
        <v>0</v>
      </c>
      <c r="J169" s="269">
        <f>+ม.ค.!J169+ก.พ.!J168+มี.ค.!J168</f>
        <v>0</v>
      </c>
      <c r="K169" s="269">
        <f>+ม.ค.!K169+ก.พ.!K168+มี.ค.!K168</f>
        <v>0</v>
      </c>
      <c r="L169" s="269">
        <f>+ม.ค.!L169+ก.พ.!L168+มี.ค.!L168</f>
        <v>0</v>
      </c>
      <c r="M169" s="269">
        <f>+ม.ค.!M169+ก.พ.!M168+มี.ค.!M168</f>
        <v>0</v>
      </c>
      <c r="N169" s="269">
        <f>+ม.ค.!N169+ก.พ.!N168+มี.ค.!N168</f>
        <v>0</v>
      </c>
      <c r="O169" s="269">
        <f>+ม.ค.!O169+ก.พ.!O168+มี.ค.!O168</f>
        <v>0</v>
      </c>
      <c r="P169" s="269">
        <f>+ม.ค.!P169+ก.พ.!P168+มี.ค.!P168</f>
        <v>0</v>
      </c>
      <c r="Q169" s="269">
        <f>+ม.ค.!Q169+ก.พ.!Q168+มี.ค.!Q168</f>
        <v>0</v>
      </c>
      <c r="R169" s="269">
        <f>+ม.ค.!R169+ก.พ.!R168+มี.ค.!R168</f>
        <v>0</v>
      </c>
      <c r="S169" s="269">
        <f>+ม.ค.!S169+ก.พ.!S168+มี.ค.!S168</f>
        <v>0</v>
      </c>
      <c r="T169" s="269"/>
      <c r="U169" s="269">
        <f>+ม.ค.!U169+ก.พ.!U168+มี.ค.!U168</f>
        <v>0</v>
      </c>
      <c r="V169" s="269">
        <f>+ม.ค.!V169+ก.พ.!V168+มี.ค.!V168</f>
        <v>0</v>
      </c>
    </row>
    <row r="170" spans="1:23" ht="25.5" customHeight="1">
      <c r="A170" s="9"/>
      <c r="B170" s="187" t="s">
        <v>268</v>
      </c>
      <c r="C170" s="279">
        <v>5000</v>
      </c>
      <c r="D170" s="131"/>
      <c r="E170" s="269">
        <f>+ม.ค.!E170+ก.พ.!E169+มี.ค.!E169</f>
        <v>0</v>
      </c>
      <c r="F170" s="269">
        <f>+ม.ค.!F170+ก.พ.!F169+มี.ค.!F169</f>
        <v>0</v>
      </c>
      <c r="G170" s="269">
        <f>+ม.ค.!G170+ก.พ.!G169+มี.ค.!G169</f>
        <v>0</v>
      </c>
      <c r="H170" s="269">
        <f>+ม.ค.!H170+ก.พ.!H169+มี.ค.!H169</f>
        <v>0</v>
      </c>
      <c r="I170" s="269">
        <f>+ม.ค.!I170+ก.พ.!I169+มี.ค.!I169</f>
        <v>0</v>
      </c>
      <c r="J170" s="269">
        <f>+ม.ค.!J170+ก.พ.!J169+มี.ค.!J169</f>
        <v>0</v>
      </c>
      <c r="K170" s="269">
        <f>+ม.ค.!K170+ก.พ.!K169+มี.ค.!K169</f>
        <v>0</v>
      </c>
      <c r="L170" s="269">
        <f>+ม.ค.!L170+ก.พ.!L169+มี.ค.!L169</f>
        <v>0</v>
      </c>
      <c r="M170" s="269">
        <f>+ม.ค.!M170+ก.พ.!M169+มี.ค.!M169</f>
        <v>0</v>
      </c>
      <c r="N170" s="269">
        <f>+ม.ค.!N170+ก.พ.!N169+มี.ค.!N169</f>
        <v>0</v>
      </c>
      <c r="O170" s="269">
        <f>+ม.ค.!O170+ก.พ.!O169+มี.ค.!O169</f>
        <v>0</v>
      </c>
      <c r="P170" s="269">
        <f>+ม.ค.!P170+ก.พ.!P169+มี.ค.!P169</f>
        <v>0</v>
      </c>
      <c r="Q170" s="269">
        <f>+ม.ค.!Q170+ก.พ.!Q169+มี.ค.!Q169</f>
        <v>0</v>
      </c>
      <c r="R170" s="269">
        <f>+ม.ค.!R170+ก.พ.!R169+มี.ค.!R169</f>
        <v>0</v>
      </c>
      <c r="S170" s="269">
        <f>+ม.ค.!S170+ก.พ.!S169+มี.ค.!S169</f>
        <v>0</v>
      </c>
      <c r="T170" s="269"/>
      <c r="U170" s="269">
        <f>+ม.ค.!U170+ก.พ.!U169+มี.ค.!U169</f>
        <v>0</v>
      </c>
      <c r="V170" s="269">
        <f>+ม.ค.!V170+ก.พ.!V169+มี.ค.!V169</f>
        <v>4715</v>
      </c>
    </row>
    <row r="171" spans="1:23" ht="25.5" customHeight="1">
      <c r="A171" s="9"/>
      <c r="B171" s="187" t="s">
        <v>413</v>
      </c>
      <c r="C171" s="279">
        <v>140000</v>
      </c>
      <c r="D171" s="131"/>
      <c r="E171" s="269">
        <f>+ม.ค.!E171+ก.พ.!E170+มี.ค.!E170</f>
        <v>0</v>
      </c>
      <c r="F171" s="269">
        <f>+ม.ค.!F171+ก.พ.!F170+มี.ค.!F170</f>
        <v>27080</v>
      </c>
      <c r="G171" s="269">
        <f>+ม.ค.!G171+ก.พ.!G170+มี.ค.!G170</f>
        <v>0</v>
      </c>
      <c r="H171" s="269">
        <f>+ม.ค.!H171+ก.พ.!H170+มี.ค.!H170</f>
        <v>0</v>
      </c>
      <c r="I171" s="269">
        <f>+ม.ค.!I171+ก.พ.!I170+มี.ค.!I170</f>
        <v>0</v>
      </c>
      <c r="J171" s="269">
        <f>+ม.ค.!J171+ก.พ.!J170+มี.ค.!J170</f>
        <v>0</v>
      </c>
      <c r="K171" s="269">
        <f>+ม.ค.!K171+ก.พ.!K170+มี.ค.!K170</f>
        <v>0</v>
      </c>
      <c r="L171" s="269">
        <f>+ม.ค.!L171+ก.พ.!L170+มี.ค.!L170</f>
        <v>0</v>
      </c>
      <c r="M171" s="269">
        <f>+ม.ค.!M171+ก.พ.!M170+มี.ค.!M170</f>
        <v>0</v>
      </c>
      <c r="N171" s="269">
        <f>+ม.ค.!N171+ก.พ.!N170+มี.ค.!N170</f>
        <v>0</v>
      </c>
      <c r="O171" s="269">
        <f>+ม.ค.!O171+ก.พ.!O170+มี.ค.!O170</f>
        <v>0</v>
      </c>
      <c r="P171" s="269">
        <f>+ม.ค.!P171+ก.พ.!P170+มี.ค.!P170</f>
        <v>0</v>
      </c>
      <c r="Q171" s="269">
        <f>+ม.ค.!Q171+ก.พ.!Q170+มี.ค.!Q170</f>
        <v>0</v>
      </c>
      <c r="R171" s="269">
        <f>+ม.ค.!R171+ก.พ.!R170+มี.ค.!R170</f>
        <v>0</v>
      </c>
      <c r="S171" s="269">
        <f>+ม.ค.!S171+ก.พ.!S170+มี.ค.!S170</f>
        <v>0</v>
      </c>
      <c r="T171" s="269"/>
      <c r="U171" s="269">
        <f>+ม.ค.!U171+ก.พ.!U170+มี.ค.!U170</f>
        <v>0</v>
      </c>
      <c r="V171" s="269">
        <f>+ม.ค.!V171+ก.พ.!V170+มี.ค.!V170</f>
        <v>0</v>
      </c>
    </row>
    <row r="172" spans="1:23" ht="25.5" customHeight="1">
      <c r="A172" s="9"/>
      <c r="B172" s="187" t="s">
        <v>414</v>
      </c>
      <c r="C172" s="279">
        <v>40000</v>
      </c>
      <c r="D172" s="131"/>
      <c r="E172" s="269">
        <f>+ม.ค.!E172+ก.พ.!E171+มี.ค.!E171</f>
        <v>0</v>
      </c>
      <c r="F172" s="269">
        <f>+ม.ค.!F172+ก.พ.!F171+มี.ค.!F171</f>
        <v>0</v>
      </c>
      <c r="G172" s="269">
        <f>+ม.ค.!G172+ก.พ.!G171+มี.ค.!G171</f>
        <v>0</v>
      </c>
      <c r="H172" s="269">
        <f>+ม.ค.!H172+ก.พ.!H171+มี.ค.!H171</f>
        <v>0</v>
      </c>
      <c r="I172" s="269">
        <f>+ม.ค.!I172+ก.พ.!I171+มี.ค.!I171</f>
        <v>0</v>
      </c>
      <c r="J172" s="269">
        <f>+ม.ค.!J172+ก.พ.!J171+มี.ค.!J171</f>
        <v>0</v>
      </c>
      <c r="K172" s="269">
        <f>+ม.ค.!K172+ก.พ.!K171+มี.ค.!K171</f>
        <v>37080</v>
      </c>
      <c r="L172" s="269">
        <f>+ม.ค.!L172+ก.พ.!L171+มี.ค.!L171</f>
        <v>0</v>
      </c>
      <c r="M172" s="269">
        <f>+ม.ค.!M172+ก.พ.!M171+มี.ค.!M171</f>
        <v>0</v>
      </c>
      <c r="N172" s="269">
        <f>+ม.ค.!N172+ก.พ.!N171+มี.ค.!N171</f>
        <v>0</v>
      </c>
      <c r="O172" s="269">
        <f>+ม.ค.!O172+ก.พ.!O171+มี.ค.!O171</f>
        <v>0</v>
      </c>
      <c r="P172" s="269">
        <f>+ม.ค.!P172+ก.พ.!P171+มี.ค.!P171</f>
        <v>0</v>
      </c>
      <c r="Q172" s="269">
        <f>+ม.ค.!Q172+ก.พ.!Q171+มี.ค.!Q171</f>
        <v>0</v>
      </c>
      <c r="R172" s="269">
        <f>+ม.ค.!R172+ก.พ.!R171+มี.ค.!R171</f>
        <v>0</v>
      </c>
      <c r="S172" s="269">
        <f>+ม.ค.!S172+ก.พ.!S171+มี.ค.!S171</f>
        <v>0</v>
      </c>
      <c r="T172" s="269"/>
      <c r="U172" s="269">
        <f>+ม.ค.!U172+ก.พ.!U171+มี.ค.!U171</f>
        <v>0</v>
      </c>
      <c r="V172" s="269">
        <f>+ม.ค.!V172+ก.พ.!V171+มี.ค.!V171</f>
        <v>0</v>
      </c>
    </row>
    <row r="173" spans="1:23" ht="25.5" customHeight="1">
      <c r="A173" s="9"/>
      <c r="B173" s="187" t="s">
        <v>415</v>
      </c>
      <c r="C173" s="279">
        <v>20000</v>
      </c>
      <c r="D173" s="131"/>
      <c r="E173" s="269">
        <f>+ม.ค.!E173+ก.พ.!E172+มี.ค.!E172</f>
        <v>0</v>
      </c>
      <c r="F173" s="269">
        <f>+ม.ค.!F173+ก.พ.!F172+มี.ค.!F172</f>
        <v>0</v>
      </c>
      <c r="G173" s="269">
        <f>+ม.ค.!G173+ก.พ.!G172+มี.ค.!G172</f>
        <v>0</v>
      </c>
      <c r="H173" s="269">
        <f>+ม.ค.!H173+ก.พ.!H172+มี.ค.!H172</f>
        <v>0</v>
      </c>
      <c r="I173" s="269">
        <f>+ม.ค.!I173+ก.พ.!I172+มี.ค.!I172</f>
        <v>0</v>
      </c>
      <c r="J173" s="269">
        <f>+ม.ค.!J173+ก.พ.!J172+มี.ค.!J172</f>
        <v>0</v>
      </c>
      <c r="K173" s="269">
        <f>+ม.ค.!K173+ก.พ.!K172+มี.ค.!K172</f>
        <v>0</v>
      </c>
      <c r="L173" s="269">
        <f>+ม.ค.!L173+ก.พ.!L172+มี.ค.!L172</f>
        <v>0</v>
      </c>
      <c r="M173" s="269">
        <f>+ม.ค.!M173+ก.พ.!M172+มี.ค.!M172</f>
        <v>0</v>
      </c>
      <c r="N173" s="269">
        <f>+ม.ค.!N173+ก.พ.!N172+มี.ค.!N172</f>
        <v>0</v>
      </c>
      <c r="O173" s="269">
        <f>+ม.ค.!O173+ก.พ.!O172+มี.ค.!O172</f>
        <v>0</v>
      </c>
      <c r="P173" s="269">
        <f>+ม.ค.!P173+ก.พ.!P172+มี.ค.!P172</f>
        <v>1200</v>
      </c>
      <c r="Q173" s="269">
        <f>+ม.ค.!Q173+ก.พ.!Q172+มี.ค.!Q172</f>
        <v>0</v>
      </c>
      <c r="R173" s="269">
        <f>+ม.ค.!R173+ก.พ.!R172+มี.ค.!R172</f>
        <v>0</v>
      </c>
      <c r="S173" s="269">
        <f>+ม.ค.!S173+ก.พ.!S172+มี.ค.!S172</f>
        <v>0</v>
      </c>
      <c r="T173" s="269"/>
      <c r="U173" s="269">
        <f>+ม.ค.!U173+ก.พ.!U172+มี.ค.!U172</f>
        <v>0</v>
      </c>
      <c r="V173" s="269">
        <f>+ม.ค.!V173+ก.พ.!V172+มี.ค.!V172</f>
        <v>0</v>
      </c>
    </row>
    <row r="174" spans="1:23" ht="25.5" customHeight="1">
      <c r="A174" s="9"/>
      <c r="B174" s="187" t="s">
        <v>330</v>
      </c>
      <c r="C174" s="279"/>
      <c r="D174" s="131"/>
      <c r="E174" s="269">
        <f>+ม.ค.!E174+ก.พ.!E173+มี.ค.!E173</f>
        <v>0</v>
      </c>
      <c r="F174" s="269">
        <f>+ม.ค.!F174+ก.พ.!F173+มี.ค.!F173</f>
        <v>0</v>
      </c>
      <c r="G174" s="269">
        <f>+ม.ค.!G174+ก.พ.!G173+มี.ค.!G173</f>
        <v>0</v>
      </c>
      <c r="H174" s="269">
        <f>+ม.ค.!H174+ก.พ.!H173+มี.ค.!H173</f>
        <v>0</v>
      </c>
      <c r="I174" s="269">
        <f>+ม.ค.!I174+ก.พ.!I173+มี.ค.!I173</f>
        <v>0</v>
      </c>
      <c r="J174" s="269">
        <f>+ม.ค.!J174+ก.พ.!J173+มี.ค.!J173</f>
        <v>0</v>
      </c>
      <c r="K174" s="269">
        <f>+ม.ค.!K174+ก.พ.!K173+มี.ค.!K173</f>
        <v>0</v>
      </c>
      <c r="L174" s="269">
        <f>+ม.ค.!L174+ก.พ.!L173+มี.ค.!L173</f>
        <v>0</v>
      </c>
      <c r="M174" s="269">
        <f>+ม.ค.!M174+ก.พ.!M173+มี.ค.!M173</f>
        <v>0</v>
      </c>
      <c r="N174" s="269">
        <f>+ม.ค.!N174+ก.พ.!N173+มี.ค.!N173</f>
        <v>0</v>
      </c>
      <c r="O174" s="269">
        <f>+ม.ค.!O174+ก.พ.!O173+มี.ค.!O173</f>
        <v>0</v>
      </c>
      <c r="P174" s="269">
        <f>+ม.ค.!P174+ก.พ.!P173+มี.ค.!P173</f>
        <v>0</v>
      </c>
      <c r="Q174" s="269">
        <f>+ม.ค.!Q174+ก.พ.!Q173+มี.ค.!Q173</f>
        <v>0</v>
      </c>
      <c r="R174" s="269">
        <f>+ม.ค.!R174+ก.พ.!R173+มี.ค.!R173</f>
        <v>0</v>
      </c>
      <c r="S174" s="269">
        <f>+ม.ค.!S174+ก.พ.!S173+มี.ค.!S173</f>
        <v>0</v>
      </c>
      <c r="T174" s="269"/>
      <c r="U174" s="269">
        <f>+ม.ค.!U174+ก.พ.!U173+มี.ค.!U173</f>
        <v>0</v>
      </c>
      <c r="V174" s="269">
        <f>+ม.ค.!V174+ก.พ.!V173+มี.ค.!V173</f>
        <v>0</v>
      </c>
    </row>
    <row r="175" spans="1:23" ht="25.5" customHeight="1">
      <c r="A175" s="9"/>
      <c r="B175" s="187"/>
      <c r="C175" s="279"/>
      <c r="D175" s="131"/>
      <c r="E175" s="269">
        <f>+ม.ค.!E175+ก.พ.!E174+มี.ค.!E174</f>
        <v>0</v>
      </c>
      <c r="F175" s="269">
        <f>+ม.ค.!F175+ก.พ.!F174+มี.ค.!F174</f>
        <v>0</v>
      </c>
      <c r="G175" s="269">
        <f>+ม.ค.!G175+ก.พ.!G174+มี.ค.!G174</f>
        <v>0</v>
      </c>
      <c r="H175" s="269">
        <f>+ม.ค.!H175+ก.พ.!H174+มี.ค.!H174</f>
        <v>0</v>
      </c>
      <c r="I175" s="269">
        <f>+ม.ค.!I175+ก.พ.!I174+มี.ค.!I174</f>
        <v>0</v>
      </c>
      <c r="J175" s="269">
        <f>+ม.ค.!J175+ก.พ.!J174+มี.ค.!J174</f>
        <v>0</v>
      </c>
      <c r="K175" s="269">
        <f>+ม.ค.!K175+ก.พ.!K174+มี.ค.!K174</f>
        <v>0</v>
      </c>
      <c r="L175" s="269">
        <f>+ม.ค.!L175+ก.พ.!L174+มี.ค.!L174</f>
        <v>0</v>
      </c>
      <c r="M175" s="269">
        <f>+ม.ค.!M175+ก.พ.!M174+มี.ค.!M174</f>
        <v>0</v>
      </c>
      <c r="N175" s="269">
        <f>+ม.ค.!N175+ก.พ.!N174+มี.ค.!N174</f>
        <v>0</v>
      </c>
      <c r="O175" s="269">
        <f>+ม.ค.!O175+ก.พ.!O174+มี.ค.!O174</f>
        <v>0</v>
      </c>
      <c r="P175" s="269">
        <f>+ม.ค.!P175+ก.พ.!P174+มี.ค.!P174</f>
        <v>0</v>
      </c>
      <c r="Q175" s="269">
        <f>+ม.ค.!Q175+ก.พ.!Q174+มี.ค.!Q174</f>
        <v>0</v>
      </c>
      <c r="R175" s="269">
        <f>+ม.ค.!R175+ก.พ.!R174+มี.ค.!R174</f>
        <v>0</v>
      </c>
      <c r="S175" s="269">
        <f>+ม.ค.!S175+ก.พ.!S174+มี.ค.!S174</f>
        <v>0</v>
      </c>
      <c r="T175" s="269"/>
      <c r="U175" s="269">
        <f>+ม.ค.!U175+ก.พ.!U174+มี.ค.!U174</f>
        <v>0</v>
      </c>
      <c r="V175" s="269">
        <f>+ม.ค.!V175+ก.พ.!V174+มี.ค.!V174</f>
        <v>0</v>
      </c>
    </row>
    <row r="176" spans="1:23" ht="25.5" customHeight="1" thickBot="1">
      <c r="A176" s="15"/>
      <c r="B176" s="14" t="s">
        <v>5</v>
      </c>
      <c r="C176" s="170">
        <f>SUM(C51:C175)</f>
        <v>6052700</v>
      </c>
      <c r="D176" s="255">
        <f t="shared" ref="D176:V176" si="4">SUM(D51:D175)</f>
        <v>0</v>
      </c>
      <c r="E176" s="254">
        <f>SUM(E51:E175)</f>
        <v>686066</v>
      </c>
      <c r="F176" s="254">
        <f>SUM(F51:F175)</f>
        <v>61830</v>
      </c>
      <c r="G176" s="254">
        <f t="shared" si="4"/>
        <v>96210</v>
      </c>
      <c r="H176" s="254">
        <f>SUM(H51:H175)</f>
        <v>178642</v>
      </c>
      <c r="I176" s="255">
        <f t="shared" si="4"/>
        <v>290395</v>
      </c>
      <c r="J176" s="255">
        <f t="shared" si="4"/>
        <v>49995</v>
      </c>
      <c r="K176" s="255">
        <f t="shared" si="4"/>
        <v>37080</v>
      </c>
      <c r="L176" s="255">
        <f t="shared" si="4"/>
        <v>0</v>
      </c>
      <c r="M176" s="254">
        <f t="shared" si="4"/>
        <v>106320</v>
      </c>
      <c r="N176" s="255">
        <f t="shared" si="4"/>
        <v>0</v>
      </c>
      <c r="O176" s="255">
        <f t="shared" si="4"/>
        <v>0</v>
      </c>
      <c r="P176" s="255">
        <f t="shared" si="4"/>
        <v>1200</v>
      </c>
      <c r="Q176" s="255">
        <f t="shared" si="4"/>
        <v>0</v>
      </c>
      <c r="R176" s="255">
        <f t="shared" si="4"/>
        <v>24450</v>
      </c>
      <c r="S176" s="255">
        <f t="shared" si="4"/>
        <v>4980</v>
      </c>
      <c r="T176" s="255"/>
      <c r="U176" s="255">
        <f t="shared" si="4"/>
        <v>0</v>
      </c>
      <c r="V176" s="255">
        <f t="shared" si="4"/>
        <v>4715</v>
      </c>
      <c r="W176" s="314">
        <f>SUM(D176:V176)</f>
        <v>1541883</v>
      </c>
    </row>
    <row r="177" spans="1:23" ht="25.5" customHeight="1" thickTop="1">
      <c r="A177" s="3" t="s">
        <v>113</v>
      </c>
      <c r="B177" s="4"/>
      <c r="C177" s="287"/>
      <c r="D177" s="133"/>
      <c r="E177" s="269"/>
      <c r="F177" s="136"/>
      <c r="G177" s="136"/>
      <c r="H177" s="136"/>
      <c r="I177" s="133"/>
      <c r="J177" s="133"/>
      <c r="K177" s="133"/>
      <c r="L177" s="133"/>
      <c r="M177" s="136"/>
      <c r="N177" s="133"/>
      <c r="O177" s="133"/>
      <c r="P177" s="133"/>
      <c r="Q177" s="133"/>
      <c r="R177" s="258"/>
      <c r="S177" s="259"/>
      <c r="T177" s="259"/>
      <c r="U177" s="258"/>
      <c r="V177" s="258"/>
    </row>
    <row r="178" spans="1:23" ht="25.5" customHeight="1">
      <c r="A178" s="9"/>
      <c r="B178" s="130" t="s">
        <v>111</v>
      </c>
      <c r="C178" s="216">
        <f>50000+25000+5000+25000+10000+10000-8000</f>
        <v>117000</v>
      </c>
      <c r="D178" s="131"/>
      <c r="E178" s="267">
        <f>+ม.ค.!E178+ก.พ.!E177+มี.ค.!E177</f>
        <v>20752.8</v>
      </c>
      <c r="F178" s="267">
        <f>+ม.ค.!F178+ก.พ.!F177+มี.ค.!F177</f>
        <v>23469</v>
      </c>
      <c r="G178" s="267">
        <f>+ม.ค.!G178+ก.พ.!G177+มี.ค.!G177</f>
        <v>0</v>
      </c>
      <c r="H178" s="267">
        <f>+ม.ค.!H178+ก.พ.!H177+มี.ค.!H177</f>
        <v>6440</v>
      </c>
      <c r="I178" s="267">
        <f>+ม.ค.!I178+ก.พ.!I177+มี.ค.!I177</f>
        <v>0</v>
      </c>
      <c r="J178" s="267">
        <f>+ม.ค.!J178+ก.พ.!J177+มี.ค.!J177</f>
        <v>0</v>
      </c>
      <c r="K178" s="267">
        <f>+ม.ค.!K178+ก.พ.!K177+มี.ค.!K177</f>
        <v>0</v>
      </c>
      <c r="L178" s="267">
        <f>+ม.ค.!L178+ก.พ.!L177+มี.ค.!L177</f>
        <v>0</v>
      </c>
      <c r="M178" s="267">
        <f>+ม.ค.!M178+ก.พ.!M177+มี.ค.!M177</f>
        <v>0</v>
      </c>
      <c r="N178" s="267">
        <f>+ม.ค.!N178+ก.พ.!N177+มี.ค.!N177</f>
        <v>0</v>
      </c>
      <c r="O178" s="267">
        <f>+ม.ค.!O178+ก.พ.!O177+มี.ค.!O177</f>
        <v>0</v>
      </c>
      <c r="P178" s="267">
        <f>+ม.ค.!P178+ก.พ.!P177+มี.ค.!P177</f>
        <v>0</v>
      </c>
      <c r="Q178" s="267">
        <f>+ม.ค.!Q178+ก.พ.!Q177+มี.ค.!Q177</f>
        <v>0</v>
      </c>
      <c r="R178" s="267">
        <f>+ม.ค.!R178+ก.พ.!R177+มี.ค.!R177</f>
        <v>0</v>
      </c>
      <c r="S178" s="267">
        <f>+ม.ค.!S178+ก.พ.!S177+มี.ค.!S177</f>
        <v>0</v>
      </c>
      <c r="T178" s="267"/>
      <c r="U178" s="267">
        <f>+ม.ค.!U178+ก.พ.!U177+มี.ค.!U177</f>
        <v>0</v>
      </c>
      <c r="V178" s="267">
        <f>+ม.ค.!V178+ก.พ.!V177+มี.ค.!V177</f>
        <v>0</v>
      </c>
    </row>
    <row r="179" spans="1:23" s="67" customFormat="1" ht="25.5" customHeight="1">
      <c r="A179" s="9"/>
      <c r="B179" s="130" t="s">
        <v>302</v>
      </c>
      <c r="C179" s="216">
        <v>10000</v>
      </c>
      <c r="D179" s="131"/>
      <c r="E179" s="267">
        <f>+ม.ค.!E179+ก.พ.!E178+มี.ค.!E178</f>
        <v>0</v>
      </c>
      <c r="F179" s="267">
        <f>+ม.ค.!F179+ก.พ.!F178+มี.ค.!F178</f>
        <v>0</v>
      </c>
      <c r="G179" s="267">
        <f>+ม.ค.!G179+ก.พ.!G178+มี.ค.!G178</f>
        <v>0</v>
      </c>
      <c r="H179" s="267">
        <f>+ม.ค.!H179+ก.พ.!H178+มี.ค.!H178</f>
        <v>0</v>
      </c>
      <c r="I179" s="267">
        <f>+ม.ค.!I179+ก.พ.!I178+มี.ค.!I178</f>
        <v>0</v>
      </c>
      <c r="J179" s="267">
        <f>+ม.ค.!J179+ก.พ.!J178+มี.ค.!J178</f>
        <v>0</v>
      </c>
      <c r="K179" s="267">
        <f>+ม.ค.!K179+ก.พ.!K178+มี.ค.!K178</f>
        <v>0</v>
      </c>
      <c r="L179" s="267">
        <f>+ม.ค.!L179+ก.พ.!L178+มี.ค.!L178</f>
        <v>0</v>
      </c>
      <c r="M179" s="267">
        <f>+ม.ค.!M179+ก.พ.!M178+มี.ค.!M178</f>
        <v>0</v>
      </c>
      <c r="N179" s="267">
        <f>+ม.ค.!N179+ก.พ.!N178+มี.ค.!N178</f>
        <v>0</v>
      </c>
      <c r="O179" s="267">
        <f>+ม.ค.!O179+ก.พ.!O178+มี.ค.!O178</f>
        <v>0</v>
      </c>
      <c r="P179" s="267">
        <f>+ม.ค.!P179+ก.พ.!P178+มี.ค.!P178</f>
        <v>0</v>
      </c>
      <c r="Q179" s="267">
        <f>+ม.ค.!Q179+ก.พ.!Q178+มี.ค.!Q178</f>
        <v>0</v>
      </c>
      <c r="R179" s="267">
        <f>+ม.ค.!R179+ก.พ.!R178+มี.ค.!R178</f>
        <v>0</v>
      </c>
      <c r="S179" s="267">
        <f>+ม.ค.!S179+ก.พ.!S178+มี.ค.!S178</f>
        <v>0</v>
      </c>
      <c r="T179" s="267"/>
      <c r="U179" s="267">
        <f>+ม.ค.!U179+ก.พ.!U178+มี.ค.!U178</f>
        <v>0</v>
      </c>
      <c r="V179" s="267">
        <f>+ม.ค.!V179+ก.พ.!V178+มี.ค.!V178</f>
        <v>0</v>
      </c>
      <c r="W179" s="312"/>
    </row>
    <row r="180" spans="1:23" s="67" customFormat="1" ht="25.5" customHeight="1">
      <c r="A180" s="9"/>
      <c r="B180" s="130" t="s">
        <v>16</v>
      </c>
      <c r="C180" s="216">
        <f>8000+200000+5000</f>
        <v>213000</v>
      </c>
      <c r="D180" s="131"/>
      <c r="E180" s="267">
        <f>+ม.ค.!E180+ก.พ.!E179+มี.ค.!E179</f>
        <v>270</v>
      </c>
      <c r="F180" s="267">
        <f>+ม.ค.!F180+ก.พ.!F179+มี.ค.!F179</f>
        <v>0</v>
      </c>
      <c r="G180" s="267">
        <f>+ม.ค.!G180+ก.พ.!G179+มี.ค.!G179</f>
        <v>0</v>
      </c>
      <c r="H180" s="267">
        <f>+ม.ค.!H180+ก.พ.!H179+มี.ค.!H179</f>
        <v>980</v>
      </c>
      <c r="I180" s="267">
        <f>+ม.ค.!I180+ก.พ.!I179+มี.ค.!I179</f>
        <v>0</v>
      </c>
      <c r="J180" s="267">
        <f>+ม.ค.!J180+ก.พ.!J179+มี.ค.!J179</f>
        <v>0</v>
      </c>
      <c r="K180" s="267">
        <f>+ม.ค.!K180+ก.พ.!K179+มี.ค.!K179</f>
        <v>0</v>
      </c>
      <c r="L180" s="267">
        <f>+ม.ค.!L180+ก.พ.!L179+มี.ค.!L179</f>
        <v>0</v>
      </c>
      <c r="M180" s="267">
        <f>+ม.ค.!M180+ก.พ.!M179+มี.ค.!M179</f>
        <v>0</v>
      </c>
      <c r="N180" s="267">
        <f>+ม.ค.!N180+ก.พ.!N179+มี.ค.!N179</f>
        <v>78500</v>
      </c>
      <c r="O180" s="267">
        <f>+ม.ค.!O180+ก.พ.!O179+มี.ค.!O179</f>
        <v>0</v>
      </c>
      <c r="P180" s="267">
        <f>+ม.ค.!P180+ก.พ.!P179+มี.ค.!P179</f>
        <v>0</v>
      </c>
      <c r="Q180" s="267">
        <f>+ม.ค.!Q180+ก.พ.!Q179+มี.ค.!Q179</f>
        <v>0</v>
      </c>
      <c r="R180" s="267">
        <f>+ม.ค.!R180+ก.พ.!R179+มี.ค.!R179</f>
        <v>0</v>
      </c>
      <c r="S180" s="267">
        <f>+ม.ค.!S180+ก.พ.!S179+มี.ค.!S179</f>
        <v>0</v>
      </c>
      <c r="T180" s="267"/>
      <c r="U180" s="267">
        <f>+ม.ค.!U180+ก.พ.!U179+มี.ค.!U179</f>
        <v>0</v>
      </c>
      <c r="V180" s="267">
        <f>+ม.ค.!V180+ก.พ.!V179+มี.ค.!V179</f>
        <v>0</v>
      </c>
      <c r="W180" s="312"/>
    </row>
    <row r="181" spans="1:23" s="67" customFormat="1" ht="25.5" customHeight="1">
      <c r="A181" s="9"/>
      <c r="B181" s="130" t="s">
        <v>12</v>
      </c>
      <c r="C181" s="216">
        <f>15000+10000</f>
        <v>25000</v>
      </c>
      <c r="D181" s="131"/>
      <c r="E181" s="267">
        <f>+ม.ค.!E181+ก.พ.!E180+มี.ค.!E180</f>
        <v>7183</v>
      </c>
      <c r="F181" s="267">
        <f>+ม.ค.!F181+ก.พ.!F180+มี.ค.!F180</f>
        <v>0</v>
      </c>
      <c r="G181" s="267">
        <f>+ม.ค.!G181+ก.พ.!G180+มี.ค.!G180</f>
        <v>0</v>
      </c>
      <c r="H181" s="267">
        <f>+ม.ค.!H181+ก.พ.!H180+มี.ค.!H180</f>
        <v>1520</v>
      </c>
      <c r="I181" s="267">
        <f>+ม.ค.!I181+ก.พ.!I180+มี.ค.!I180</f>
        <v>0</v>
      </c>
      <c r="J181" s="267">
        <f>+ม.ค.!J181+ก.พ.!J180+มี.ค.!J180</f>
        <v>0</v>
      </c>
      <c r="K181" s="267">
        <f>+ม.ค.!K181+ก.พ.!K180+มี.ค.!K180</f>
        <v>0</v>
      </c>
      <c r="L181" s="267">
        <f>+ม.ค.!L181+ก.พ.!L180+มี.ค.!L180</f>
        <v>0</v>
      </c>
      <c r="M181" s="267">
        <f>+ม.ค.!M181+ก.พ.!M180+มี.ค.!M180</f>
        <v>0</v>
      </c>
      <c r="N181" s="267">
        <f>+ม.ค.!N181+ก.พ.!N180+มี.ค.!N180</f>
        <v>0</v>
      </c>
      <c r="O181" s="267">
        <f>+ม.ค.!O181+ก.พ.!O180+มี.ค.!O180</f>
        <v>0</v>
      </c>
      <c r="P181" s="267">
        <f>+ม.ค.!P181+ก.พ.!P180+มี.ค.!P180</f>
        <v>0</v>
      </c>
      <c r="Q181" s="267">
        <f>+ม.ค.!Q181+ก.พ.!Q180+มี.ค.!Q180</f>
        <v>0</v>
      </c>
      <c r="R181" s="267">
        <f>+ม.ค.!R181+ก.พ.!R180+มี.ค.!R180</f>
        <v>0</v>
      </c>
      <c r="S181" s="267">
        <f>+ม.ค.!S181+ก.พ.!S180+มี.ค.!S180</f>
        <v>0</v>
      </c>
      <c r="T181" s="267"/>
      <c r="U181" s="267">
        <f>+ม.ค.!U181+ก.พ.!U180+มี.ค.!U180</f>
        <v>0</v>
      </c>
      <c r="V181" s="267">
        <f>+ม.ค.!V181+ก.พ.!V180+มี.ค.!V180</f>
        <v>0</v>
      </c>
      <c r="W181" s="312"/>
    </row>
    <row r="182" spans="1:23" ht="25.5" customHeight="1">
      <c r="A182" s="9"/>
      <c r="B182" s="130" t="s">
        <v>17</v>
      </c>
      <c r="C182" s="216">
        <f>15000+25000+20000-10000+8000</f>
        <v>58000</v>
      </c>
      <c r="D182" s="133"/>
      <c r="E182" s="267">
        <f>+ม.ค.!E182+ก.พ.!E181+มี.ค.!E181</f>
        <v>0</v>
      </c>
      <c r="F182" s="267">
        <f>+ม.ค.!F182+ก.พ.!F181+มี.ค.!F181</f>
        <v>0</v>
      </c>
      <c r="G182" s="267">
        <f>+ม.ค.!G182+ก.พ.!G181+มี.ค.!G181</f>
        <v>0</v>
      </c>
      <c r="H182" s="267">
        <f>+ม.ค.!H182+ก.พ.!H181+มี.ค.!H181</f>
        <v>11271</v>
      </c>
      <c r="I182" s="267">
        <f>+ม.ค.!I182+ก.พ.!I181+มี.ค.!I181</f>
        <v>0</v>
      </c>
      <c r="J182" s="267">
        <f>+ม.ค.!J182+ก.พ.!J181+มี.ค.!J181</f>
        <v>0</v>
      </c>
      <c r="K182" s="267">
        <f>+ม.ค.!K182+ก.พ.!K181+มี.ค.!K181</f>
        <v>0</v>
      </c>
      <c r="L182" s="267">
        <f>+ม.ค.!L182+ก.พ.!L181+มี.ค.!L181</f>
        <v>0</v>
      </c>
      <c r="M182" s="267">
        <f>+ม.ค.!M182+ก.พ.!M181+มี.ค.!M181</f>
        <v>0</v>
      </c>
      <c r="N182" s="267">
        <f>+ม.ค.!N182+ก.พ.!N181+มี.ค.!N181</f>
        <v>0</v>
      </c>
      <c r="O182" s="267">
        <f>+ม.ค.!O182+ก.พ.!O181+มี.ค.!O181</f>
        <v>0</v>
      </c>
      <c r="P182" s="267">
        <f>+ม.ค.!P182+ก.พ.!P181+มี.ค.!P181</f>
        <v>0</v>
      </c>
      <c r="Q182" s="267">
        <f>+ม.ค.!Q182+ก.พ.!Q181+มี.ค.!Q181</f>
        <v>0</v>
      </c>
      <c r="R182" s="267">
        <f>+ม.ค.!R182+ก.พ.!R181+มี.ค.!R181</f>
        <v>0</v>
      </c>
      <c r="S182" s="267">
        <f>+ม.ค.!S182+ก.พ.!S181+มี.ค.!S181</f>
        <v>0</v>
      </c>
      <c r="T182" s="267"/>
      <c r="U182" s="267">
        <f>+ม.ค.!U182+ก.พ.!U181+มี.ค.!U181</f>
        <v>0</v>
      </c>
      <c r="V182" s="267">
        <f>+ม.ค.!V182+ก.พ.!V181+มี.ค.!V181</f>
        <v>0</v>
      </c>
    </row>
    <row r="183" spans="1:23" ht="25.5" customHeight="1">
      <c r="A183" s="9"/>
      <c r="B183" s="130" t="s">
        <v>13</v>
      </c>
      <c r="C183" s="216">
        <v>15000</v>
      </c>
      <c r="D183" s="131"/>
      <c r="E183" s="267">
        <f>+ม.ค.!E183+ก.พ.!E182+มี.ค.!E182</f>
        <v>0</v>
      </c>
      <c r="F183" s="267">
        <f>+ม.ค.!F183+ก.พ.!F182+มี.ค.!F182</f>
        <v>0</v>
      </c>
      <c r="G183" s="267">
        <f>+ม.ค.!G183+ก.พ.!G182+มี.ค.!G182</f>
        <v>0</v>
      </c>
      <c r="H183" s="267">
        <f>+ม.ค.!H183+ก.พ.!H182+มี.ค.!H182</f>
        <v>0</v>
      </c>
      <c r="I183" s="267">
        <f>+ม.ค.!I183+ก.พ.!I182+มี.ค.!I182</f>
        <v>0</v>
      </c>
      <c r="J183" s="267">
        <f>+ม.ค.!J183+ก.พ.!J182+มี.ค.!J182</f>
        <v>0</v>
      </c>
      <c r="K183" s="267">
        <f>+ม.ค.!K183+ก.พ.!K182+มี.ค.!K182</f>
        <v>0</v>
      </c>
      <c r="L183" s="267">
        <f>+ม.ค.!L183+ก.พ.!L182+มี.ค.!L182</f>
        <v>0</v>
      </c>
      <c r="M183" s="267">
        <f>+ม.ค.!M183+ก.พ.!M182+มี.ค.!M182</f>
        <v>0</v>
      </c>
      <c r="N183" s="267">
        <f>+ม.ค.!N183+ก.พ.!N182+มี.ค.!N182</f>
        <v>0</v>
      </c>
      <c r="O183" s="267">
        <f>+ม.ค.!O183+ก.พ.!O182+มี.ค.!O182</f>
        <v>0</v>
      </c>
      <c r="P183" s="267">
        <f>+ม.ค.!P183+ก.พ.!P182+มี.ค.!P182</f>
        <v>0</v>
      </c>
      <c r="Q183" s="267">
        <f>+ม.ค.!Q183+ก.พ.!Q182+มี.ค.!Q182</f>
        <v>0</v>
      </c>
      <c r="R183" s="267">
        <f>+ม.ค.!R183+ก.พ.!R182+มี.ค.!R182</f>
        <v>0</v>
      </c>
      <c r="S183" s="267">
        <f>+ม.ค.!S183+ก.พ.!S182+มี.ค.!S182</f>
        <v>0</v>
      </c>
      <c r="T183" s="267"/>
      <c r="U183" s="267">
        <f>+ม.ค.!U183+ก.พ.!U182+มี.ค.!U182</f>
        <v>0</v>
      </c>
      <c r="V183" s="267">
        <f>+ม.ค.!V183+ก.พ.!V182+มี.ค.!V182</f>
        <v>0</v>
      </c>
    </row>
    <row r="184" spans="1:23" ht="25.5" customHeight="1">
      <c r="A184" s="9"/>
      <c r="B184" s="130" t="s">
        <v>14</v>
      </c>
      <c r="C184" s="216">
        <f>240000+5000+20000</f>
        <v>265000</v>
      </c>
      <c r="D184" s="133"/>
      <c r="E184" s="267">
        <f>+ม.ค.!E184+ก.พ.!E183+มี.ค.!E183</f>
        <v>63531</v>
      </c>
      <c r="F184" s="267">
        <f>+ม.ค.!F184+ก.พ.!F183+มี.ค.!F183</f>
        <v>368.4</v>
      </c>
      <c r="G184" s="267">
        <f>+ม.ค.!G184+ก.พ.!G183+มี.ค.!G183</f>
        <v>0</v>
      </c>
      <c r="H184" s="267">
        <f>+ม.ค.!H184+ก.พ.!H183+มี.ค.!H183</f>
        <v>0</v>
      </c>
      <c r="I184" s="267">
        <f>+ม.ค.!I184+ก.พ.!I183+มี.ค.!I183</f>
        <v>0</v>
      </c>
      <c r="J184" s="267">
        <f>+ม.ค.!J184+ก.พ.!J183+มี.ค.!J183</f>
        <v>0</v>
      </c>
      <c r="K184" s="267">
        <f>+ม.ค.!K184+ก.พ.!K183+มี.ค.!K183</f>
        <v>0</v>
      </c>
      <c r="L184" s="267">
        <f>+ม.ค.!L184+ก.พ.!L183+มี.ค.!L183</f>
        <v>0</v>
      </c>
      <c r="M184" s="267">
        <f>+ม.ค.!M184+ก.พ.!M183+มี.ค.!M183</f>
        <v>3389.9</v>
      </c>
      <c r="N184" s="267">
        <f>+ม.ค.!N184+ก.พ.!N183+มี.ค.!N183</f>
        <v>0</v>
      </c>
      <c r="O184" s="267">
        <f>+ม.ค.!O184+ก.พ.!O183+มี.ค.!O183</f>
        <v>0</v>
      </c>
      <c r="P184" s="267">
        <f>+ม.ค.!P184+ก.พ.!P183+มี.ค.!P183</f>
        <v>0</v>
      </c>
      <c r="Q184" s="267">
        <f>+ม.ค.!Q184+ก.พ.!Q183+มี.ค.!Q183</f>
        <v>0</v>
      </c>
      <c r="R184" s="267">
        <f>+ม.ค.!R184+ก.พ.!R183+มี.ค.!R183</f>
        <v>0</v>
      </c>
      <c r="S184" s="267">
        <f>+ม.ค.!S184+ก.พ.!S183+มี.ค.!S183</f>
        <v>0</v>
      </c>
      <c r="T184" s="267"/>
      <c r="U184" s="267">
        <f>+ม.ค.!U184+ก.พ.!U183+มี.ค.!U183</f>
        <v>0</v>
      </c>
      <c r="V184" s="267">
        <f>+ม.ค.!V184+ก.พ.!V183+มี.ค.!V183</f>
        <v>0</v>
      </c>
    </row>
    <row r="185" spans="1:23" ht="25.5" customHeight="1">
      <c r="A185" s="9"/>
      <c r="B185" s="130" t="s">
        <v>112</v>
      </c>
      <c r="C185" s="216">
        <f>5000+5000+5000</f>
        <v>15000</v>
      </c>
      <c r="D185" s="133"/>
      <c r="E185" s="267">
        <f>+ม.ค.!E185+ก.พ.!E184+มี.ค.!E184</f>
        <v>0</v>
      </c>
      <c r="F185" s="267">
        <f>+ม.ค.!F185+ก.พ.!F184+มี.ค.!F184</f>
        <v>0</v>
      </c>
      <c r="G185" s="267">
        <f>+ม.ค.!G185+ก.พ.!G184+มี.ค.!G184</f>
        <v>0</v>
      </c>
      <c r="H185" s="267">
        <f>+ม.ค.!H185+ก.พ.!H184+มี.ค.!H184</f>
        <v>0</v>
      </c>
      <c r="I185" s="267">
        <f>+ม.ค.!I185+ก.พ.!I184+มี.ค.!I184</f>
        <v>0</v>
      </c>
      <c r="J185" s="267">
        <f>+ม.ค.!J185+ก.พ.!J184+มี.ค.!J184</f>
        <v>0</v>
      </c>
      <c r="K185" s="267">
        <f>+ม.ค.!K185+ก.พ.!K184+มี.ค.!K184</f>
        <v>0</v>
      </c>
      <c r="L185" s="267">
        <f>+ม.ค.!L185+ก.พ.!L184+มี.ค.!L184</f>
        <v>0</v>
      </c>
      <c r="M185" s="267">
        <f>+ม.ค.!M185+ก.พ.!M184+มี.ค.!M184</f>
        <v>0</v>
      </c>
      <c r="N185" s="267">
        <f>+ม.ค.!N185+ก.พ.!N184+มี.ค.!N184</f>
        <v>0</v>
      </c>
      <c r="O185" s="267">
        <f>+ม.ค.!O185+ก.พ.!O184+มี.ค.!O184</f>
        <v>0</v>
      </c>
      <c r="P185" s="267">
        <f>+ม.ค.!P185+ก.พ.!P184+มี.ค.!P184</f>
        <v>0</v>
      </c>
      <c r="Q185" s="267">
        <f>+ม.ค.!Q185+ก.พ.!Q184+มี.ค.!Q184</f>
        <v>0</v>
      </c>
      <c r="R185" s="267">
        <f>+ม.ค.!R185+ก.พ.!R184+มี.ค.!R184</f>
        <v>0</v>
      </c>
      <c r="S185" s="267">
        <f>+ม.ค.!S185+ก.พ.!S184+มี.ค.!S184</f>
        <v>0</v>
      </c>
      <c r="T185" s="267"/>
      <c r="U185" s="267">
        <f>+ม.ค.!U185+ก.พ.!U184+มี.ค.!U184</f>
        <v>0</v>
      </c>
      <c r="V185" s="267">
        <f>+ม.ค.!V185+ก.พ.!V184+มี.ค.!V184</f>
        <v>0</v>
      </c>
    </row>
    <row r="186" spans="1:23" ht="25.5" customHeight="1">
      <c r="A186" s="9"/>
      <c r="B186" s="130" t="s">
        <v>208</v>
      </c>
      <c r="C186" s="216">
        <v>5000</v>
      </c>
      <c r="D186" s="133"/>
      <c r="E186" s="267">
        <f>+ม.ค.!E186+ก.พ.!E185+มี.ค.!E185</f>
        <v>540</v>
      </c>
      <c r="F186" s="267">
        <f>+ม.ค.!F186+ก.พ.!F185+มี.ค.!F185</f>
        <v>0</v>
      </c>
      <c r="G186" s="267">
        <f>+ม.ค.!G186+ก.พ.!G185+มี.ค.!G185</f>
        <v>0</v>
      </c>
      <c r="H186" s="267">
        <f>+ม.ค.!H186+ก.พ.!H185+มี.ค.!H185</f>
        <v>0</v>
      </c>
      <c r="I186" s="267">
        <f>+ม.ค.!I186+ก.พ.!I185+มี.ค.!I185</f>
        <v>0</v>
      </c>
      <c r="J186" s="267">
        <f>+ม.ค.!J186+ก.พ.!J185+มี.ค.!J185</f>
        <v>0</v>
      </c>
      <c r="K186" s="267">
        <f>+ม.ค.!K186+ก.พ.!K185+มี.ค.!K185</f>
        <v>0</v>
      </c>
      <c r="L186" s="267">
        <f>+ม.ค.!L186+ก.พ.!L185+มี.ค.!L185</f>
        <v>0</v>
      </c>
      <c r="M186" s="267">
        <f>+ม.ค.!M186+ก.พ.!M185+มี.ค.!M185</f>
        <v>0</v>
      </c>
      <c r="N186" s="267">
        <f>+ม.ค.!N186+ก.พ.!N185+มี.ค.!N185</f>
        <v>0</v>
      </c>
      <c r="O186" s="267">
        <f>+ม.ค.!O186+ก.พ.!O185+มี.ค.!O185</f>
        <v>0</v>
      </c>
      <c r="P186" s="267">
        <f>+ม.ค.!P186+ก.พ.!P185+มี.ค.!P185</f>
        <v>0</v>
      </c>
      <c r="Q186" s="267">
        <f>+ม.ค.!Q186+ก.พ.!Q185+มี.ค.!Q185</f>
        <v>0</v>
      </c>
      <c r="R186" s="267">
        <f>+ม.ค.!R186+ก.พ.!R185+มี.ค.!R185</f>
        <v>0</v>
      </c>
      <c r="S186" s="267">
        <f>+ม.ค.!S186+ก.พ.!S185+มี.ค.!S185</f>
        <v>0</v>
      </c>
      <c r="T186" s="267"/>
      <c r="U186" s="267">
        <f>+ม.ค.!U186+ก.พ.!U185+มี.ค.!U185</f>
        <v>0</v>
      </c>
      <c r="V186" s="267">
        <f>+ม.ค.!V186+ก.พ.!V185+มี.ค.!V185</f>
        <v>0</v>
      </c>
    </row>
    <row r="187" spans="1:23" ht="25.5" customHeight="1">
      <c r="A187" s="9"/>
      <c r="B187" s="130" t="s">
        <v>15</v>
      </c>
      <c r="C187" s="216">
        <f>40000+15000+15000+40000</f>
        <v>110000</v>
      </c>
      <c r="D187" s="195"/>
      <c r="E187" s="267">
        <f>+ม.ค.!E187+ก.พ.!E186+มี.ค.!E186</f>
        <v>2386</v>
      </c>
      <c r="F187" s="267">
        <f>+ม.ค.!F187+ก.พ.!F186+มี.ค.!F186</f>
        <v>7725</v>
      </c>
      <c r="G187" s="267">
        <f>+ม.ค.!G187+ก.พ.!G186+มี.ค.!G186</f>
        <v>0</v>
      </c>
      <c r="H187" s="267">
        <f>+ม.ค.!H187+ก.พ.!H186+มี.ค.!H186</f>
        <v>0</v>
      </c>
      <c r="I187" s="267">
        <f>+ม.ค.!I187+ก.พ.!I186+มี.ค.!I186</f>
        <v>0</v>
      </c>
      <c r="J187" s="267">
        <f>+ม.ค.!J187+ก.พ.!J186+มี.ค.!J186</f>
        <v>0</v>
      </c>
      <c r="K187" s="267">
        <f>+ม.ค.!K187+ก.พ.!K186+มี.ค.!K186</f>
        <v>0</v>
      </c>
      <c r="L187" s="267">
        <f>+ม.ค.!L187+ก.พ.!L186+มี.ค.!L186</f>
        <v>0</v>
      </c>
      <c r="M187" s="267">
        <f>+ม.ค.!M187+ก.พ.!M186+มี.ค.!M186</f>
        <v>0</v>
      </c>
      <c r="N187" s="267">
        <f>+ม.ค.!N187+ก.พ.!N186+มี.ค.!N186</f>
        <v>0</v>
      </c>
      <c r="O187" s="267">
        <f>+ม.ค.!O187+ก.พ.!O186+มี.ค.!O186</f>
        <v>0</v>
      </c>
      <c r="P187" s="267">
        <f>+ม.ค.!P187+ก.พ.!P186+มี.ค.!P186</f>
        <v>0</v>
      </c>
      <c r="Q187" s="267">
        <f>+ม.ค.!Q187+ก.พ.!Q186+มี.ค.!Q186</f>
        <v>0</v>
      </c>
      <c r="R187" s="267">
        <f>+ม.ค.!R187+ก.พ.!R186+มี.ค.!R186</f>
        <v>0</v>
      </c>
      <c r="S187" s="267">
        <f>+ม.ค.!S187+ก.พ.!S186+มี.ค.!S186</f>
        <v>0</v>
      </c>
      <c r="T187" s="267"/>
      <c r="U187" s="267">
        <f>+ม.ค.!U187+ก.พ.!U186+มี.ค.!U186</f>
        <v>0</v>
      </c>
      <c r="V187" s="267">
        <f>+ม.ค.!V187+ก.พ.!V186+มี.ค.!V186</f>
        <v>0</v>
      </c>
    </row>
    <row r="188" spans="1:23" ht="25.5" customHeight="1">
      <c r="A188" s="9"/>
      <c r="B188" s="130" t="s">
        <v>303</v>
      </c>
      <c r="C188" s="216">
        <v>10000</v>
      </c>
      <c r="D188" s="195"/>
      <c r="E188" s="267">
        <f>+ม.ค.!E188+ก.พ.!E187+มี.ค.!E187</f>
        <v>0</v>
      </c>
      <c r="F188" s="267">
        <f>+ม.ค.!F188+ก.พ.!F187+มี.ค.!F187</f>
        <v>0</v>
      </c>
      <c r="G188" s="267">
        <f>+ม.ค.!G188+ก.พ.!G187+มี.ค.!G187</f>
        <v>0</v>
      </c>
      <c r="H188" s="267">
        <f>+ม.ค.!H188+ก.พ.!H187+มี.ค.!H187</f>
        <v>0</v>
      </c>
      <c r="I188" s="267">
        <f>+ม.ค.!I188+ก.พ.!I187+มี.ค.!I187</f>
        <v>0</v>
      </c>
      <c r="J188" s="267">
        <f>+ม.ค.!J188+ก.พ.!J187+มี.ค.!J187</f>
        <v>0</v>
      </c>
      <c r="K188" s="267">
        <f>+ม.ค.!K188+ก.พ.!K187+มี.ค.!K187</f>
        <v>0</v>
      </c>
      <c r="L188" s="267">
        <f>+ม.ค.!L188+ก.พ.!L187+มี.ค.!L187</f>
        <v>0</v>
      </c>
      <c r="M188" s="267">
        <f>+ม.ค.!M188+ก.พ.!M187+มี.ค.!M187</f>
        <v>0</v>
      </c>
      <c r="N188" s="267">
        <f>+ม.ค.!N188+ก.พ.!N187+มี.ค.!N187</f>
        <v>0</v>
      </c>
      <c r="O188" s="267">
        <f>+ม.ค.!O188+ก.พ.!O187+มี.ค.!O187</f>
        <v>0</v>
      </c>
      <c r="P188" s="267">
        <f>+ม.ค.!P188+ก.พ.!P187+มี.ค.!P187</f>
        <v>0</v>
      </c>
      <c r="Q188" s="267">
        <f>+ม.ค.!Q188+ก.พ.!Q187+มี.ค.!Q187</f>
        <v>0</v>
      </c>
      <c r="R188" s="267">
        <f>+ม.ค.!R188+ก.พ.!R187+มี.ค.!R187</f>
        <v>0</v>
      </c>
      <c r="S188" s="267">
        <f>+ม.ค.!S188+ก.พ.!S187+มี.ค.!S187</f>
        <v>0</v>
      </c>
      <c r="T188" s="267"/>
      <c r="U188" s="267">
        <f>+ม.ค.!U188+ก.พ.!U187+มี.ค.!U187</f>
        <v>0</v>
      </c>
      <c r="V188" s="267">
        <f>+ม.ค.!V188+ก.พ.!V187+มี.ค.!V187</f>
        <v>0</v>
      </c>
    </row>
    <row r="189" spans="1:23" ht="25.5" customHeight="1">
      <c r="A189" s="9"/>
      <c r="B189" s="130" t="s">
        <v>304</v>
      </c>
      <c r="C189" s="216">
        <f>5000+20000</f>
        <v>25000</v>
      </c>
      <c r="D189" s="195"/>
      <c r="E189" s="267">
        <f>+ม.ค.!E189+ก.พ.!E188+มี.ค.!E188</f>
        <v>0</v>
      </c>
      <c r="F189" s="267">
        <f>+ม.ค.!F189+ก.พ.!F188+มี.ค.!F188</f>
        <v>0</v>
      </c>
      <c r="G189" s="267">
        <f>+ม.ค.!G189+ก.พ.!G188+มี.ค.!G188</f>
        <v>0</v>
      </c>
      <c r="H189" s="267">
        <f>+ม.ค.!H189+ก.พ.!H188+มี.ค.!H188</f>
        <v>720</v>
      </c>
      <c r="I189" s="267">
        <f>+ม.ค.!I189+ก.พ.!I188+มี.ค.!I188</f>
        <v>0</v>
      </c>
      <c r="J189" s="267">
        <f>+ม.ค.!J189+ก.พ.!J188+มี.ค.!J188</f>
        <v>0</v>
      </c>
      <c r="K189" s="267">
        <f>+ม.ค.!K189+ก.พ.!K188+มี.ค.!K188</f>
        <v>0</v>
      </c>
      <c r="L189" s="267">
        <f>+ม.ค.!L189+ก.พ.!L188+มี.ค.!L188</f>
        <v>0</v>
      </c>
      <c r="M189" s="267">
        <f>+ม.ค.!M189+ก.พ.!M188+มี.ค.!M188</f>
        <v>0</v>
      </c>
      <c r="N189" s="267">
        <f>+ม.ค.!N189+ก.พ.!N188+มี.ค.!N188</f>
        <v>0</v>
      </c>
      <c r="O189" s="267">
        <f>+ม.ค.!O189+ก.พ.!O188+มี.ค.!O188</f>
        <v>0</v>
      </c>
      <c r="P189" s="267">
        <f>+ม.ค.!P189+ก.พ.!P188+มี.ค.!P188</f>
        <v>0</v>
      </c>
      <c r="Q189" s="267">
        <f>+ม.ค.!Q189+ก.พ.!Q188+มี.ค.!Q188</f>
        <v>0</v>
      </c>
      <c r="R189" s="267">
        <f>+ม.ค.!R189+ก.พ.!R188+มี.ค.!R188</f>
        <v>0</v>
      </c>
      <c r="S189" s="267">
        <f>+ม.ค.!S189+ก.พ.!S188+มี.ค.!S188</f>
        <v>0</v>
      </c>
      <c r="T189" s="267"/>
      <c r="U189" s="267">
        <f>+ม.ค.!U189+ก.พ.!U188+มี.ค.!U188</f>
        <v>0</v>
      </c>
      <c r="V189" s="267">
        <f>+ม.ค.!V189+ก.พ.!V188+มี.ค.!V188</f>
        <v>3920</v>
      </c>
    </row>
    <row r="190" spans="1:23" ht="25.5" customHeight="1">
      <c r="A190" s="9"/>
      <c r="B190" s="130" t="s">
        <v>332</v>
      </c>
      <c r="C190" s="216">
        <v>10000</v>
      </c>
      <c r="D190" s="195"/>
      <c r="E190" s="267">
        <f>+ม.ค.!E190+ก.พ.!E189+มี.ค.!E189</f>
        <v>0</v>
      </c>
      <c r="F190" s="267">
        <f>+ม.ค.!F190+ก.พ.!F189+มี.ค.!F189</f>
        <v>0</v>
      </c>
      <c r="G190" s="267">
        <f>+ม.ค.!G190+ก.พ.!G189+มี.ค.!G189</f>
        <v>0</v>
      </c>
      <c r="H190" s="267">
        <f>+ม.ค.!H190+ก.พ.!H189+มี.ค.!H189</f>
        <v>0</v>
      </c>
      <c r="I190" s="267">
        <f>+ม.ค.!I190+ก.พ.!I189+มี.ค.!I189</f>
        <v>0</v>
      </c>
      <c r="J190" s="267">
        <f>+ม.ค.!J190+ก.พ.!J189+มี.ค.!J189</f>
        <v>0</v>
      </c>
      <c r="K190" s="267">
        <f>+ม.ค.!K190+ก.พ.!K189+มี.ค.!K189</f>
        <v>0</v>
      </c>
      <c r="L190" s="267">
        <f>+ม.ค.!L190+ก.พ.!L189+มี.ค.!L189</f>
        <v>0</v>
      </c>
      <c r="M190" s="267">
        <f>+ม.ค.!M190+ก.พ.!M189+มี.ค.!M189</f>
        <v>0</v>
      </c>
      <c r="N190" s="267">
        <f>+ม.ค.!N190+ก.พ.!N189+มี.ค.!N189</f>
        <v>0</v>
      </c>
      <c r="O190" s="267">
        <f>+ม.ค.!O190+ก.พ.!O189+มี.ค.!O189</f>
        <v>0</v>
      </c>
      <c r="P190" s="267">
        <f>+ม.ค.!P190+ก.พ.!P189+มี.ค.!P189</f>
        <v>0</v>
      </c>
      <c r="Q190" s="267">
        <f>+ม.ค.!Q190+ก.พ.!Q189+มี.ค.!Q189</f>
        <v>0</v>
      </c>
      <c r="R190" s="267">
        <f>+ม.ค.!R190+ก.พ.!R189+มี.ค.!R189</f>
        <v>0</v>
      </c>
      <c r="S190" s="267">
        <f>+ม.ค.!S190+ก.พ.!S189+มี.ค.!S189</f>
        <v>0</v>
      </c>
      <c r="T190" s="267"/>
      <c r="U190" s="267">
        <f>+ม.ค.!U190+ก.พ.!U189+มี.ค.!U189</f>
        <v>0</v>
      </c>
      <c r="V190" s="267">
        <f>+ม.ค.!V190+ก.พ.!V189+มี.ค.!V189</f>
        <v>0</v>
      </c>
    </row>
    <row r="191" spans="1:23" ht="25.5" customHeight="1">
      <c r="A191" s="9"/>
      <c r="B191" s="130" t="s">
        <v>46</v>
      </c>
      <c r="C191" s="216">
        <v>80000</v>
      </c>
      <c r="D191" s="195"/>
      <c r="E191" s="267">
        <f>+ม.ค.!E191+ก.พ.!E190+มี.ค.!E190</f>
        <v>0</v>
      </c>
      <c r="F191" s="267">
        <f>+ม.ค.!F191+ก.พ.!F190+มี.ค.!F190</f>
        <v>0</v>
      </c>
      <c r="G191" s="267">
        <f>+ม.ค.!G191+ก.พ.!G190+มี.ค.!G190</f>
        <v>0</v>
      </c>
      <c r="H191" s="267">
        <f>+ม.ค.!H191+ก.พ.!H190+มี.ค.!H190</f>
        <v>0</v>
      </c>
      <c r="I191" s="267">
        <f>+ม.ค.!I191+ก.พ.!I190+มี.ค.!I190</f>
        <v>0</v>
      </c>
      <c r="J191" s="267">
        <f>+ม.ค.!J191+ก.พ.!J190+มี.ค.!J190</f>
        <v>0</v>
      </c>
      <c r="K191" s="267">
        <f>+ม.ค.!K191+ก.พ.!K190+มี.ค.!K190</f>
        <v>0</v>
      </c>
      <c r="L191" s="267">
        <f>+ม.ค.!L191+ก.พ.!L190+มี.ค.!L190</f>
        <v>0</v>
      </c>
      <c r="M191" s="267">
        <f>+ม.ค.!M191+ก.พ.!M190+มี.ค.!M190</f>
        <v>0</v>
      </c>
      <c r="N191" s="267">
        <f>+ม.ค.!N191+ก.พ.!N190+มี.ค.!N190</f>
        <v>0</v>
      </c>
      <c r="O191" s="267">
        <f>+ม.ค.!O191+ก.พ.!O190+มี.ค.!O190</f>
        <v>0</v>
      </c>
      <c r="P191" s="267">
        <f>+ม.ค.!P191+ก.พ.!P190+มี.ค.!P190</f>
        <v>0</v>
      </c>
      <c r="Q191" s="267">
        <f>+ม.ค.!Q191+ก.พ.!Q190+มี.ค.!Q190</f>
        <v>0</v>
      </c>
      <c r="R191" s="267">
        <f>+ม.ค.!R191+ก.พ.!R190+มี.ค.!R190</f>
        <v>0</v>
      </c>
      <c r="S191" s="267">
        <f>+ม.ค.!S191+ก.พ.!S190+มี.ค.!S190</f>
        <v>0</v>
      </c>
      <c r="T191" s="267"/>
      <c r="U191" s="267">
        <f>+ม.ค.!U191+ก.พ.!U190+มี.ค.!U190</f>
        <v>0</v>
      </c>
      <c r="V191" s="267">
        <f>+ม.ค.!V191+ก.พ.!V190+มี.ค.!V190</f>
        <v>0</v>
      </c>
    </row>
    <row r="192" spans="1:23" ht="25.5" customHeight="1">
      <c r="A192" s="9"/>
      <c r="B192" s="130" t="s">
        <v>316</v>
      </c>
      <c r="C192" s="216">
        <v>413900</v>
      </c>
      <c r="D192" s="131"/>
      <c r="E192" s="267">
        <f>+ม.ค.!E192+ก.พ.!E191+มี.ค.!E191</f>
        <v>0</v>
      </c>
      <c r="F192" s="267">
        <f>+ม.ค.!F192+ก.พ.!F191+มี.ค.!F191</f>
        <v>0</v>
      </c>
      <c r="G192" s="267">
        <f>+ม.ค.!G192+ก.พ.!G191+มี.ค.!G191</f>
        <v>0</v>
      </c>
      <c r="H192" s="267">
        <f>+ม.ค.!H192+ก.พ.!H191+มี.ค.!H191</f>
        <v>0</v>
      </c>
      <c r="I192" s="267">
        <f>+ม.ค.!I192+ก.พ.!I191+มี.ค.!I191</f>
        <v>171612.98</v>
      </c>
      <c r="J192" s="267">
        <f>+ม.ค.!J192+ก.พ.!J191+มี.ค.!J191</f>
        <v>0</v>
      </c>
      <c r="K192" s="267">
        <f>+ม.ค.!K192+ก.พ.!K191+มี.ค.!K191</f>
        <v>0</v>
      </c>
      <c r="L192" s="267">
        <f>+ม.ค.!L192+ก.พ.!L191+มี.ค.!L191</f>
        <v>0</v>
      </c>
      <c r="M192" s="267">
        <f>+ม.ค.!M192+ก.พ.!M191+มี.ค.!M191</f>
        <v>0</v>
      </c>
      <c r="N192" s="267">
        <f>+ม.ค.!N192+ก.พ.!N191+มี.ค.!N191</f>
        <v>0</v>
      </c>
      <c r="O192" s="267">
        <f>+ม.ค.!O192+ก.พ.!O191+มี.ค.!O191</f>
        <v>0</v>
      </c>
      <c r="P192" s="267">
        <f>+ม.ค.!P192+ก.พ.!P191+มี.ค.!P191</f>
        <v>0</v>
      </c>
      <c r="Q192" s="267">
        <f>+ม.ค.!Q192+ก.พ.!Q191+มี.ค.!Q191</f>
        <v>0</v>
      </c>
      <c r="R192" s="267">
        <f>+ม.ค.!R192+ก.พ.!R191+มี.ค.!R191</f>
        <v>0</v>
      </c>
      <c r="S192" s="267">
        <f>+ม.ค.!S192+ก.พ.!S191+มี.ค.!S191</f>
        <v>0</v>
      </c>
      <c r="T192" s="267"/>
      <c r="U192" s="267">
        <f>+ม.ค.!U192+ก.พ.!U191+มี.ค.!U191</f>
        <v>0</v>
      </c>
      <c r="V192" s="267">
        <f>+ม.ค.!V192+ก.พ.!V191+มี.ค.!V191</f>
        <v>0</v>
      </c>
    </row>
    <row r="193" spans="1:23" ht="25.5" customHeight="1">
      <c r="A193" s="9"/>
      <c r="B193" s="130" t="s">
        <v>317</v>
      </c>
      <c r="C193" s="290">
        <v>525039</v>
      </c>
      <c r="D193" s="133"/>
      <c r="E193" s="267">
        <f>+ม.ค.!E193+ก.พ.!E192+มี.ค.!E192</f>
        <v>0</v>
      </c>
      <c r="F193" s="267">
        <f>+ม.ค.!F193+ก.พ.!F192+มี.ค.!F192</f>
        <v>0</v>
      </c>
      <c r="G193" s="267">
        <f>+ม.ค.!G193+ก.พ.!G192+มี.ค.!G192</f>
        <v>0</v>
      </c>
      <c r="H193" s="267">
        <f>+ม.ค.!H193+ก.พ.!H192+มี.ค.!H192</f>
        <v>0</v>
      </c>
      <c r="I193" s="267">
        <f>+ม.ค.!I193+ก.พ.!I192+มี.ค.!I192</f>
        <v>0</v>
      </c>
      <c r="J193" s="267">
        <f>+ม.ค.!J193+ก.พ.!J192+มี.ค.!J192</f>
        <v>0</v>
      </c>
      <c r="K193" s="267">
        <f>+ม.ค.!K193+ก.พ.!K192+มี.ค.!K192</f>
        <v>0</v>
      </c>
      <c r="L193" s="267">
        <f>+ม.ค.!L193+ก.พ.!L192+มี.ค.!L192</f>
        <v>0</v>
      </c>
      <c r="M193" s="267">
        <f>+ม.ค.!M193+ก.พ.!M192+มี.ค.!M192</f>
        <v>0</v>
      </c>
      <c r="N193" s="267">
        <f>+ม.ค.!N193+ก.พ.!N192+มี.ค.!N192</f>
        <v>0</v>
      </c>
      <c r="O193" s="267">
        <f>+ม.ค.!O193+ก.พ.!O192+มี.ค.!O192</f>
        <v>0</v>
      </c>
      <c r="P193" s="267">
        <f>+ม.ค.!P193+ก.พ.!P192+มี.ค.!P192</f>
        <v>0</v>
      </c>
      <c r="Q193" s="267">
        <f>+ม.ค.!Q193+ก.พ.!Q192+มี.ค.!Q192</f>
        <v>0</v>
      </c>
      <c r="R193" s="267">
        <f>+ม.ค.!R193+ก.พ.!R192+มี.ค.!R192</f>
        <v>0</v>
      </c>
      <c r="S193" s="267">
        <f>+ม.ค.!S193+ก.พ.!S192+มี.ค.!S192</f>
        <v>0</v>
      </c>
      <c r="T193" s="267"/>
      <c r="U193" s="267">
        <f>+ม.ค.!U193+ก.พ.!U192+มี.ค.!U192</f>
        <v>0</v>
      </c>
      <c r="V193" s="267">
        <f>+ม.ค.!V193+ก.พ.!V192+มี.ค.!V192</f>
        <v>0</v>
      </c>
    </row>
    <row r="194" spans="1:23" ht="25.5" customHeight="1">
      <c r="A194" s="9"/>
      <c r="B194" s="130" t="s">
        <v>318</v>
      </c>
      <c r="C194" s="216">
        <v>277849</v>
      </c>
      <c r="D194" s="133"/>
      <c r="E194" s="267">
        <f>+ม.ค.!E194+ก.พ.!E193+มี.ค.!E193</f>
        <v>0</v>
      </c>
      <c r="F194" s="267">
        <f>+ม.ค.!F194+ก.พ.!F193+มี.ค.!F193</f>
        <v>0</v>
      </c>
      <c r="G194" s="267">
        <f>+ม.ค.!G194+ก.พ.!G193+มี.ค.!G193</f>
        <v>0</v>
      </c>
      <c r="H194" s="267">
        <f>+ม.ค.!H194+ก.พ.!H193+มี.ค.!H193</f>
        <v>0</v>
      </c>
      <c r="I194" s="267">
        <f>+ม.ค.!I194+ก.พ.!I193+มี.ค.!I193</f>
        <v>0</v>
      </c>
      <c r="J194" s="267">
        <f>+ม.ค.!J194+ก.พ.!J193+มี.ค.!J193</f>
        <v>0</v>
      </c>
      <c r="K194" s="267">
        <f>+ม.ค.!K194+ก.พ.!K193+มี.ค.!K193</f>
        <v>0</v>
      </c>
      <c r="L194" s="267">
        <f>+ม.ค.!L194+ก.พ.!L193+มี.ค.!L193</f>
        <v>0</v>
      </c>
      <c r="M194" s="267">
        <f>+ม.ค.!M194+ก.พ.!M193+มี.ค.!M193</f>
        <v>0</v>
      </c>
      <c r="N194" s="267">
        <f>+ม.ค.!N194+ก.พ.!N193+มี.ค.!N193</f>
        <v>0</v>
      </c>
      <c r="O194" s="267">
        <f>+ม.ค.!O194+ก.พ.!O193+มี.ค.!O193</f>
        <v>0</v>
      </c>
      <c r="P194" s="267">
        <f>+ม.ค.!P194+ก.พ.!P193+มี.ค.!P193</f>
        <v>0</v>
      </c>
      <c r="Q194" s="267">
        <f>+ม.ค.!Q194+ก.พ.!Q193+มี.ค.!Q193</f>
        <v>0</v>
      </c>
      <c r="R194" s="267">
        <f>+ม.ค.!R194+ก.พ.!R193+มี.ค.!R193</f>
        <v>0</v>
      </c>
      <c r="S194" s="267">
        <f>+ม.ค.!S194+ก.พ.!S193+มี.ค.!S193</f>
        <v>0</v>
      </c>
      <c r="T194" s="267"/>
      <c r="U194" s="267">
        <f>+ม.ค.!U194+ก.พ.!U193+มี.ค.!U193</f>
        <v>0</v>
      </c>
      <c r="V194" s="267">
        <f>+ม.ค.!V194+ก.พ.!V193+มี.ค.!V193</f>
        <v>0</v>
      </c>
    </row>
    <row r="195" spans="1:23" ht="25.5" customHeight="1">
      <c r="A195" s="9"/>
      <c r="B195" s="185" t="s">
        <v>319</v>
      </c>
      <c r="C195" s="216">
        <v>153296</v>
      </c>
      <c r="D195" s="133"/>
      <c r="E195" s="267">
        <f>+ม.ค.!E195+ก.พ.!E194+มี.ค.!E194</f>
        <v>0</v>
      </c>
      <c r="F195" s="267">
        <f>+ม.ค.!F195+ก.พ.!F194+มี.ค.!F194</f>
        <v>0</v>
      </c>
      <c r="G195" s="267">
        <f>+ม.ค.!G195+ก.พ.!G194+มี.ค.!G194</f>
        <v>0</v>
      </c>
      <c r="H195" s="267">
        <f>+ม.ค.!H195+ก.พ.!H194+มี.ค.!H194</f>
        <v>0</v>
      </c>
      <c r="I195" s="267">
        <f>+ม.ค.!I195+ก.พ.!I194+มี.ค.!I194</f>
        <v>54614</v>
      </c>
      <c r="J195" s="267">
        <f>+ม.ค.!J195+ก.พ.!J194+มี.ค.!J194</f>
        <v>0</v>
      </c>
      <c r="K195" s="267">
        <f>+ม.ค.!K195+ก.พ.!K194+มี.ค.!K194</f>
        <v>0</v>
      </c>
      <c r="L195" s="267">
        <f>+ม.ค.!L195+ก.พ.!L194+มี.ค.!L194</f>
        <v>0</v>
      </c>
      <c r="M195" s="267">
        <f>+ม.ค.!M195+ก.พ.!M194+มี.ค.!M194</f>
        <v>0</v>
      </c>
      <c r="N195" s="267">
        <f>+ม.ค.!N195+ก.พ.!N194+มี.ค.!N194</f>
        <v>0</v>
      </c>
      <c r="O195" s="267">
        <f>+ม.ค.!O195+ก.พ.!O194+มี.ค.!O194</f>
        <v>0</v>
      </c>
      <c r="P195" s="267">
        <f>+ม.ค.!P195+ก.พ.!P194+มี.ค.!P194</f>
        <v>0</v>
      </c>
      <c r="Q195" s="267">
        <f>+ม.ค.!Q195+ก.พ.!Q194+มี.ค.!Q194</f>
        <v>0</v>
      </c>
      <c r="R195" s="267">
        <f>+ม.ค.!R195+ก.พ.!R194+มี.ค.!R194</f>
        <v>0</v>
      </c>
      <c r="S195" s="267">
        <f>+ม.ค.!S195+ก.พ.!S194+มี.ค.!S194</f>
        <v>0</v>
      </c>
      <c r="T195" s="267"/>
      <c r="U195" s="267">
        <f>+ม.ค.!U195+ก.พ.!U194+มี.ค.!U194</f>
        <v>0</v>
      </c>
      <c r="V195" s="267">
        <f>+ม.ค.!V195+ก.พ.!V194+มี.ค.!V194</f>
        <v>0</v>
      </c>
    </row>
    <row r="196" spans="1:23" ht="25.5" customHeight="1">
      <c r="A196" s="9"/>
      <c r="B196" s="185" t="s">
        <v>320</v>
      </c>
      <c r="C196" s="216">
        <v>78565</v>
      </c>
      <c r="D196" s="133"/>
      <c r="E196" s="267">
        <f>+ม.ค.!E196+ก.พ.!E195+มี.ค.!E195</f>
        <v>0</v>
      </c>
      <c r="F196" s="267">
        <f>+ม.ค.!F196+ก.พ.!F195+มี.ค.!F195</f>
        <v>0</v>
      </c>
      <c r="G196" s="267">
        <f>+ม.ค.!G196+ก.พ.!G195+มี.ค.!G195</f>
        <v>0</v>
      </c>
      <c r="H196" s="267">
        <f>+ม.ค.!H196+ก.พ.!H195+มี.ค.!H195</f>
        <v>0</v>
      </c>
      <c r="I196" s="267">
        <f>+ม.ค.!I196+ก.พ.!I195+มี.ค.!I195</f>
        <v>0</v>
      </c>
      <c r="J196" s="267">
        <f>+ม.ค.!J196+ก.พ.!J195+มี.ค.!J195</f>
        <v>0</v>
      </c>
      <c r="K196" s="267">
        <f>+ม.ค.!K196+ก.พ.!K195+มี.ค.!K195</f>
        <v>0</v>
      </c>
      <c r="L196" s="267">
        <f>+ม.ค.!L196+ก.พ.!L195+มี.ค.!L195</f>
        <v>0</v>
      </c>
      <c r="M196" s="267">
        <f>+ม.ค.!M196+ก.พ.!M195+มี.ค.!M195</f>
        <v>0</v>
      </c>
      <c r="N196" s="267">
        <f>+ม.ค.!N196+ก.พ.!N195+มี.ค.!N195</f>
        <v>0</v>
      </c>
      <c r="O196" s="267">
        <f>+ม.ค.!O196+ก.พ.!O195+มี.ค.!O195</f>
        <v>0</v>
      </c>
      <c r="P196" s="267">
        <f>+ม.ค.!P196+ก.พ.!P195+มี.ค.!P195</f>
        <v>0</v>
      </c>
      <c r="Q196" s="267">
        <f>+ม.ค.!Q196+ก.พ.!Q195+มี.ค.!Q195</f>
        <v>0</v>
      </c>
      <c r="R196" s="267">
        <f>+ม.ค.!R196+ก.พ.!R195+มี.ค.!R195</f>
        <v>0</v>
      </c>
      <c r="S196" s="267">
        <f>+ม.ค.!S196+ก.พ.!S195+มี.ค.!S195</f>
        <v>0</v>
      </c>
      <c r="T196" s="267"/>
      <c r="U196" s="267">
        <f>+ม.ค.!U196+ก.พ.!U195+มี.ค.!U195</f>
        <v>0</v>
      </c>
      <c r="V196" s="267">
        <f>+ม.ค.!V196+ก.พ.!V195+มี.ค.!V195</f>
        <v>0</v>
      </c>
    </row>
    <row r="197" spans="1:23" ht="25.5" customHeight="1">
      <c r="A197" s="9"/>
      <c r="B197" s="185" t="s">
        <v>321</v>
      </c>
      <c r="C197" s="216">
        <v>90062</v>
      </c>
      <c r="D197" s="133"/>
      <c r="E197" s="267">
        <f>+ม.ค.!E197+ก.พ.!E196+มี.ค.!E196</f>
        <v>0</v>
      </c>
      <c r="F197" s="267">
        <f>+ม.ค.!F197+ก.พ.!F196+มี.ค.!F196</f>
        <v>0</v>
      </c>
      <c r="G197" s="267">
        <f>+ม.ค.!G197+ก.พ.!G196+มี.ค.!G196</f>
        <v>0</v>
      </c>
      <c r="H197" s="267">
        <f>+ม.ค.!H197+ก.พ.!H196+มี.ค.!H196</f>
        <v>0</v>
      </c>
      <c r="I197" s="267">
        <f>+ม.ค.!I197+ก.พ.!I196+มี.ค.!I196</f>
        <v>0</v>
      </c>
      <c r="J197" s="267">
        <f>+ม.ค.!J197+ก.พ.!J196+มี.ค.!J196</f>
        <v>0</v>
      </c>
      <c r="K197" s="267">
        <f>+ม.ค.!K197+ก.พ.!K196+มี.ค.!K196</f>
        <v>0</v>
      </c>
      <c r="L197" s="267">
        <f>+ม.ค.!L197+ก.พ.!L196+มี.ค.!L196</f>
        <v>0</v>
      </c>
      <c r="M197" s="267">
        <f>+ม.ค.!M197+ก.พ.!M196+มี.ค.!M196</f>
        <v>0</v>
      </c>
      <c r="N197" s="267">
        <f>+ม.ค.!N197+ก.พ.!N196+มี.ค.!N196</f>
        <v>0</v>
      </c>
      <c r="O197" s="267">
        <f>+ม.ค.!O197+ก.พ.!O196+มี.ค.!O196</f>
        <v>0</v>
      </c>
      <c r="P197" s="267">
        <f>+ม.ค.!P197+ก.พ.!P196+มี.ค.!P196</f>
        <v>0</v>
      </c>
      <c r="Q197" s="267">
        <f>+ม.ค.!Q197+ก.พ.!Q196+มี.ค.!Q196</f>
        <v>0</v>
      </c>
      <c r="R197" s="267">
        <f>+ม.ค.!R197+ก.พ.!R196+มี.ค.!R196</f>
        <v>0</v>
      </c>
      <c r="S197" s="267">
        <f>+ม.ค.!S197+ก.พ.!S196+มี.ค.!S196</f>
        <v>0</v>
      </c>
      <c r="T197" s="267"/>
      <c r="U197" s="267">
        <f>+ม.ค.!U197+ก.พ.!U196+มี.ค.!U196</f>
        <v>0</v>
      </c>
      <c r="V197" s="267">
        <f>+ม.ค.!V197+ก.พ.!V196+มี.ค.!V196</f>
        <v>0</v>
      </c>
    </row>
    <row r="198" spans="1:23" ht="25.5" customHeight="1">
      <c r="A198" s="165"/>
      <c r="B198" s="185" t="s">
        <v>322</v>
      </c>
      <c r="C198" s="216">
        <v>67067</v>
      </c>
      <c r="D198" s="133"/>
      <c r="E198" s="267">
        <f>+ม.ค.!E198+ก.พ.!E197+มี.ค.!E197</f>
        <v>0</v>
      </c>
      <c r="F198" s="267">
        <f>+ม.ค.!F198+ก.พ.!F197+มี.ค.!F197</f>
        <v>0</v>
      </c>
      <c r="G198" s="267">
        <f>+ม.ค.!G198+ก.พ.!G197+มี.ค.!G197</f>
        <v>0</v>
      </c>
      <c r="H198" s="267">
        <f>+ม.ค.!H198+ก.พ.!H197+มี.ค.!H197</f>
        <v>0</v>
      </c>
      <c r="I198" s="267">
        <f>+ม.ค.!I198+ก.พ.!I197+มี.ค.!I197</f>
        <v>0</v>
      </c>
      <c r="J198" s="267">
        <f>+ม.ค.!J198+ก.พ.!J197+มี.ค.!J197</f>
        <v>0</v>
      </c>
      <c r="K198" s="267">
        <f>+ม.ค.!K198+ก.พ.!K197+มี.ค.!K197</f>
        <v>0</v>
      </c>
      <c r="L198" s="267">
        <f>+ม.ค.!L198+ก.พ.!L197+มี.ค.!L197</f>
        <v>0</v>
      </c>
      <c r="M198" s="267">
        <f>+ม.ค.!M198+ก.พ.!M197+มี.ค.!M197</f>
        <v>0</v>
      </c>
      <c r="N198" s="267">
        <f>+ม.ค.!N198+ก.พ.!N197+มี.ค.!N197</f>
        <v>0</v>
      </c>
      <c r="O198" s="267">
        <f>+ม.ค.!O198+ก.พ.!O197+มี.ค.!O197</f>
        <v>0</v>
      </c>
      <c r="P198" s="267">
        <f>+ม.ค.!P198+ก.พ.!P197+มี.ค.!P197</f>
        <v>0</v>
      </c>
      <c r="Q198" s="267">
        <f>+ม.ค.!Q198+ก.พ.!Q197+มี.ค.!Q197</f>
        <v>0</v>
      </c>
      <c r="R198" s="267">
        <f>+ม.ค.!R198+ก.พ.!R197+มี.ค.!R197</f>
        <v>0</v>
      </c>
      <c r="S198" s="267">
        <f>+ม.ค.!S198+ก.พ.!S197+มี.ค.!S197</f>
        <v>0</v>
      </c>
      <c r="T198" s="267"/>
      <c r="U198" s="267">
        <f>+ม.ค.!U198+ก.พ.!U197+มี.ค.!U197</f>
        <v>0</v>
      </c>
      <c r="V198" s="267">
        <f>+ม.ค.!V198+ก.พ.!V197+มี.ค.!V197</f>
        <v>0</v>
      </c>
    </row>
    <row r="199" spans="1:23" ht="25.5" customHeight="1">
      <c r="A199" s="9"/>
      <c r="B199" s="185"/>
      <c r="C199" s="216"/>
      <c r="D199" s="133"/>
      <c r="E199" s="269"/>
      <c r="F199" s="136"/>
      <c r="G199" s="136"/>
      <c r="H199" s="136"/>
      <c r="I199" s="133"/>
      <c r="J199" s="133"/>
      <c r="K199" s="133"/>
      <c r="L199" s="133"/>
      <c r="M199" s="136"/>
      <c r="N199" s="133"/>
      <c r="O199" s="133"/>
      <c r="P199" s="133"/>
      <c r="Q199" s="133"/>
      <c r="R199" s="217"/>
      <c r="S199" s="219"/>
      <c r="T199" s="219"/>
      <c r="U199" s="217"/>
      <c r="V199" s="217"/>
    </row>
    <row r="200" spans="1:23" ht="25.5" customHeight="1">
      <c r="A200" s="9"/>
      <c r="B200" s="185"/>
      <c r="C200" s="216"/>
      <c r="D200" s="133"/>
      <c r="E200" s="269"/>
      <c r="F200" s="136"/>
      <c r="G200" s="136"/>
      <c r="H200" s="136"/>
      <c r="I200" s="133"/>
      <c r="J200" s="133"/>
      <c r="K200" s="133"/>
      <c r="L200" s="133"/>
      <c r="M200" s="136"/>
      <c r="N200" s="133"/>
      <c r="O200" s="133"/>
      <c r="P200" s="133"/>
      <c r="Q200" s="133"/>
      <c r="R200" s="217"/>
      <c r="S200" s="219"/>
      <c r="T200" s="219"/>
      <c r="U200" s="217"/>
      <c r="V200" s="217"/>
    </row>
    <row r="201" spans="1:23" ht="25.5" customHeight="1">
      <c r="A201" s="9"/>
      <c r="B201" s="185"/>
      <c r="C201" s="216"/>
      <c r="D201" s="133"/>
      <c r="E201" s="269"/>
      <c r="F201" s="136"/>
      <c r="G201" s="136"/>
      <c r="H201" s="136"/>
      <c r="I201" s="133"/>
      <c r="J201" s="133"/>
      <c r="K201" s="133"/>
      <c r="L201" s="133"/>
      <c r="M201" s="136"/>
      <c r="N201" s="133"/>
      <c r="O201" s="133"/>
      <c r="P201" s="133"/>
      <c r="Q201" s="133"/>
      <c r="R201" s="217"/>
      <c r="S201" s="219"/>
      <c r="T201" s="219"/>
      <c r="U201" s="217"/>
      <c r="V201" s="217"/>
    </row>
    <row r="202" spans="1:23" ht="25.5" customHeight="1">
      <c r="A202" s="9"/>
      <c r="B202" s="130"/>
      <c r="C202" s="216"/>
      <c r="D202" s="133"/>
      <c r="E202" s="269"/>
      <c r="F202" s="136"/>
      <c r="G202" s="136"/>
      <c r="H202" s="136"/>
      <c r="I202" s="133"/>
      <c r="J202" s="133"/>
      <c r="K202" s="133"/>
      <c r="L202" s="133"/>
      <c r="M202" s="136"/>
      <c r="N202" s="133"/>
      <c r="O202" s="133"/>
      <c r="P202" s="133"/>
      <c r="Q202" s="133"/>
      <c r="R202" s="217"/>
      <c r="S202" s="219"/>
      <c r="T202" s="219"/>
      <c r="U202" s="217"/>
      <c r="V202" s="217"/>
    </row>
    <row r="203" spans="1:23" ht="25.5" customHeight="1">
      <c r="A203" s="197"/>
      <c r="B203" s="198"/>
      <c r="C203" s="216"/>
      <c r="D203" s="133"/>
      <c r="E203" s="269"/>
      <c r="F203" s="136"/>
      <c r="G203" s="136"/>
      <c r="H203" s="136"/>
      <c r="I203" s="133"/>
      <c r="J203" s="133"/>
      <c r="K203" s="133"/>
      <c r="L203" s="133"/>
      <c r="M203" s="136"/>
      <c r="N203" s="133"/>
      <c r="O203" s="133"/>
      <c r="P203" s="133"/>
      <c r="Q203" s="133"/>
      <c r="R203" s="217"/>
      <c r="S203" s="219"/>
      <c r="T203" s="219"/>
      <c r="U203" s="217"/>
      <c r="V203" s="217"/>
    </row>
    <row r="204" spans="1:23" ht="25.5" customHeight="1" thickBot="1">
      <c r="A204" s="46"/>
      <c r="B204" s="47" t="s">
        <v>5</v>
      </c>
      <c r="C204" s="170">
        <f>SUM(C178:C203)</f>
        <v>2563778</v>
      </c>
      <c r="D204" s="255">
        <f>SUM(D178:D203)</f>
        <v>0</v>
      </c>
      <c r="E204" s="254">
        <f>SUM(E178:E203)</f>
        <v>94662.8</v>
      </c>
      <c r="F204" s="254">
        <f>SUM(F178:F203)</f>
        <v>31562.400000000001</v>
      </c>
      <c r="G204" s="254">
        <f t="shared" ref="G204:V204" si="5">SUM(G178:G203)</f>
        <v>0</v>
      </c>
      <c r="H204" s="254">
        <f>SUM(H178:H203)</f>
        <v>20931</v>
      </c>
      <c r="I204" s="255">
        <f>SUM(I178:I203)</f>
        <v>226226.98</v>
      </c>
      <c r="J204" s="255">
        <f t="shared" si="5"/>
        <v>0</v>
      </c>
      <c r="K204" s="255">
        <f t="shared" si="5"/>
        <v>0</v>
      </c>
      <c r="L204" s="255">
        <f t="shared" si="5"/>
        <v>0</v>
      </c>
      <c r="M204" s="254">
        <f>SUM(M178:M203)</f>
        <v>3389.9</v>
      </c>
      <c r="N204" s="255">
        <f t="shared" si="5"/>
        <v>78500</v>
      </c>
      <c r="O204" s="255">
        <f t="shared" si="5"/>
        <v>0</v>
      </c>
      <c r="P204" s="255">
        <f t="shared" si="5"/>
        <v>0</v>
      </c>
      <c r="Q204" s="255">
        <f t="shared" si="5"/>
        <v>0</v>
      </c>
      <c r="R204" s="255">
        <f t="shared" si="5"/>
        <v>0</v>
      </c>
      <c r="S204" s="255">
        <f t="shared" si="5"/>
        <v>0</v>
      </c>
      <c r="T204" s="255"/>
      <c r="U204" s="255">
        <f t="shared" si="5"/>
        <v>0</v>
      </c>
      <c r="V204" s="255">
        <f t="shared" si="5"/>
        <v>3920</v>
      </c>
      <c r="W204" s="314">
        <f>SUM(D204:V204)</f>
        <v>459193.08000000007</v>
      </c>
    </row>
    <row r="205" spans="1:23" ht="25.5" customHeight="1" thickTop="1">
      <c r="A205" s="5" t="s">
        <v>114</v>
      </c>
      <c r="B205" s="6"/>
      <c r="C205" s="190"/>
      <c r="D205" s="133"/>
      <c r="E205" s="269"/>
      <c r="F205" s="136"/>
      <c r="G205" s="136"/>
      <c r="H205" s="136"/>
      <c r="I205" s="133"/>
      <c r="J205" s="133"/>
      <c r="K205" s="133"/>
      <c r="L205" s="133"/>
      <c r="M205" s="136"/>
      <c r="N205" s="133"/>
      <c r="O205" s="133"/>
      <c r="P205" s="133"/>
      <c r="Q205" s="133"/>
      <c r="R205" s="258"/>
      <c r="S205" s="259"/>
      <c r="T205" s="259"/>
      <c r="U205" s="258"/>
      <c r="V205" s="258"/>
    </row>
    <row r="206" spans="1:23" ht="25.5" customHeight="1">
      <c r="A206" s="9"/>
      <c r="B206" s="130" t="s">
        <v>20</v>
      </c>
      <c r="C206" s="216">
        <f>240000+35000</f>
        <v>275000</v>
      </c>
      <c r="D206" s="261"/>
      <c r="E206" s="269">
        <f>+ม.ค.!E206+ก.พ.!E205+มี.ค.!E205</f>
        <v>54924.27</v>
      </c>
      <c r="F206" s="269">
        <f>+ม.ค.!F206+ก.พ.!F205+มี.ค.!F205</f>
        <v>0</v>
      </c>
      <c r="G206" s="269">
        <f>+ม.ค.!G206+ก.พ.!G205+มี.ค.!G205</f>
        <v>0</v>
      </c>
      <c r="H206" s="269">
        <f>+ม.ค.!H206+ก.พ.!H205+มี.ค.!H205</f>
        <v>10268.040000000001</v>
      </c>
      <c r="I206" s="269">
        <f>+ม.ค.!I206+ก.พ.!I205+มี.ค.!I205</f>
        <v>0</v>
      </c>
      <c r="J206" s="269">
        <f>+ม.ค.!J206+ก.พ.!J205+มี.ค.!J205</f>
        <v>0</v>
      </c>
      <c r="K206" s="269">
        <f>+ม.ค.!K206+ก.พ.!K205+มี.ค.!K205</f>
        <v>0</v>
      </c>
      <c r="L206" s="269">
        <f>+ม.ค.!L206+ก.พ.!L205+มี.ค.!L205</f>
        <v>0</v>
      </c>
      <c r="M206" s="269">
        <f>+ม.ค.!M206+ก.พ.!M205+มี.ค.!M205</f>
        <v>0</v>
      </c>
      <c r="N206" s="269">
        <f>+ม.ค.!N206+ก.พ.!N205+มี.ค.!N205</f>
        <v>0</v>
      </c>
      <c r="O206" s="269">
        <f>+ม.ค.!O206+ก.พ.!O205+มี.ค.!O205</f>
        <v>0</v>
      </c>
      <c r="P206" s="269">
        <f>+ม.ค.!P206+ก.พ.!P205+มี.ค.!P205</f>
        <v>0</v>
      </c>
      <c r="Q206" s="269">
        <f>+ม.ค.!Q206+ก.พ.!Q205+มี.ค.!Q205</f>
        <v>0</v>
      </c>
      <c r="R206" s="269">
        <f>+ม.ค.!R206+ก.พ.!R205+มี.ค.!R205</f>
        <v>0</v>
      </c>
      <c r="S206" s="269">
        <f>+ม.ค.!S206+ก.พ.!S205+มี.ค.!S205</f>
        <v>0</v>
      </c>
      <c r="T206" s="269"/>
      <c r="U206" s="269">
        <f>+ม.ค.!U206+ก.พ.!U205+มี.ค.!U205</f>
        <v>0</v>
      </c>
      <c r="V206" s="269">
        <f>+ม.ค.!V206+ก.พ.!V205+มี.ค.!V205</f>
        <v>0</v>
      </c>
    </row>
    <row r="207" spans="1:23" ht="25.5" customHeight="1">
      <c r="A207" s="9"/>
      <c r="B207" s="130" t="s">
        <v>283</v>
      </c>
      <c r="C207" s="216">
        <f>100000+12000</f>
        <v>112000</v>
      </c>
      <c r="D207" s="261"/>
      <c r="E207" s="269">
        <f>+ม.ค.!E207+ก.พ.!E206+มี.ค.!E206</f>
        <v>21370.48</v>
      </c>
      <c r="F207" s="269">
        <f>+ม.ค.!F207+ก.พ.!F206+มี.ค.!F206</f>
        <v>0</v>
      </c>
      <c r="G207" s="269">
        <f>+ม.ค.!G207+ก.พ.!G206+มี.ค.!G206</f>
        <v>0</v>
      </c>
      <c r="H207" s="269">
        <f>+ม.ค.!H207+ก.พ.!H206+มี.ค.!H206</f>
        <v>3000</v>
      </c>
      <c r="I207" s="269">
        <f>+ม.ค.!I207+ก.พ.!I206+มี.ค.!I206</f>
        <v>0</v>
      </c>
      <c r="J207" s="269">
        <f>+ม.ค.!J207+ก.พ.!J206+มี.ค.!J206</f>
        <v>0</v>
      </c>
      <c r="K207" s="269">
        <f>+ม.ค.!K207+ก.พ.!K206+มี.ค.!K206</f>
        <v>0</v>
      </c>
      <c r="L207" s="269">
        <f>+ม.ค.!L207+ก.พ.!L206+มี.ค.!L206</f>
        <v>0</v>
      </c>
      <c r="M207" s="269">
        <f>+ม.ค.!M207+ก.พ.!M206+มี.ค.!M206</f>
        <v>0</v>
      </c>
      <c r="N207" s="269">
        <f>+ม.ค.!N207+ก.พ.!N206+มี.ค.!N206</f>
        <v>0</v>
      </c>
      <c r="O207" s="269">
        <f>+ม.ค.!O207+ก.พ.!O206+มี.ค.!O206</f>
        <v>0</v>
      </c>
      <c r="P207" s="269">
        <f>+ม.ค.!P207+ก.พ.!P206+มี.ค.!P206</f>
        <v>0</v>
      </c>
      <c r="Q207" s="269">
        <f>+ม.ค.!Q207+ก.พ.!Q206+มี.ค.!Q206</f>
        <v>0</v>
      </c>
      <c r="R207" s="269">
        <f>+ม.ค.!R207+ก.พ.!R206+มี.ค.!R206</f>
        <v>0</v>
      </c>
      <c r="S207" s="269">
        <f>+ม.ค.!S207+ก.พ.!S206+มี.ค.!S206</f>
        <v>0</v>
      </c>
      <c r="T207" s="269"/>
      <c r="U207" s="269">
        <f>+ม.ค.!U207+ก.พ.!U206+มี.ค.!U206</f>
        <v>0</v>
      </c>
      <c r="V207" s="269">
        <f>+ม.ค.!V207+ก.พ.!V206+มี.ค.!V206</f>
        <v>0</v>
      </c>
    </row>
    <row r="208" spans="1:23" ht="25.5" customHeight="1">
      <c r="A208" s="9"/>
      <c r="B208" s="130" t="s">
        <v>284</v>
      </c>
      <c r="C208" s="216">
        <v>15000</v>
      </c>
      <c r="D208" s="131"/>
      <c r="E208" s="269">
        <f>+ม.ค.!E208+ก.พ.!E207+มี.ค.!E207</f>
        <v>10790</v>
      </c>
      <c r="F208" s="269">
        <f>+ม.ค.!F208+ก.พ.!F207+มี.ค.!F207</f>
        <v>0</v>
      </c>
      <c r="G208" s="269">
        <f>+ม.ค.!G208+ก.พ.!G207+มี.ค.!G207</f>
        <v>0</v>
      </c>
      <c r="H208" s="269">
        <f>+ม.ค.!H208+ก.พ.!H207+มี.ค.!H207</f>
        <v>0</v>
      </c>
      <c r="I208" s="269">
        <f>+ม.ค.!I208+ก.พ.!I207+มี.ค.!I207</f>
        <v>0</v>
      </c>
      <c r="J208" s="269">
        <f>+ม.ค.!J208+ก.พ.!J207+มี.ค.!J207</f>
        <v>0</v>
      </c>
      <c r="K208" s="269">
        <f>+ม.ค.!K208+ก.พ.!K207+มี.ค.!K207</f>
        <v>0</v>
      </c>
      <c r="L208" s="269">
        <f>+ม.ค.!L208+ก.พ.!L207+มี.ค.!L207</f>
        <v>0</v>
      </c>
      <c r="M208" s="269">
        <f>+ม.ค.!M208+ก.พ.!M207+มี.ค.!M207</f>
        <v>0</v>
      </c>
      <c r="N208" s="269">
        <f>+ม.ค.!N208+ก.พ.!N207+มี.ค.!N207</f>
        <v>0</v>
      </c>
      <c r="O208" s="269">
        <f>+ม.ค.!O208+ก.พ.!O207+มี.ค.!O207</f>
        <v>0</v>
      </c>
      <c r="P208" s="269">
        <f>+ม.ค.!P208+ก.พ.!P207+มี.ค.!P207</f>
        <v>0</v>
      </c>
      <c r="Q208" s="269">
        <f>+ม.ค.!Q208+ก.พ.!Q207+มี.ค.!Q207</f>
        <v>0</v>
      </c>
      <c r="R208" s="269">
        <f>+ม.ค.!R208+ก.พ.!R207+มี.ค.!R207</f>
        <v>0</v>
      </c>
      <c r="S208" s="269">
        <f>+ม.ค.!S208+ก.พ.!S207+มี.ค.!S207</f>
        <v>0</v>
      </c>
      <c r="T208" s="269"/>
      <c r="U208" s="269">
        <f>+ม.ค.!U208+ก.พ.!U207+มี.ค.!U207</f>
        <v>0</v>
      </c>
      <c r="V208" s="269">
        <f>+ม.ค.!V208+ก.พ.!V207+มี.ค.!V207</f>
        <v>0</v>
      </c>
    </row>
    <row r="209" spans="1:23" ht="25.5" customHeight="1">
      <c r="A209" s="9"/>
      <c r="B209" s="130" t="s">
        <v>285</v>
      </c>
      <c r="C209" s="216">
        <f>72000+32000+16100</f>
        <v>120100</v>
      </c>
      <c r="D209" s="131"/>
      <c r="E209" s="269">
        <f>+ม.ค.!E209+ก.พ.!E208+มี.ค.!E208</f>
        <v>11823.5</v>
      </c>
      <c r="F209" s="269">
        <f>+ม.ค.!F209+ก.พ.!F208+มี.ค.!F208</f>
        <v>0</v>
      </c>
      <c r="G209" s="269">
        <f>+ม.ค.!G209+ก.พ.!G208+มี.ค.!G208</f>
        <v>0</v>
      </c>
      <c r="H209" s="269">
        <f>+ม.ค.!H209+ก.พ.!H208+มี.ค.!H208</f>
        <v>7158.3</v>
      </c>
      <c r="I209" s="269">
        <f>+ม.ค.!I209+ก.พ.!I208+มี.ค.!I208</f>
        <v>0</v>
      </c>
      <c r="J209" s="269">
        <f>+ม.ค.!J209+ก.พ.!J208+มี.ค.!J208</f>
        <v>0</v>
      </c>
      <c r="K209" s="269">
        <f>+ม.ค.!K209+ก.พ.!K208+มี.ค.!K208</f>
        <v>0</v>
      </c>
      <c r="L209" s="269">
        <f>+ม.ค.!L209+ก.พ.!L208+มี.ค.!L208</f>
        <v>0</v>
      </c>
      <c r="M209" s="269">
        <f>+ม.ค.!M209+ก.พ.!M208+มี.ค.!M208</f>
        <v>0</v>
      </c>
      <c r="N209" s="269">
        <f>+ม.ค.!N209+ก.พ.!N208+มี.ค.!N208</f>
        <v>0</v>
      </c>
      <c r="O209" s="269">
        <f>+ม.ค.!O209+ก.พ.!O208+มี.ค.!O208</f>
        <v>0</v>
      </c>
      <c r="P209" s="269">
        <f>+ม.ค.!P209+ก.พ.!P208+มี.ค.!P208</f>
        <v>0</v>
      </c>
      <c r="Q209" s="269">
        <f>+ม.ค.!Q209+ก.พ.!Q208+มี.ค.!Q208</f>
        <v>0</v>
      </c>
      <c r="R209" s="269">
        <f>+ม.ค.!R209+ก.พ.!R208+มี.ค.!R208</f>
        <v>0</v>
      </c>
      <c r="S209" s="269">
        <f>+ม.ค.!S209+ก.พ.!S208+มี.ค.!S208</f>
        <v>0</v>
      </c>
      <c r="T209" s="269"/>
      <c r="U209" s="269">
        <f>+ม.ค.!U209+ก.พ.!U208+มี.ค.!U208</f>
        <v>0</v>
      </c>
      <c r="V209" s="269">
        <f>+ม.ค.!V209+ก.พ.!V208+มี.ค.!V208</f>
        <v>0</v>
      </c>
    </row>
    <row r="210" spans="1:23" ht="25.5" customHeight="1" thickBot="1">
      <c r="A210" s="15"/>
      <c r="B210" s="14" t="s">
        <v>5</v>
      </c>
      <c r="C210" s="170">
        <f>SUM(C206:C209)</f>
        <v>522100</v>
      </c>
      <c r="D210" s="132"/>
      <c r="E210" s="268">
        <f>SUM(E206:E209)</f>
        <v>98908.25</v>
      </c>
      <c r="F210" s="137"/>
      <c r="G210" s="137"/>
      <c r="H210" s="137">
        <f>SUM(H206:H209)</f>
        <v>20426.34</v>
      </c>
      <c r="I210" s="132"/>
      <c r="J210" s="132"/>
      <c r="K210" s="132"/>
      <c r="L210" s="132"/>
      <c r="M210" s="137"/>
      <c r="N210" s="132"/>
      <c r="O210" s="132"/>
      <c r="P210" s="132"/>
      <c r="Q210" s="132"/>
      <c r="R210" s="307"/>
      <c r="S210" s="308"/>
      <c r="T210" s="308"/>
      <c r="U210" s="307"/>
      <c r="V210" s="307"/>
      <c r="W210" s="318">
        <f>SUM(D210:V210)</f>
        <v>119334.59</v>
      </c>
    </row>
    <row r="211" spans="1:23" ht="25.5" customHeight="1" thickTop="1">
      <c r="A211" s="3" t="s">
        <v>122</v>
      </c>
      <c r="B211" s="4"/>
      <c r="C211" s="287"/>
      <c r="D211" s="133"/>
      <c r="E211" s="305"/>
      <c r="F211" s="306"/>
      <c r="G211" s="306"/>
      <c r="H211" s="306"/>
      <c r="I211" s="133"/>
      <c r="J211" s="133"/>
      <c r="K211" s="133"/>
      <c r="L211" s="133"/>
      <c r="M211" s="136"/>
      <c r="N211" s="133"/>
      <c r="O211" s="133"/>
      <c r="P211" s="133"/>
      <c r="Q211" s="133"/>
      <c r="R211" s="258"/>
      <c r="S211" s="259"/>
      <c r="T211" s="259"/>
      <c r="U211" s="258"/>
      <c r="V211" s="258"/>
    </row>
    <row r="212" spans="1:23" ht="25.5" customHeight="1">
      <c r="A212" s="169"/>
      <c r="B212" s="185" t="s">
        <v>323</v>
      </c>
      <c r="C212" s="190">
        <v>864000</v>
      </c>
      <c r="D212" s="131"/>
      <c r="E212" s="267">
        <f>+ม.ค.!E212+ก.พ.!E211+มี.ค.!E211</f>
        <v>0</v>
      </c>
      <c r="F212" s="267">
        <f>+ม.ค.!F212+ก.พ.!F211+มี.ค.!F211</f>
        <v>0</v>
      </c>
      <c r="G212" s="267">
        <f>+ม.ค.!G212+ก.พ.!G211+มี.ค.!G211</f>
        <v>0</v>
      </c>
      <c r="H212" s="267">
        <f>+ม.ค.!H212+ก.พ.!H211+มี.ค.!H211</f>
        <v>0</v>
      </c>
      <c r="I212" s="267">
        <f>+ม.ค.!I212+ก.พ.!I211+มี.ค.!I211</f>
        <v>236000</v>
      </c>
      <c r="J212" s="267">
        <f>+ม.ค.!J212+ก.พ.!J211+มี.ค.!J211</f>
        <v>0</v>
      </c>
      <c r="K212" s="267">
        <f>+ม.ค.!K212+ก.พ.!K211+มี.ค.!K211</f>
        <v>0</v>
      </c>
      <c r="L212" s="267">
        <f>+ม.ค.!L212+ก.พ.!L211+มี.ค.!L211</f>
        <v>0</v>
      </c>
      <c r="M212" s="267">
        <f>+ม.ค.!M212+ก.พ.!M211+มี.ค.!M211</f>
        <v>0</v>
      </c>
      <c r="N212" s="267">
        <f>+ม.ค.!N212+ก.พ.!N211+มี.ค.!N211</f>
        <v>0</v>
      </c>
      <c r="O212" s="267">
        <f>+ม.ค.!O212+ก.พ.!O211+มี.ค.!O211</f>
        <v>0</v>
      </c>
      <c r="P212" s="267">
        <f>+ม.ค.!P212+ก.พ.!P211+มี.ค.!P211</f>
        <v>0</v>
      </c>
      <c r="Q212" s="267">
        <f>+ม.ค.!Q212+ก.พ.!Q211+มี.ค.!Q211</f>
        <v>0</v>
      </c>
      <c r="R212" s="267">
        <f>+ม.ค.!R212+ก.พ.!R211+มี.ค.!R211</f>
        <v>0</v>
      </c>
      <c r="S212" s="267">
        <f>+ม.ค.!S212+ก.พ.!S211+มี.ค.!S211</f>
        <v>0</v>
      </c>
      <c r="T212" s="267"/>
      <c r="U212" s="267">
        <f>+ม.ค.!U212+ก.พ.!U211+มี.ค.!U211</f>
        <v>0</v>
      </c>
      <c r="V212" s="267">
        <f>+ม.ค.!V212+ก.พ.!V211+มี.ค.!V211</f>
        <v>0</v>
      </c>
    </row>
    <row r="213" spans="1:23" ht="25.5" customHeight="1">
      <c r="A213" s="169"/>
      <c r="B213" s="185" t="s">
        <v>324</v>
      </c>
      <c r="C213" s="190">
        <v>1096000</v>
      </c>
      <c r="D213" s="131"/>
      <c r="E213" s="267">
        <f>+ม.ค.!E213+ก.พ.!E212+มี.ค.!E212</f>
        <v>0</v>
      </c>
      <c r="F213" s="267">
        <f>+ม.ค.!F213+ก.พ.!F212+มี.ค.!F212</f>
        <v>0</v>
      </c>
      <c r="G213" s="267">
        <f>+ม.ค.!G213+ก.พ.!G212+มี.ค.!G212</f>
        <v>0</v>
      </c>
      <c r="H213" s="267">
        <f>+ม.ค.!H213+ก.พ.!H212+มี.ค.!H212</f>
        <v>0</v>
      </c>
      <c r="I213" s="267">
        <f>+ม.ค.!I213+ก.พ.!I212+มี.ค.!I212</f>
        <v>282000</v>
      </c>
      <c r="J213" s="267">
        <f>+ม.ค.!J213+ก.พ.!J212+มี.ค.!J212</f>
        <v>0</v>
      </c>
      <c r="K213" s="267">
        <f>+ม.ค.!K213+ก.พ.!K212+มี.ค.!K212</f>
        <v>0</v>
      </c>
      <c r="L213" s="267">
        <f>+ม.ค.!L213+ก.พ.!L212+มี.ค.!L212</f>
        <v>0</v>
      </c>
      <c r="M213" s="267">
        <f>+ม.ค.!M213+ก.พ.!M212+มี.ค.!M212</f>
        <v>0</v>
      </c>
      <c r="N213" s="267">
        <f>+ม.ค.!N213+ก.พ.!N212+มี.ค.!N212</f>
        <v>0</v>
      </c>
      <c r="O213" s="267">
        <f>+ม.ค.!O213+ก.พ.!O212+มี.ค.!O212</f>
        <v>0</v>
      </c>
      <c r="P213" s="267">
        <f>+ม.ค.!P213+ก.พ.!P212+มี.ค.!P212</f>
        <v>0</v>
      </c>
      <c r="Q213" s="267">
        <f>+ม.ค.!Q213+ก.พ.!Q212+มี.ค.!Q212</f>
        <v>0</v>
      </c>
      <c r="R213" s="267">
        <f>+ม.ค.!R213+ก.พ.!R212+มี.ค.!R212</f>
        <v>0</v>
      </c>
      <c r="S213" s="267">
        <f>+ม.ค.!S213+ก.พ.!S212+มี.ค.!S212</f>
        <v>0</v>
      </c>
      <c r="T213" s="267"/>
      <c r="U213" s="267">
        <f>+ม.ค.!U213+ก.พ.!U212+มี.ค.!U212</f>
        <v>0</v>
      </c>
      <c r="V213" s="267">
        <f>+ม.ค.!V213+ก.พ.!V212+มี.ค.!V212</f>
        <v>0</v>
      </c>
    </row>
    <row r="214" spans="1:23" ht="25.5" customHeight="1">
      <c r="A214" s="169"/>
      <c r="B214" s="185" t="s">
        <v>325</v>
      </c>
      <c r="C214" s="190">
        <v>580000</v>
      </c>
      <c r="D214" s="133"/>
      <c r="E214" s="267">
        <f>+ม.ค.!E214+ก.พ.!E213+มี.ค.!E213</f>
        <v>0</v>
      </c>
      <c r="F214" s="267">
        <f>+ม.ค.!F214+ก.พ.!F213+มี.ค.!F213</f>
        <v>0</v>
      </c>
      <c r="G214" s="267">
        <f>+ม.ค.!G214+ก.พ.!G213+มี.ค.!G213</f>
        <v>0</v>
      </c>
      <c r="H214" s="267">
        <f>+ม.ค.!H214+ก.พ.!H213+มี.ค.!H213</f>
        <v>0</v>
      </c>
      <c r="I214" s="267">
        <f>+ม.ค.!I214+ก.พ.!I213+มี.ค.!I213</f>
        <v>140000</v>
      </c>
      <c r="J214" s="267">
        <f>+ม.ค.!J214+ก.พ.!J213+มี.ค.!J213</f>
        <v>0</v>
      </c>
      <c r="K214" s="267">
        <f>+ม.ค.!K214+ก.พ.!K213+มี.ค.!K213</f>
        <v>0</v>
      </c>
      <c r="L214" s="267">
        <f>+ม.ค.!L214+ก.พ.!L213+มี.ค.!L213</f>
        <v>0</v>
      </c>
      <c r="M214" s="267">
        <f>+ม.ค.!M214+ก.พ.!M213+มี.ค.!M213</f>
        <v>0</v>
      </c>
      <c r="N214" s="267">
        <f>+ม.ค.!N214+ก.พ.!N213+มี.ค.!N213</f>
        <v>0</v>
      </c>
      <c r="O214" s="267">
        <f>+ม.ค.!O214+ก.พ.!O213+มี.ค.!O213</f>
        <v>0</v>
      </c>
      <c r="P214" s="267">
        <f>+ม.ค.!P214+ก.พ.!P213+มี.ค.!P213</f>
        <v>0</v>
      </c>
      <c r="Q214" s="267">
        <f>+ม.ค.!Q214+ก.พ.!Q213+มี.ค.!Q213</f>
        <v>0</v>
      </c>
      <c r="R214" s="267">
        <f>+ม.ค.!R214+ก.พ.!R213+มี.ค.!R213</f>
        <v>0</v>
      </c>
      <c r="S214" s="267">
        <f>+ม.ค.!S214+ก.พ.!S213+มี.ค.!S213</f>
        <v>0</v>
      </c>
      <c r="T214" s="267"/>
      <c r="U214" s="267">
        <f>+ม.ค.!U214+ก.พ.!U213+มี.ค.!U213</f>
        <v>0</v>
      </c>
      <c r="V214" s="267">
        <f>+ม.ค.!V214+ก.พ.!V213+มี.ค.!V213</f>
        <v>0</v>
      </c>
    </row>
    <row r="215" spans="1:23" ht="25.5" customHeight="1">
      <c r="A215" s="169"/>
      <c r="B215" s="185" t="s">
        <v>351</v>
      </c>
      <c r="C215" s="190">
        <v>223000</v>
      </c>
      <c r="D215" s="133"/>
      <c r="E215" s="267">
        <f>+ม.ค.!E215+ก.พ.!E214+มี.ค.!E214</f>
        <v>0</v>
      </c>
      <c r="F215" s="267">
        <f>+ม.ค.!F215+ก.พ.!F214+มี.ค.!F214</f>
        <v>0</v>
      </c>
      <c r="G215" s="267">
        <f>+ม.ค.!G215+ก.พ.!G214+มี.ค.!G214</f>
        <v>0</v>
      </c>
      <c r="H215" s="267">
        <f>+ม.ค.!H215+ก.พ.!H214+มี.ค.!H214</f>
        <v>0</v>
      </c>
      <c r="I215" s="267">
        <f>+ม.ค.!I215+ก.พ.!I214+มี.ค.!I214</f>
        <v>0</v>
      </c>
      <c r="J215" s="267">
        <f>+ม.ค.!J215+ก.พ.!J214+มี.ค.!J214</f>
        <v>0</v>
      </c>
      <c r="K215" s="267">
        <f>+ม.ค.!K215+ก.พ.!K214+มี.ค.!K214</f>
        <v>0</v>
      </c>
      <c r="L215" s="267">
        <f>+ม.ค.!L215+ก.พ.!L214+มี.ค.!L214</f>
        <v>0</v>
      </c>
      <c r="M215" s="267">
        <f>+ม.ค.!M215+ก.พ.!M214+มี.ค.!M214</f>
        <v>0</v>
      </c>
      <c r="N215" s="267">
        <f>+ม.ค.!N215+ก.พ.!N214+มี.ค.!N214</f>
        <v>0</v>
      </c>
      <c r="O215" s="267">
        <f>+ม.ค.!O215+ก.พ.!O214+มี.ค.!O214</f>
        <v>0</v>
      </c>
      <c r="P215" s="267">
        <f>+ม.ค.!P215+ก.พ.!P214+มี.ค.!P214</f>
        <v>0</v>
      </c>
      <c r="Q215" s="267">
        <f>+ม.ค.!Q215+ก.พ.!Q214+มี.ค.!Q214</f>
        <v>0</v>
      </c>
      <c r="R215" s="267">
        <f>+ม.ค.!R215+ก.พ.!R214+มี.ค.!R214</f>
        <v>0</v>
      </c>
      <c r="S215" s="267">
        <f>+ม.ค.!S215+ก.พ.!S214+มี.ค.!S214</f>
        <v>0</v>
      </c>
      <c r="T215" s="267"/>
      <c r="U215" s="267">
        <f>+ม.ค.!U215+ก.พ.!U214+มี.ค.!U214</f>
        <v>0</v>
      </c>
      <c r="V215" s="267">
        <f>+ม.ค.!V215+ก.พ.!V214+มี.ค.!V214</f>
        <v>0</v>
      </c>
    </row>
    <row r="216" spans="1:23" ht="25.5" customHeight="1">
      <c r="A216" s="169"/>
      <c r="B216" s="185"/>
      <c r="C216" s="190"/>
      <c r="D216" s="133"/>
      <c r="E216" s="269"/>
      <c r="F216" s="136"/>
      <c r="G216" s="136"/>
      <c r="H216" s="136"/>
      <c r="I216" s="133"/>
      <c r="J216" s="133"/>
      <c r="K216" s="133"/>
      <c r="L216" s="133"/>
      <c r="M216" s="136"/>
      <c r="N216" s="133"/>
      <c r="O216" s="133"/>
      <c r="P216" s="133"/>
      <c r="Q216" s="133"/>
      <c r="R216" s="258"/>
      <c r="S216" s="259"/>
      <c r="T216" s="259"/>
      <c r="U216" s="258"/>
      <c r="V216" s="258"/>
    </row>
    <row r="217" spans="1:23" ht="25.5" customHeight="1">
      <c r="A217" s="169"/>
      <c r="B217" s="185"/>
      <c r="C217" s="190"/>
      <c r="D217" s="133"/>
      <c r="E217" s="269"/>
      <c r="F217" s="136"/>
      <c r="G217" s="136"/>
      <c r="H217" s="136"/>
      <c r="I217" s="133"/>
      <c r="J217" s="133"/>
      <c r="K217" s="133"/>
      <c r="L217" s="133"/>
      <c r="M217" s="136"/>
      <c r="N217" s="133"/>
      <c r="O217" s="133"/>
      <c r="P217" s="133"/>
      <c r="Q217" s="133"/>
      <c r="R217" s="258"/>
      <c r="S217" s="259"/>
      <c r="T217" s="259"/>
      <c r="U217" s="258"/>
      <c r="V217" s="258"/>
    </row>
    <row r="218" spans="1:23" ht="25.5" customHeight="1">
      <c r="A218" s="169"/>
      <c r="B218" s="185"/>
      <c r="C218" s="190"/>
      <c r="D218" s="133"/>
      <c r="E218" s="269"/>
      <c r="F218" s="136"/>
      <c r="G218" s="136"/>
      <c r="H218" s="136"/>
      <c r="I218" s="133"/>
      <c r="J218" s="133"/>
      <c r="K218" s="133"/>
      <c r="L218" s="133"/>
      <c r="M218" s="136"/>
      <c r="N218" s="133"/>
      <c r="O218" s="133"/>
      <c r="P218" s="133"/>
      <c r="Q218" s="133"/>
      <c r="R218" s="258"/>
      <c r="S218" s="259"/>
      <c r="T218" s="259"/>
      <c r="U218" s="258"/>
      <c r="V218" s="258"/>
    </row>
    <row r="219" spans="1:23" ht="25.5" customHeight="1">
      <c r="A219" s="5"/>
      <c r="B219" s="185"/>
      <c r="C219" s="216"/>
      <c r="D219" s="133"/>
      <c r="E219" s="269"/>
      <c r="F219" s="136"/>
      <c r="G219" s="136"/>
      <c r="H219" s="136"/>
      <c r="I219" s="133"/>
      <c r="J219" s="133"/>
      <c r="K219" s="133"/>
      <c r="L219" s="133"/>
      <c r="M219" s="136"/>
      <c r="N219" s="133"/>
      <c r="O219" s="133"/>
      <c r="P219" s="133"/>
      <c r="Q219" s="133"/>
      <c r="R219" s="258"/>
      <c r="S219" s="259"/>
      <c r="T219" s="259"/>
      <c r="U219" s="258"/>
      <c r="V219" s="258"/>
    </row>
    <row r="220" spans="1:23" ht="25.5" customHeight="1">
      <c r="A220" s="5"/>
      <c r="B220" s="130"/>
      <c r="C220" s="285"/>
      <c r="D220" s="131"/>
      <c r="E220" s="267"/>
      <c r="F220" s="135"/>
      <c r="G220" s="135"/>
      <c r="H220" s="135"/>
      <c r="I220" s="131"/>
      <c r="J220" s="131"/>
      <c r="K220" s="131"/>
      <c r="L220" s="131"/>
      <c r="M220" s="135"/>
      <c r="N220" s="131"/>
      <c r="O220" s="131"/>
      <c r="P220" s="131"/>
      <c r="Q220" s="131"/>
      <c r="R220" s="217"/>
      <c r="S220" s="219"/>
      <c r="T220" s="219"/>
      <c r="U220" s="217"/>
      <c r="V220" s="217"/>
    </row>
    <row r="221" spans="1:23" ht="25.5" customHeight="1" thickBot="1">
      <c r="A221" s="15"/>
      <c r="B221" s="14" t="s">
        <v>5</v>
      </c>
      <c r="C221" s="170">
        <f>SUM(C212:C220)</f>
        <v>2763000</v>
      </c>
      <c r="D221" s="255">
        <f>SUM(D212:D220)</f>
        <v>0</v>
      </c>
      <c r="E221" s="254">
        <f t="shared" ref="E221:V221" si="6">SUM(E212:E220)</f>
        <v>0</v>
      </c>
      <c r="F221" s="254">
        <f t="shared" si="6"/>
        <v>0</v>
      </c>
      <c r="G221" s="254">
        <f t="shared" si="6"/>
        <v>0</v>
      </c>
      <c r="H221" s="254">
        <f t="shared" si="6"/>
        <v>0</v>
      </c>
      <c r="I221" s="255">
        <f>SUM(I212:I220)</f>
        <v>658000</v>
      </c>
      <c r="J221" s="255">
        <f t="shared" si="6"/>
        <v>0</v>
      </c>
      <c r="K221" s="255">
        <f t="shared" si="6"/>
        <v>0</v>
      </c>
      <c r="L221" s="255">
        <f t="shared" si="6"/>
        <v>0</v>
      </c>
      <c r="M221" s="254">
        <f t="shared" si="6"/>
        <v>0</v>
      </c>
      <c r="N221" s="255">
        <f t="shared" si="6"/>
        <v>0</v>
      </c>
      <c r="O221" s="255">
        <f t="shared" si="6"/>
        <v>0</v>
      </c>
      <c r="P221" s="255">
        <f t="shared" si="6"/>
        <v>0</v>
      </c>
      <c r="Q221" s="255">
        <f t="shared" si="6"/>
        <v>0</v>
      </c>
      <c r="R221" s="255">
        <f t="shared" si="6"/>
        <v>0</v>
      </c>
      <c r="S221" s="255">
        <f t="shared" si="6"/>
        <v>0</v>
      </c>
      <c r="T221" s="255"/>
      <c r="U221" s="255">
        <f t="shared" si="6"/>
        <v>0</v>
      </c>
      <c r="V221" s="255">
        <f t="shared" si="6"/>
        <v>0</v>
      </c>
      <c r="W221" s="314">
        <f>SUM(D221:V221)</f>
        <v>658000</v>
      </c>
    </row>
    <row r="222" spans="1:23" ht="25.5" customHeight="1" thickTop="1">
      <c r="A222" s="20" t="s">
        <v>71</v>
      </c>
      <c r="B222" s="82"/>
      <c r="C222" s="291"/>
      <c r="D222" s="133"/>
      <c r="E222" s="269"/>
      <c r="F222" s="136"/>
      <c r="G222" s="136"/>
      <c r="H222" s="136"/>
      <c r="I222" s="133"/>
      <c r="J222" s="133"/>
      <c r="K222" s="133"/>
      <c r="L222" s="133"/>
      <c r="M222" s="136"/>
      <c r="N222" s="133"/>
      <c r="O222" s="133"/>
      <c r="P222" s="133"/>
      <c r="Q222" s="133"/>
      <c r="R222" s="258"/>
      <c r="S222" s="259"/>
      <c r="T222" s="259"/>
      <c r="U222" s="258"/>
      <c r="V222" s="258"/>
    </row>
    <row r="223" spans="1:23" ht="25.5" customHeight="1">
      <c r="A223" s="66"/>
      <c r="B223" s="96"/>
      <c r="C223" s="216"/>
      <c r="D223" s="131"/>
      <c r="E223" s="267"/>
      <c r="F223" s="135"/>
      <c r="G223" s="135"/>
      <c r="H223" s="135"/>
      <c r="I223" s="131"/>
      <c r="J223" s="131"/>
      <c r="K223" s="131"/>
      <c r="L223" s="131"/>
      <c r="M223" s="135"/>
      <c r="N223" s="131"/>
      <c r="O223" s="131"/>
      <c r="P223" s="131"/>
      <c r="Q223" s="131"/>
      <c r="R223" s="217"/>
      <c r="S223" s="219"/>
      <c r="T223" s="219"/>
      <c r="U223" s="217"/>
      <c r="V223" s="217"/>
    </row>
    <row r="224" spans="1:23" ht="25.5" customHeight="1" thickBot="1">
      <c r="A224" s="167"/>
      <c r="B224" s="95" t="s">
        <v>5</v>
      </c>
      <c r="C224" s="292">
        <f>SUM(C222:C223)</f>
        <v>0</v>
      </c>
      <c r="D224" s="255"/>
      <c r="E224" s="271"/>
      <c r="F224" s="254"/>
      <c r="G224" s="254"/>
      <c r="H224" s="254"/>
      <c r="I224" s="255"/>
      <c r="J224" s="255"/>
      <c r="K224" s="255"/>
      <c r="L224" s="255"/>
      <c r="M224" s="254"/>
      <c r="N224" s="255"/>
      <c r="O224" s="255"/>
      <c r="P224" s="255"/>
      <c r="Q224" s="255"/>
      <c r="R224" s="256"/>
      <c r="S224" s="257"/>
      <c r="T224" s="257"/>
      <c r="U224" s="256"/>
      <c r="V224" s="256"/>
    </row>
    <row r="225" spans="1:22" ht="25.5" customHeight="1" thickTop="1">
      <c r="A225" s="20" t="s">
        <v>115</v>
      </c>
      <c r="B225" s="284"/>
      <c r="C225" s="293"/>
      <c r="D225" s="133"/>
      <c r="E225" s="269"/>
      <c r="F225" s="136"/>
      <c r="G225" s="136"/>
      <c r="H225" s="136"/>
      <c r="I225" s="133"/>
      <c r="J225" s="133"/>
      <c r="K225" s="133"/>
      <c r="L225" s="133"/>
      <c r="M225" s="136"/>
      <c r="N225" s="133"/>
      <c r="O225" s="133"/>
      <c r="P225" s="133"/>
      <c r="Q225" s="133"/>
      <c r="R225" s="258"/>
      <c r="S225" s="259"/>
      <c r="T225" s="259"/>
      <c r="U225" s="258"/>
      <c r="V225" s="258"/>
    </row>
    <row r="226" spans="1:22" ht="25.5" customHeight="1">
      <c r="A226" s="20"/>
      <c r="B226" s="252" t="s">
        <v>291</v>
      </c>
      <c r="C226" s="293"/>
      <c r="D226" s="131"/>
      <c r="E226" s="267"/>
      <c r="F226" s="135"/>
      <c r="G226" s="135"/>
      <c r="H226" s="135"/>
      <c r="I226" s="131"/>
      <c r="J226" s="131"/>
      <c r="K226" s="131"/>
      <c r="L226" s="131"/>
      <c r="M226" s="135"/>
      <c r="N226" s="131"/>
      <c r="O226" s="131"/>
      <c r="P226" s="131"/>
      <c r="Q226" s="131"/>
      <c r="R226" s="217"/>
      <c r="S226" s="219"/>
      <c r="T226" s="219"/>
      <c r="U226" s="217"/>
      <c r="V226" s="217"/>
    </row>
    <row r="227" spans="1:22" ht="25.5" customHeight="1">
      <c r="A227" s="20"/>
      <c r="B227" s="186" t="s">
        <v>286</v>
      </c>
      <c r="C227" s="294">
        <v>10000</v>
      </c>
      <c r="D227" s="131"/>
      <c r="E227" s="267">
        <f>+ม.ค.!E227+ก.พ.!E226+มี.ค.!E226</f>
        <v>0</v>
      </c>
      <c r="F227" s="267">
        <f>+ม.ค.!F227+ก.พ.!F226+มี.ค.!F226</f>
        <v>0</v>
      </c>
      <c r="G227" s="267">
        <f>+ม.ค.!G227+ก.พ.!G226+มี.ค.!G226</f>
        <v>0</v>
      </c>
      <c r="H227" s="267">
        <f>+ม.ค.!H227+ก.พ.!H226+มี.ค.!H226</f>
        <v>0</v>
      </c>
      <c r="I227" s="267">
        <f>+ม.ค.!I227+ก.พ.!I226+มี.ค.!I226</f>
        <v>0</v>
      </c>
      <c r="J227" s="267">
        <f>+ม.ค.!J227+ก.พ.!J226+มี.ค.!J226</f>
        <v>0</v>
      </c>
      <c r="K227" s="267">
        <f>+ม.ค.!K227+ก.พ.!K226+มี.ค.!K226</f>
        <v>0</v>
      </c>
      <c r="L227" s="267">
        <f>+ม.ค.!L227+ก.พ.!L226+มี.ค.!L226</f>
        <v>0</v>
      </c>
      <c r="M227" s="267">
        <f>+ม.ค.!M227+ก.พ.!M226+มี.ค.!M226</f>
        <v>0</v>
      </c>
      <c r="N227" s="267">
        <f>+ม.ค.!N227+ก.พ.!N226+มี.ค.!N226</f>
        <v>0</v>
      </c>
      <c r="O227" s="267">
        <f>+ม.ค.!O227+ก.พ.!O226+มี.ค.!O226</f>
        <v>0</v>
      </c>
      <c r="P227" s="267">
        <f>+ม.ค.!P227+ก.พ.!P226+มี.ค.!P226</f>
        <v>0</v>
      </c>
      <c r="Q227" s="267">
        <f>+ม.ค.!Q227+ก.พ.!Q226+มี.ค.!Q226</f>
        <v>0</v>
      </c>
      <c r="R227" s="267">
        <f>+ม.ค.!R227+ก.พ.!R226+มี.ค.!R226</f>
        <v>0</v>
      </c>
      <c r="S227" s="267">
        <f>+ม.ค.!S227+ก.พ.!S226+มี.ค.!S226</f>
        <v>0</v>
      </c>
      <c r="T227" s="267"/>
      <c r="U227" s="267">
        <f>+ม.ค.!U227+ก.พ.!U226+มี.ค.!U226</f>
        <v>0</v>
      </c>
      <c r="V227" s="267">
        <f>+ม.ค.!V227+ก.พ.!V226+มี.ค.!V226</f>
        <v>0</v>
      </c>
    </row>
    <row r="228" spans="1:22" ht="25.5" customHeight="1">
      <c r="A228" s="20"/>
      <c r="B228" s="186" t="s">
        <v>287</v>
      </c>
      <c r="C228" s="294">
        <v>4500</v>
      </c>
      <c r="D228" s="131"/>
      <c r="E228" s="267">
        <f>+ม.ค.!E228+ก.พ.!E227+มี.ค.!E227</f>
        <v>0</v>
      </c>
      <c r="F228" s="267">
        <f>+ม.ค.!F228+ก.พ.!F227+มี.ค.!F227</f>
        <v>0</v>
      </c>
      <c r="G228" s="267">
        <f>+ม.ค.!G228+ก.พ.!G227+มี.ค.!G227</f>
        <v>0</v>
      </c>
      <c r="H228" s="267">
        <f>+ม.ค.!H228+ก.พ.!H227+มี.ค.!H227</f>
        <v>0</v>
      </c>
      <c r="I228" s="267">
        <f>+ม.ค.!I228+ก.พ.!I227+มี.ค.!I227</f>
        <v>0</v>
      </c>
      <c r="J228" s="267">
        <f>+ม.ค.!J228+ก.พ.!J227+มี.ค.!J227</f>
        <v>0</v>
      </c>
      <c r="K228" s="267">
        <f>+ม.ค.!K228+ก.พ.!K227+มี.ค.!K227</f>
        <v>0</v>
      </c>
      <c r="L228" s="267">
        <f>+ม.ค.!L228+ก.พ.!L227+มี.ค.!L227</f>
        <v>0</v>
      </c>
      <c r="M228" s="267">
        <f>+ม.ค.!M228+ก.พ.!M227+มี.ค.!M227</f>
        <v>0</v>
      </c>
      <c r="N228" s="267">
        <f>+ม.ค.!N228+ก.พ.!N227+มี.ค.!N227</f>
        <v>0</v>
      </c>
      <c r="O228" s="267">
        <f>+ม.ค.!O228+ก.พ.!O227+มี.ค.!O227</f>
        <v>0</v>
      </c>
      <c r="P228" s="267">
        <f>+ม.ค.!P228+ก.พ.!P227+มี.ค.!P227</f>
        <v>0</v>
      </c>
      <c r="Q228" s="267">
        <f>+ม.ค.!Q228+ก.พ.!Q227+มี.ค.!Q227</f>
        <v>0</v>
      </c>
      <c r="R228" s="267">
        <f>+ม.ค.!R228+ก.พ.!R227+มี.ค.!R227</f>
        <v>0</v>
      </c>
      <c r="S228" s="267">
        <f>+ม.ค.!S228+ก.พ.!S227+มี.ค.!S227</f>
        <v>0</v>
      </c>
      <c r="T228" s="267"/>
      <c r="U228" s="267">
        <f>+ม.ค.!U228+ก.พ.!U227+มี.ค.!U227</f>
        <v>0</v>
      </c>
      <c r="V228" s="267">
        <f>+ม.ค.!V228+ก.พ.!V227+มี.ค.!V227</f>
        <v>0</v>
      </c>
    </row>
    <row r="229" spans="1:22" ht="25.5" customHeight="1">
      <c r="A229" s="20"/>
      <c r="B229" s="186" t="s">
        <v>288</v>
      </c>
      <c r="C229" s="294">
        <v>3000</v>
      </c>
      <c r="D229" s="131"/>
      <c r="E229" s="267">
        <f>+ม.ค.!E229+ก.พ.!E228+มี.ค.!E228</f>
        <v>1600</v>
      </c>
      <c r="F229" s="267">
        <f>+ม.ค.!F229+ก.พ.!F228+มี.ค.!F228</f>
        <v>0</v>
      </c>
      <c r="G229" s="267">
        <f>+ม.ค.!G229+ก.พ.!G228+มี.ค.!G228</f>
        <v>0</v>
      </c>
      <c r="H229" s="267">
        <f>+ม.ค.!H229+ก.พ.!H228+มี.ค.!H228</f>
        <v>0</v>
      </c>
      <c r="I229" s="267">
        <f>+ม.ค.!I229+ก.พ.!I228+มี.ค.!I228</f>
        <v>0</v>
      </c>
      <c r="J229" s="267">
        <f>+ม.ค.!J229+ก.พ.!J228+มี.ค.!J228</f>
        <v>0</v>
      </c>
      <c r="K229" s="267">
        <f>+ม.ค.!K229+ก.พ.!K228+มี.ค.!K228</f>
        <v>0</v>
      </c>
      <c r="L229" s="267">
        <f>+ม.ค.!L229+ก.พ.!L228+มี.ค.!L228</f>
        <v>0</v>
      </c>
      <c r="M229" s="267">
        <f>+ม.ค.!M229+ก.พ.!M228+มี.ค.!M228</f>
        <v>0</v>
      </c>
      <c r="N229" s="267">
        <f>+ม.ค.!N229+ก.พ.!N228+มี.ค.!N228</f>
        <v>0</v>
      </c>
      <c r="O229" s="267">
        <f>+ม.ค.!O229+ก.พ.!O228+มี.ค.!O228</f>
        <v>0</v>
      </c>
      <c r="P229" s="267">
        <f>+ม.ค.!P229+ก.พ.!P228+มี.ค.!P228</f>
        <v>0</v>
      </c>
      <c r="Q229" s="267">
        <f>+ม.ค.!Q229+ก.พ.!Q228+มี.ค.!Q228</f>
        <v>0</v>
      </c>
      <c r="R229" s="267">
        <f>+ม.ค.!R229+ก.พ.!R228+มี.ค.!R228</f>
        <v>0</v>
      </c>
      <c r="S229" s="267">
        <f>+ม.ค.!S229+ก.พ.!S228+มี.ค.!S228</f>
        <v>0</v>
      </c>
      <c r="T229" s="267"/>
      <c r="U229" s="267">
        <f>+ม.ค.!U229+ก.พ.!U228+มี.ค.!U228</f>
        <v>0</v>
      </c>
      <c r="V229" s="267">
        <f>+ม.ค.!V229+ก.พ.!V228+มี.ค.!V228</f>
        <v>0</v>
      </c>
    </row>
    <row r="230" spans="1:22" ht="25.5" customHeight="1">
      <c r="A230" s="20"/>
      <c r="B230" s="186" t="s">
        <v>289</v>
      </c>
      <c r="C230" s="294">
        <v>20000</v>
      </c>
      <c r="D230" s="131"/>
      <c r="E230" s="267">
        <f>+ม.ค.!E230+ก.พ.!E229+มี.ค.!E229</f>
        <v>0</v>
      </c>
      <c r="F230" s="267">
        <f>+ม.ค.!F230+ก.พ.!F229+มี.ค.!F229</f>
        <v>0</v>
      </c>
      <c r="G230" s="267">
        <f>+ม.ค.!G230+ก.พ.!G229+มี.ค.!G229</f>
        <v>0</v>
      </c>
      <c r="H230" s="267">
        <f>+ม.ค.!H230+ก.พ.!H229+มี.ค.!H229</f>
        <v>0</v>
      </c>
      <c r="I230" s="267">
        <f>+ม.ค.!I230+ก.พ.!I229+มี.ค.!I229</f>
        <v>0</v>
      </c>
      <c r="J230" s="267">
        <f>+ม.ค.!J230+ก.พ.!J229+มี.ค.!J229</f>
        <v>0</v>
      </c>
      <c r="K230" s="267">
        <f>+ม.ค.!K230+ก.พ.!K229+มี.ค.!K229</f>
        <v>0</v>
      </c>
      <c r="L230" s="267">
        <f>+ม.ค.!L230+ก.พ.!L229+มี.ค.!L229</f>
        <v>0</v>
      </c>
      <c r="M230" s="267">
        <f>+ม.ค.!M230+ก.พ.!M229+มี.ค.!M229</f>
        <v>0</v>
      </c>
      <c r="N230" s="267">
        <f>+ม.ค.!N230+ก.พ.!N229+มี.ค.!N229</f>
        <v>0</v>
      </c>
      <c r="O230" s="267">
        <f>+ม.ค.!O230+ก.พ.!O229+มี.ค.!O229</f>
        <v>0</v>
      </c>
      <c r="P230" s="267">
        <f>+ม.ค.!P230+ก.พ.!P229+มี.ค.!P229</f>
        <v>0</v>
      </c>
      <c r="Q230" s="267">
        <f>+ม.ค.!Q230+ก.พ.!Q229+มี.ค.!Q229</f>
        <v>0</v>
      </c>
      <c r="R230" s="267">
        <f>+ม.ค.!R230+ก.พ.!R229+มี.ค.!R229</f>
        <v>0</v>
      </c>
      <c r="S230" s="267">
        <f>+ม.ค.!S230+ก.พ.!S229+มี.ค.!S229</f>
        <v>0</v>
      </c>
      <c r="T230" s="267"/>
      <c r="U230" s="267">
        <f>+ม.ค.!U230+ก.พ.!U229+มี.ค.!U229</f>
        <v>0</v>
      </c>
      <c r="V230" s="267">
        <f>+ม.ค.!V230+ก.พ.!V229+มี.ค.!V229</f>
        <v>0</v>
      </c>
    </row>
    <row r="231" spans="1:22" ht="25.5" customHeight="1">
      <c r="A231" s="20"/>
      <c r="B231" s="186" t="s">
        <v>290</v>
      </c>
      <c r="C231" s="295">
        <f>5500+5500</f>
        <v>11000</v>
      </c>
      <c r="D231" s="131"/>
      <c r="E231" s="267">
        <f>+ม.ค.!E231+ก.พ.!E230+มี.ค.!E230</f>
        <v>0</v>
      </c>
      <c r="F231" s="267">
        <f>+ม.ค.!F231+ก.พ.!F230+มี.ค.!F230</f>
        <v>0</v>
      </c>
      <c r="G231" s="267">
        <f>+ม.ค.!G231+ก.พ.!G230+มี.ค.!G230</f>
        <v>0</v>
      </c>
      <c r="H231" s="267">
        <f>+ม.ค.!H231+ก.พ.!H230+มี.ค.!H230</f>
        <v>0</v>
      </c>
      <c r="I231" s="267">
        <f>+ม.ค.!I231+ก.พ.!I230+มี.ค.!I230</f>
        <v>0</v>
      </c>
      <c r="J231" s="267">
        <f>+ม.ค.!J231+ก.พ.!J230+มี.ค.!J230</f>
        <v>0</v>
      </c>
      <c r="K231" s="267">
        <f>+ม.ค.!K231+ก.พ.!K230+มี.ค.!K230</f>
        <v>0</v>
      </c>
      <c r="L231" s="267">
        <f>+ม.ค.!L231+ก.พ.!L230+มี.ค.!L230</f>
        <v>0</v>
      </c>
      <c r="M231" s="267">
        <f>+ม.ค.!M231+ก.พ.!M230+มี.ค.!M230</f>
        <v>0</v>
      </c>
      <c r="N231" s="267">
        <f>+ม.ค.!N231+ก.พ.!N230+มี.ค.!N230</f>
        <v>0</v>
      </c>
      <c r="O231" s="267">
        <f>+ม.ค.!O231+ก.พ.!O230+มี.ค.!O230</f>
        <v>0</v>
      </c>
      <c r="P231" s="267">
        <f>+ม.ค.!P231+ก.พ.!P230+มี.ค.!P230</f>
        <v>0</v>
      </c>
      <c r="Q231" s="267">
        <f>+ม.ค.!Q231+ก.พ.!Q230+มี.ค.!Q230</f>
        <v>0</v>
      </c>
      <c r="R231" s="267">
        <f>+ม.ค.!R231+ก.พ.!R230+มี.ค.!R230</f>
        <v>0</v>
      </c>
      <c r="S231" s="267">
        <f>+ม.ค.!S231+ก.พ.!S230+มี.ค.!S230</f>
        <v>0</v>
      </c>
      <c r="T231" s="267"/>
      <c r="U231" s="267">
        <f>+ม.ค.!U231+ก.พ.!U230+มี.ค.!U230</f>
        <v>0</v>
      </c>
      <c r="V231" s="267">
        <f>+ม.ค.!V231+ก.พ.!V230+มี.ค.!V230</f>
        <v>0</v>
      </c>
    </row>
    <row r="232" spans="1:22" ht="25.5" customHeight="1">
      <c r="A232" s="20"/>
      <c r="B232" s="186" t="s">
        <v>305</v>
      </c>
      <c r="C232" s="295">
        <v>16000</v>
      </c>
      <c r="D232" s="131"/>
      <c r="E232" s="267">
        <f>+ม.ค.!E232+ก.พ.!E231+มี.ค.!E231</f>
        <v>0</v>
      </c>
      <c r="F232" s="267">
        <f>+ม.ค.!F232+ก.พ.!F231+มี.ค.!F231</f>
        <v>0</v>
      </c>
      <c r="G232" s="267">
        <f>+ม.ค.!G232+ก.พ.!G231+มี.ค.!G231</f>
        <v>0</v>
      </c>
      <c r="H232" s="267">
        <f>+ม.ค.!H232+ก.พ.!H231+มี.ค.!H231</f>
        <v>0</v>
      </c>
      <c r="I232" s="267">
        <f>+ม.ค.!I232+ก.พ.!I231+มี.ค.!I231</f>
        <v>0</v>
      </c>
      <c r="J232" s="267">
        <f>+ม.ค.!J232+ก.พ.!J231+มี.ค.!J231</f>
        <v>0</v>
      </c>
      <c r="K232" s="267">
        <f>+ม.ค.!K232+ก.พ.!K231+มี.ค.!K231</f>
        <v>0</v>
      </c>
      <c r="L232" s="267">
        <f>+ม.ค.!L232+ก.พ.!L231+มี.ค.!L231</f>
        <v>0</v>
      </c>
      <c r="M232" s="267">
        <f>+ม.ค.!M232+ก.พ.!M231+มี.ค.!M231</f>
        <v>0</v>
      </c>
      <c r="N232" s="267">
        <f>+ม.ค.!N232+ก.พ.!N231+มี.ค.!N231</f>
        <v>0</v>
      </c>
      <c r="O232" s="267">
        <f>+ม.ค.!O232+ก.พ.!O231+มี.ค.!O231</f>
        <v>0</v>
      </c>
      <c r="P232" s="267">
        <f>+ม.ค.!P232+ก.พ.!P231+มี.ค.!P231</f>
        <v>0</v>
      </c>
      <c r="Q232" s="267">
        <f>+ม.ค.!Q232+ก.พ.!Q231+มี.ค.!Q231</f>
        <v>0</v>
      </c>
      <c r="R232" s="267">
        <f>+ม.ค.!R232+ก.พ.!R231+มี.ค.!R231</f>
        <v>0</v>
      </c>
      <c r="S232" s="267">
        <f>+ม.ค.!S232+ก.พ.!S231+มี.ค.!S231</f>
        <v>0</v>
      </c>
      <c r="T232" s="267"/>
      <c r="U232" s="267">
        <f>+ม.ค.!U232+ก.พ.!U231+มี.ค.!U231</f>
        <v>0</v>
      </c>
      <c r="V232" s="267">
        <f>+ม.ค.!V232+ก.พ.!V231+มี.ค.!V231</f>
        <v>0</v>
      </c>
    </row>
    <row r="233" spans="1:22" ht="25.5" customHeight="1">
      <c r="A233" s="20"/>
      <c r="B233" s="186" t="s">
        <v>334</v>
      </c>
      <c r="C233" s="295">
        <v>4500</v>
      </c>
      <c r="D233" s="131"/>
      <c r="E233" s="267">
        <f>+ม.ค.!E233+ก.พ.!E232+มี.ค.!E232</f>
        <v>0</v>
      </c>
      <c r="F233" s="267">
        <f>+ม.ค.!F233+ก.พ.!F232+มี.ค.!F232</f>
        <v>0</v>
      </c>
      <c r="G233" s="267">
        <f>+ม.ค.!G233+ก.พ.!G232+มี.ค.!G232</f>
        <v>0</v>
      </c>
      <c r="H233" s="267">
        <f>+ม.ค.!H233+ก.พ.!H232+มี.ค.!H232</f>
        <v>0</v>
      </c>
      <c r="I233" s="267">
        <f>+ม.ค.!I233+ก.พ.!I232+มี.ค.!I232</f>
        <v>0</v>
      </c>
      <c r="J233" s="267">
        <f>+ม.ค.!J233+ก.พ.!J232+มี.ค.!J232</f>
        <v>0</v>
      </c>
      <c r="K233" s="267">
        <f>+ม.ค.!K233+ก.พ.!K232+มี.ค.!K232</f>
        <v>0</v>
      </c>
      <c r="L233" s="267">
        <f>+ม.ค.!L233+ก.พ.!L232+มี.ค.!L232</f>
        <v>0</v>
      </c>
      <c r="M233" s="267">
        <f>+ม.ค.!M233+ก.พ.!M232+มี.ค.!M232</f>
        <v>0</v>
      </c>
      <c r="N233" s="267">
        <f>+ม.ค.!N233+ก.พ.!N232+มี.ค.!N232</f>
        <v>0</v>
      </c>
      <c r="O233" s="267">
        <f>+ม.ค.!O233+ก.พ.!O232+มี.ค.!O232</f>
        <v>0</v>
      </c>
      <c r="P233" s="267">
        <f>+ม.ค.!P233+ก.พ.!P232+มี.ค.!P232</f>
        <v>0</v>
      </c>
      <c r="Q233" s="267">
        <f>+ม.ค.!Q233+ก.พ.!Q232+มี.ค.!Q232</f>
        <v>0</v>
      </c>
      <c r="R233" s="267">
        <f>+ม.ค.!R233+ก.พ.!R232+มี.ค.!R232</f>
        <v>0</v>
      </c>
      <c r="S233" s="267">
        <f>+ม.ค.!S233+ก.พ.!S232+มี.ค.!S232</f>
        <v>0</v>
      </c>
      <c r="T233" s="267"/>
      <c r="U233" s="267">
        <f>+ม.ค.!U233+ก.พ.!U232+มี.ค.!U232</f>
        <v>0</v>
      </c>
      <c r="V233" s="267">
        <f>+ม.ค.!V233+ก.พ.!V232+มี.ค.!V232</f>
        <v>0</v>
      </c>
    </row>
    <row r="234" spans="1:22" ht="25.5" customHeight="1">
      <c r="A234" s="20"/>
      <c r="B234" s="186" t="s">
        <v>335</v>
      </c>
      <c r="C234" s="295">
        <v>4500</v>
      </c>
      <c r="D234" s="131"/>
      <c r="E234" s="267">
        <f>+ม.ค.!E234+ก.พ.!E233+มี.ค.!E233</f>
        <v>0</v>
      </c>
      <c r="F234" s="267">
        <f>+ม.ค.!F234+ก.พ.!F233+มี.ค.!F233</f>
        <v>0</v>
      </c>
      <c r="G234" s="267">
        <f>+ม.ค.!G234+ก.พ.!G233+มี.ค.!G233</f>
        <v>0</v>
      </c>
      <c r="H234" s="267">
        <f>+ม.ค.!H234+ก.พ.!H233+มี.ค.!H233</f>
        <v>0</v>
      </c>
      <c r="I234" s="267">
        <f>+ม.ค.!I234+ก.พ.!I233+มี.ค.!I233</f>
        <v>0</v>
      </c>
      <c r="J234" s="267">
        <f>+ม.ค.!J234+ก.พ.!J233+มี.ค.!J233</f>
        <v>0</v>
      </c>
      <c r="K234" s="267">
        <f>+ม.ค.!K234+ก.พ.!K233+มี.ค.!K233</f>
        <v>0</v>
      </c>
      <c r="L234" s="267">
        <f>+ม.ค.!L234+ก.พ.!L233+มี.ค.!L233</f>
        <v>0</v>
      </c>
      <c r="M234" s="267">
        <f>+ม.ค.!M234+ก.พ.!M233+มี.ค.!M233</f>
        <v>0</v>
      </c>
      <c r="N234" s="267">
        <f>+ม.ค.!N234+ก.พ.!N233+มี.ค.!N233</f>
        <v>0</v>
      </c>
      <c r="O234" s="267">
        <f>+ม.ค.!O234+ก.พ.!O233+มี.ค.!O233</f>
        <v>0</v>
      </c>
      <c r="P234" s="267">
        <f>+ม.ค.!P234+ก.พ.!P233+มี.ค.!P233</f>
        <v>0</v>
      </c>
      <c r="Q234" s="267">
        <f>+ม.ค.!Q234+ก.พ.!Q233+มี.ค.!Q233</f>
        <v>0</v>
      </c>
      <c r="R234" s="267">
        <f>+ม.ค.!R234+ก.พ.!R233+มี.ค.!R233</f>
        <v>0</v>
      </c>
      <c r="S234" s="267">
        <f>+ม.ค.!S234+ก.พ.!S233+มี.ค.!S233</f>
        <v>0</v>
      </c>
      <c r="T234" s="267"/>
      <c r="U234" s="267">
        <f>+ม.ค.!U234+ก.พ.!U233+มี.ค.!U233</f>
        <v>0</v>
      </c>
      <c r="V234" s="267">
        <f>+ม.ค.!V234+ก.พ.!V233+มี.ค.!V233</f>
        <v>0</v>
      </c>
    </row>
    <row r="235" spans="1:22" ht="25.5" customHeight="1">
      <c r="A235" s="20"/>
      <c r="B235" s="186"/>
      <c r="C235" s="295"/>
      <c r="D235" s="131"/>
      <c r="E235" s="267"/>
      <c r="F235" s="267"/>
      <c r="G235" s="267"/>
      <c r="H235" s="267"/>
      <c r="I235" s="267"/>
      <c r="J235" s="267"/>
      <c r="K235" s="267"/>
      <c r="L235" s="267"/>
      <c r="M235" s="267"/>
      <c r="N235" s="267"/>
      <c r="O235" s="267"/>
      <c r="P235" s="267"/>
      <c r="Q235" s="267"/>
      <c r="R235" s="267"/>
      <c r="S235" s="267"/>
      <c r="T235" s="267"/>
      <c r="U235" s="267"/>
      <c r="V235" s="267"/>
    </row>
    <row r="236" spans="1:22" ht="25.5" customHeight="1">
      <c r="A236" s="20"/>
      <c r="B236" s="252" t="s">
        <v>292</v>
      </c>
      <c r="C236" s="295"/>
      <c r="D236" s="131"/>
      <c r="E236" s="267"/>
      <c r="F236" s="135"/>
      <c r="G236" s="135"/>
      <c r="H236" s="135"/>
      <c r="I236" s="131"/>
      <c r="J236" s="131"/>
      <c r="K236" s="131"/>
      <c r="L236" s="131"/>
      <c r="M236" s="135"/>
      <c r="N236" s="131"/>
      <c r="O236" s="131"/>
      <c r="P236" s="131"/>
      <c r="Q236" s="131"/>
      <c r="R236" s="217"/>
      <c r="S236" s="219"/>
      <c r="T236" s="219"/>
      <c r="U236" s="217"/>
      <c r="V236" s="217"/>
    </row>
    <row r="237" spans="1:22" ht="25.5" customHeight="1">
      <c r="A237" s="20"/>
      <c r="B237" s="186" t="s">
        <v>293</v>
      </c>
      <c r="C237" s="295">
        <v>32000</v>
      </c>
      <c r="D237" s="131"/>
      <c r="E237" s="267">
        <f>+ม.ค.!E236+ก.พ.!E235+มี.ค.!E235</f>
        <v>0</v>
      </c>
      <c r="F237" s="267">
        <f>+ม.ค.!F236+ก.พ.!F235+มี.ค.!F235</f>
        <v>0</v>
      </c>
      <c r="G237" s="267">
        <f>+ม.ค.!G236+ก.พ.!G235+มี.ค.!G235</f>
        <v>0</v>
      </c>
      <c r="H237" s="267">
        <f>+ม.ค.!H236+ก.พ.!H235+มี.ค.!H235</f>
        <v>0</v>
      </c>
      <c r="I237" s="267">
        <f>+ม.ค.!I236+ก.พ.!I235+มี.ค.!I235</f>
        <v>0</v>
      </c>
      <c r="J237" s="267">
        <f>+ม.ค.!J236+ก.พ.!J235+มี.ค.!J235</f>
        <v>0</v>
      </c>
      <c r="K237" s="267">
        <f>+ม.ค.!K236+ก.พ.!K235+มี.ค.!K235</f>
        <v>0</v>
      </c>
      <c r="L237" s="267">
        <f>+ม.ค.!L236+ก.พ.!L235+มี.ค.!L235</f>
        <v>0</v>
      </c>
      <c r="M237" s="267">
        <f>+ม.ค.!M236+ก.พ.!M235+มี.ค.!M235</f>
        <v>0</v>
      </c>
      <c r="N237" s="267">
        <f>+ม.ค.!N236+ก.พ.!N235+มี.ค.!N235</f>
        <v>0</v>
      </c>
      <c r="O237" s="267">
        <f>+ม.ค.!O236+ก.พ.!O235+มี.ค.!O235</f>
        <v>0</v>
      </c>
      <c r="P237" s="267">
        <f>+ม.ค.!P236+ก.พ.!P235+มี.ค.!P235</f>
        <v>0</v>
      </c>
      <c r="Q237" s="267">
        <f>+ม.ค.!Q236+ก.พ.!Q235+มี.ค.!Q235</f>
        <v>0</v>
      </c>
      <c r="R237" s="267">
        <f>+ม.ค.!R236+ก.พ.!R235+มี.ค.!R235</f>
        <v>0</v>
      </c>
      <c r="S237" s="267">
        <f>+ม.ค.!S236+ก.พ.!S235+มี.ค.!S235</f>
        <v>0</v>
      </c>
      <c r="T237" s="267"/>
      <c r="U237" s="267">
        <f>+ม.ค.!U236+ก.พ.!U235+มี.ค.!U235</f>
        <v>0</v>
      </c>
      <c r="V237" s="267">
        <f>+ม.ค.!V236+ก.พ.!V235+มี.ค.!V235</f>
        <v>0</v>
      </c>
    </row>
    <row r="238" spans="1:22" ht="25.5" customHeight="1">
      <c r="A238" s="20"/>
      <c r="B238" s="186" t="s">
        <v>125</v>
      </c>
      <c r="C238" s="295">
        <f>2800+2800+2300</f>
        <v>7900</v>
      </c>
      <c r="D238" s="131"/>
      <c r="E238" s="267">
        <f>+ม.ค.!E237+ก.พ.!E236+มี.ค.!E236</f>
        <v>0</v>
      </c>
      <c r="F238" s="267">
        <f>+ม.ค.!F237+ก.พ.!F236+มี.ค.!F236</f>
        <v>2800</v>
      </c>
      <c r="G238" s="267">
        <f>+ม.ค.!G237+ก.พ.!G236+มี.ค.!G236</f>
        <v>0</v>
      </c>
      <c r="H238" s="267">
        <f>+ม.ค.!H237+ก.พ.!H236+มี.ค.!H236</f>
        <v>0</v>
      </c>
      <c r="I238" s="267">
        <f>+ม.ค.!I237+ก.พ.!I236+มี.ค.!I236</f>
        <v>0</v>
      </c>
      <c r="J238" s="267">
        <f>+ม.ค.!J237+ก.พ.!J236+มี.ค.!J236</f>
        <v>0</v>
      </c>
      <c r="K238" s="267">
        <f>+ม.ค.!K237+ก.พ.!K236+มี.ค.!K236</f>
        <v>0</v>
      </c>
      <c r="L238" s="267">
        <f>+ม.ค.!L237+ก.พ.!L236+มี.ค.!L236</f>
        <v>0</v>
      </c>
      <c r="M238" s="267">
        <f>+ม.ค.!M237+ก.พ.!M236+มี.ค.!M236</f>
        <v>0</v>
      </c>
      <c r="N238" s="267">
        <f>+ม.ค.!N237+ก.พ.!N236+มี.ค.!N236</f>
        <v>0</v>
      </c>
      <c r="O238" s="267">
        <f>+ม.ค.!O237+ก.พ.!O236+มี.ค.!O236</f>
        <v>0</v>
      </c>
      <c r="P238" s="267">
        <f>+ม.ค.!P237+ก.พ.!P236+มี.ค.!P236</f>
        <v>0</v>
      </c>
      <c r="Q238" s="267">
        <f>+ม.ค.!Q237+ก.พ.!Q236+มี.ค.!Q236</f>
        <v>0</v>
      </c>
      <c r="R238" s="267">
        <f>+ม.ค.!R237+ก.พ.!R236+มี.ค.!R236</f>
        <v>0</v>
      </c>
      <c r="S238" s="267">
        <f>+ม.ค.!S237+ก.พ.!S236+มี.ค.!S236</f>
        <v>0</v>
      </c>
      <c r="T238" s="267"/>
      <c r="U238" s="267">
        <f>+ม.ค.!U237+ก.พ.!U236+มี.ค.!U236</f>
        <v>0</v>
      </c>
      <c r="V238" s="267">
        <f>+ม.ค.!V237+ก.พ.!V236+มี.ค.!V236</f>
        <v>0</v>
      </c>
    </row>
    <row r="239" spans="1:22" ht="25.5" customHeight="1">
      <c r="A239" s="20"/>
      <c r="B239" s="186" t="s">
        <v>294</v>
      </c>
      <c r="C239" s="295">
        <v>21000</v>
      </c>
      <c r="D239" s="131"/>
      <c r="E239" s="267">
        <f>+ม.ค.!E238+ก.พ.!E237+มี.ค.!E237</f>
        <v>0</v>
      </c>
      <c r="F239" s="267">
        <f>+ม.ค.!F238+ก.พ.!F237+มี.ค.!F237</f>
        <v>21000</v>
      </c>
      <c r="G239" s="267">
        <f>+ม.ค.!G238+ก.พ.!G237+มี.ค.!G237</f>
        <v>0</v>
      </c>
      <c r="H239" s="267">
        <f>+ม.ค.!H238+ก.พ.!H237+มี.ค.!H237</f>
        <v>0</v>
      </c>
      <c r="I239" s="267">
        <f>+ม.ค.!I238+ก.พ.!I237+มี.ค.!I237</f>
        <v>0</v>
      </c>
      <c r="J239" s="267">
        <f>+ม.ค.!J238+ก.พ.!J237+มี.ค.!J237</f>
        <v>0</v>
      </c>
      <c r="K239" s="267">
        <f>+ม.ค.!K238+ก.พ.!K237+มี.ค.!K237</f>
        <v>0</v>
      </c>
      <c r="L239" s="267">
        <f>+ม.ค.!L238+ก.พ.!L237+มี.ค.!L237</f>
        <v>0</v>
      </c>
      <c r="M239" s="267">
        <f>+ม.ค.!M238+ก.พ.!M237+มี.ค.!M237</f>
        <v>0</v>
      </c>
      <c r="N239" s="267">
        <f>+ม.ค.!N238+ก.พ.!N237+มี.ค.!N237</f>
        <v>0</v>
      </c>
      <c r="O239" s="267">
        <f>+ม.ค.!O238+ก.พ.!O237+มี.ค.!O237</f>
        <v>0</v>
      </c>
      <c r="P239" s="267">
        <f>+ม.ค.!P238+ก.พ.!P237+มี.ค.!P237</f>
        <v>0</v>
      </c>
      <c r="Q239" s="267">
        <f>+ม.ค.!Q238+ก.พ.!Q237+มี.ค.!Q237</f>
        <v>0</v>
      </c>
      <c r="R239" s="267">
        <f>+ม.ค.!R238+ก.พ.!R237+มี.ค.!R237</f>
        <v>0</v>
      </c>
      <c r="S239" s="267">
        <f>+ม.ค.!S238+ก.พ.!S237+มี.ค.!S237</f>
        <v>0</v>
      </c>
      <c r="T239" s="267"/>
      <c r="U239" s="267">
        <f>+ม.ค.!U238+ก.พ.!U237+มี.ค.!U237</f>
        <v>0</v>
      </c>
      <c r="V239" s="267">
        <f>+ม.ค.!V238+ก.พ.!V237+มี.ค.!V237</f>
        <v>0</v>
      </c>
    </row>
    <row r="240" spans="1:22" ht="25.5" customHeight="1">
      <c r="A240" s="20"/>
      <c r="B240" s="186" t="s">
        <v>293</v>
      </c>
      <c r="C240" s="295">
        <v>16000</v>
      </c>
      <c r="D240" s="131"/>
      <c r="E240" s="267">
        <f>+ม.ค.!E239+ก.พ.!E238+มี.ค.!E238</f>
        <v>0</v>
      </c>
      <c r="F240" s="267">
        <f>+ม.ค.!F239+ก.พ.!F238+มี.ค.!F238</f>
        <v>0</v>
      </c>
      <c r="G240" s="267">
        <f>+ม.ค.!G239+ก.พ.!G238+มี.ค.!G238</f>
        <v>0</v>
      </c>
      <c r="H240" s="267">
        <f>+ม.ค.!H239+ก.พ.!H238+มี.ค.!H238</f>
        <v>0</v>
      </c>
      <c r="I240" s="267">
        <f>+ม.ค.!I239+ก.พ.!I238+มี.ค.!I238</f>
        <v>0</v>
      </c>
      <c r="J240" s="267">
        <f>+ม.ค.!J239+ก.พ.!J238+มี.ค.!J238</f>
        <v>0</v>
      </c>
      <c r="K240" s="267">
        <f>+ม.ค.!K239+ก.พ.!K238+มี.ค.!K238</f>
        <v>0</v>
      </c>
      <c r="L240" s="267">
        <f>+ม.ค.!L239+ก.พ.!L238+มี.ค.!L238</f>
        <v>0</v>
      </c>
      <c r="M240" s="267">
        <f>+ม.ค.!M239+ก.พ.!M238+มี.ค.!M238</f>
        <v>0</v>
      </c>
      <c r="N240" s="267">
        <f>+ม.ค.!N239+ก.พ.!N238+มี.ค.!N238</f>
        <v>0</v>
      </c>
      <c r="O240" s="267">
        <f>+ม.ค.!O239+ก.พ.!O238+มี.ค.!O238</f>
        <v>0</v>
      </c>
      <c r="P240" s="267">
        <f>+ม.ค.!P239+ก.พ.!P238+มี.ค.!P238</f>
        <v>0</v>
      </c>
      <c r="Q240" s="267">
        <f>+ม.ค.!Q239+ก.พ.!Q238+มี.ค.!Q238</f>
        <v>0</v>
      </c>
      <c r="R240" s="267">
        <f>+ม.ค.!R239+ก.พ.!R238+มี.ค.!R238</f>
        <v>0</v>
      </c>
      <c r="S240" s="267">
        <f>+ม.ค.!S239+ก.พ.!S238+มี.ค.!S238</f>
        <v>0</v>
      </c>
      <c r="T240" s="267"/>
      <c r="U240" s="267">
        <f>+ม.ค.!U239+ก.พ.!U238+มี.ค.!U238</f>
        <v>0</v>
      </c>
      <c r="V240" s="267">
        <f>+ม.ค.!V239+ก.พ.!V238+มี.ค.!V238</f>
        <v>0</v>
      </c>
    </row>
    <row r="241" spans="1:22" ht="25.5" customHeight="1">
      <c r="A241" s="20"/>
      <c r="B241" s="186" t="s">
        <v>306</v>
      </c>
      <c r="C241" s="295">
        <v>7700</v>
      </c>
      <c r="D241" s="131"/>
      <c r="E241" s="267">
        <f>+ม.ค.!E240+ก.พ.!E239+มี.ค.!E239</f>
        <v>0</v>
      </c>
      <c r="F241" s="267">
        <f>+ม.ค.!F240+ก.พ.!F239+มี.ค.!F239</f>
        <v>0</v>
      </c>
      <c r="G241" s="267">
        <f>+ม.ค.!G240+ก.พ.!G239+มี.ค.!G239</f>
        <v>0</v>
      </c>
      <c r="H241" s="267">
        <f>+ม.ค.!H240+ก.พ.!H239+มี.ค.!H239</f>
        <v>0</v>
      </c>
      <c r="I241" s="267">
        <f>+ม.ค.!I240+ก.พ.!I239+มี.ค.!I239</f>
        <v>0</v>
      </c>
      <c r="J241" s="267">
        <f>+ม.ค.!J240+ก.พ.!J239+มี.ค.!J239</f>
        <v>0</v>
      </c>
      <c r="K241" s="267">
        <f>+ม.ค.!K240+ก.พ.!K239+มี.ค.!K239</f>
        <v>0</v>
      </c>
      <c r="L241" s="267">
        <f>+ม.ค.!L240+ก.พ.!L239+มี.ค.!L239</f>
        <v>0</v>
      </c>
      <c r="M241" s="267">
        <f>+ม.ค.!M240+ก.พ.!M239+มี.ค.!M239</f>
        <v>0</v>
      </c>
      <c r="N241" s="267">
        <f>+ม.ค.!N240+ก.พ.!N239+มี.ค.!N239</f>
        <v>0</v>
      </c>
      <c r="O241" s="267">
        <f>+ม.ค.!O240+ก.พ.!O239+มี.ค.!O239</f>
        <v>0</v>
      </c>
      <c r="P241" s="267">
        <f>+ม.ค.!P240+ก.พ.!P239+มี.ค.!P239</f>
        <v>0</v>
      </c>
      <c r="Q241" s="267">
        <f>+ม.ค.!Q240+ก.พ.!Q239+มี.ค.!Q239</f>
        <v>0</v>
      </c>
      <c r="R241" s="267">
        <f>+ม.ค.!R240+ก.พ.!R239+มี.ค.!R239</f>
        <v>0</v>
      </c>
      <c r="S241" s="267">
        <f>+ม.ค.!S240+ก.พ.!S239+มี.ค.!S239</f>
        <v>0</v>
      </c>
      <c r="T241" s="267"/>
      <c r="U241" s="267">
        <f>+ม.ค.!U240+ก.พ.!U239+มี.ค.!U239</f>
        <v>0</v>
      </c>
      <c r="V241" s="267">
        <f>+ม.ค.!V240+ก.พ.!V239+มี.ค.!V239</f>
        <v>0</v>
      </c>
    </row>
    <row r="242" spans="1:22" ht="25.5" customHeight="1">
      <c r="A242" s="20"/>
      <c r="B242" s="186"/>
      <c r="C242" s="295"/>
      <c r="D242" s="131"/>
      <c r="E242" s="267"/>
      <c r="F242" s="267"/>
      <c r="G242" s="267"/>
      <c r="H242" s="267"/>
      <c r="I242" s="267"/>
      <c r="J242" s="267"/>
      <c r="K242" s="267"/>
      <c r="L242" s="267"/>
      <c r="M242" s="267"/>
      <c r="N242" s="267"/>
      <c r="O242" s="267"/>
      <c r="P242" s="267"/>
      <c r="Q242" s="267"/>
      <c r="R242" s="267"/>
      <c r="S242" s="267"/>
      <c r="T242" s="267"/>
      <c r="U242" s="267"/>
      <c r="V242" s="267"/>
    </row>
    <row r="243" spans="1:22" ht="25.5" customHeight="1">
      <c r="A243" s="20"/>
      <c r="B243" s="252" t="s">
        <v>336</v>
      </c>
      <c r="C243" s="295"/>
      <c r="D243" s="131"/>
      <c r="E243" s="267"/>
      <c r="F243" s="135"/>
      <c r="G243" s="135"/>
      <c r="H243" s="135"/>
      <c r="I243" s="131"/>
      <c r="J243" s="131"/>
      <c r="K243" s="131"/>
      <c r="L243" s="131"/>
      <c r="M243" s="135"/>
      <c r="N243" s="131"/>
      <c r="O243" s="131"/>
      <c r="P243" s="131"/>
      <c r="Q243" s="131"/>
      <c r="R243" s="217"/>
      <c r="S243" s="219"/>
      <c r="T243" s="219"/>
      <c r="U243" s="217"/>
      <c r="V243" s="217"/>
    </row>
    <row r="244" spans="1:22" ht="25.5" customHeight="1">
      <c r="A244" s="20"/>
      <c r="B244" s="186" t="s">
        <v>337</v>
      </c>
      <c r="C244" s="295">
        <v>9000</v>
      </c>
      <c r="D244" s="131"/>
      <c r="E244" s="267">
        <f>+'ต.ค. '!E244+พ.ย.!E242+ธ.ค.!E242</f>
        <v>0</v>
      </c>
      <c r="F244" s="267">
        <f>+'ต.ค. '!F244+พ.ย.!F242+ธ.ค.!F242</f>
        <v>0</v>
      </c>
      <c r="G244" s="267">
        <f>+'ต.ค. '!G244+พ.ย.!G242+ธ.ค.!G242</f>
        <v>0</v>
      </c>
      <c r="H244" s="267">
        <f>+'ต.ค. '!H244+พ.ย.!H242+ธ.ค.!H242</f>
        <v>0</v>
      </c>
      <c r="I244" s="267">
        <f>+'ต.ค. '!I244+พ.ย.!I242+ธ.ค.!I242</f>
        <v>0</v>
      </c>
      <c r="J244" s="267">
        <f>+'ต.ค. '!J244+พ.ย.!J242+ธ.ค.!J242</f>
        <v>0</v>
      </c>
      <c r="K244" s="267">
        <f>+'ต.ค. '!K244+พ.ย.!K242+ธ.ค.!K242</f>
        <v>0</v>
      </c>
      <c r="L244" s="267">
        <f>+'ต.ค. '!L244+พ.ย.!L242+ธ.ค.!L242</f>
        <v>0</v>
      </c>
      <c r="M244" s="267">
        <f>+'ต.ค. '!M244+พ.ย.!M242+ธ.ค.!M242</f>
        <v>0</v>
      </c>
      <c r="N244" s="267">
        <f>+'ต.ค. '!N244+พ.ย.!N242+ธ.ค.!N242</f>
        <v>0</v>
      </c>
      <c r="O244" s="267">
        <f>+'ต.ค. '!O244+พ.ย.!O242+ธ.ค.!O242</f>
        <v>0</v>
      </c>
      <c r="P244" s="267">
        <f>+'ต.ค. '!P244+พ.ย.!P242+ธ.ค.!P242</f>
        <v>0</v>
      </c>
      <c r="Q244" s="267">
        <f>+'ต.ค. '!Q244+พ.ย.!Q242+ธ.ค.!Q242</f>
        <v>0</v>
      </c>
      <c r="R244" s="267">
        <f>+'ต.ค. '!R244+พ.ย.!R242+ธ.ค.!R242</f>
        <v>0</v>
      </c>
      <c r="S244" s="267">
        <f>+'ต.ค. '!S244+พ.ย.!S242+ธ.ค.!S242</f>
        <v>0</v>
      </c>
      <c r="T244" s="267"/>
      <c r="U244" s="267">
        <f>+'ต.ค. '!U244+พ.ย.!U242+ธ.ค.!U242</f>
        <v>0</v>
      </c>
      <c r="V244" s="267">
        <f>+'ต.ค. '!V244+พ.ย.!V242+ธ.ค.!V242</f>
        <v>0</v>
      </c>
    </row>
    <row r="245" spans="1:22" ht="25.5" customHeight="1">
      <c r="A245" s="20"/>
      <c r="B245" s="186"/>
      <c r="C245" s="295"/>
      <c r="D245" s="131"/>
      <c r="E245" s="267"/>
      <c r="F245" s="267"/>
      <c r="G245" s="267"/>
      <c r="H245" s="267"/>
      <c r="I245" s="267"/>
      <c r="J245" s="267"/>
      <c r="K245" s="267"/>
      <c r="L245" s="267"/>
      <c r="M245" s="267"/>
      <c r="N245" s="267"/>
      <c r="O245" s="267"/>
      <c r="P245" s="267"/>
      <c r="Q245" s="267"/>
      <c r="R245" s="267"/>
      <c r="S245" s="267"/>
      <c r="T245" s="267"/>
      <c r="U245" s="267"/>
      <c r="V245" s="267"/>
    </row>
    <row r="246" spans="1:22" ht="25.5" customHeight="1">
      <c r="A246" s="20"/>
      <c r="B246" s="252" t="s">
        <v>338</v>
      </c>
      <c r="C246" s="295"/>
      <c r="D246" s="131"/>
      <c r="E246" s="267"/>
      <c r="F246" s="135"/>
      <c r="G246" s="135"/>
      <c r="H246" s="135"/>
      <c r="I246" s="131"/>
      <c r="J246" s="131"/>
      <c r="K246" s="131"/>
      <c r="L246" s="131"/>
      <c r="M246" s="135"/>
      <c r="N246" s="131"/>
      <c r="O246" s="131"/>
      <c r="P246" s="131"/>
      <c r="Q246" s="131"/>
      <c r="R246" s="217"/>
      <c r="S246" s="219"/>
      <c r="T246" s="219"/>
      <c r="U246" s="217"/>
      <c r="V246" s="217"/>
    </row>
    <row r="247" spans="1:22" ht="25.5" customHeight="1">
      <c r="A247" s="20"/>
      <c r="B247" s="186" t="s">
        <v>339</v>
      </c>
      <c r="C247" s="295">
        <v>8000</v>
      </c>
      <c r="D247" s="131"/>
      <c r="E247" s="267">
        <f>+'ต.ค. '!E247+พ.ย.!E244+ธ.ค.!E244</f>
        <v>0</v>
      </c>
      <c r="F247" s="267">
        <f>+'ต.ค. '!F247+พ.ย.!F244+ธ.ค.!F244</f>
        <v>0</v>
      </c>
      <c r="G247" s="267">
        <f>+'ต.ค. '!G247+พ.ย.!G244+ธ.ค.!G244</f>
        <v>0</v>
      </c>
      <c r="H247" s="267">
        <f>+'ต.ค. '!H247+พ.ย.!H244+ธ.ค.!H244</f>
        <v>0</v>
      </c>
      <c r="I247" s="267">
        <f>+'ต.ค. '!I247+พ.ย.!I244+ธ.ค.!I244</f>
        <v>0</v>
      </c>
      <c r="J247" s="267">
        <f>+'ต.ค. '!J247+พ.ย.!J244+ธ.ค.!J244</f>
        <v>0</v>
      </c>
      <c r="K247" s="267">
        <f>+'ต.ค. '!K247+พ.ย.!K244+ธ.ค.!K244</f>
        <v>0</v>
      </c>
      <c r="L247" s="267">
        <f>+'ต.ค. '!L247+พ.ย.!L244+ธ.ค.!L244</f>
        <v>0</v>
      </c>
      <c r="M247" s="267">
        <f>+'ต.ค. '!M247+พ.ย.!M244+ธ.ค.!M244</f>
        <v>0</v>
      </c>
      <c r="N247" s="267">
        <f>+'ต.ค. '!N247+พ.ย.!N244+ธ.ค.!N244</f>
        <v>0</v>
      </c>
      <c r="O247" s="267">
        <f>+'ต.ค. '!O247+พ.ย.!O244+ธ.ค.!O244</f>
        <v>0</v>
      </c>
      <c r="P247" s="267">
        <f>+'ต.ค. '!P247+พ.ย.!P244+ธ.ค.!P244</f>
        <v>0</v>
      </c>
      <c r="Q247" s="267">
        <f>+'ต.ค. '!Q247+พ.ย.!Q244+ธ.ค.!Q244</f>
        <v>0</v>
      </c>
      <c r="R247" s="267">
        <f>+'ต.ค. '!R247+พ.ย.!R244+ธ.ค.!R244</f>
        <v>0</v>
      </c>
      <c r="S247" s="267">
        <f>+'ต.ค. '!S247+พ.ย.!S244+ธ.ค.!S244</f>
        <v>0</v>
      </c>
      <c r="T247" s="267"/>
      <c r="U247" s="267">
        <f>+'ต.ค. '!U247+พ.ย.!U244+ธ.ค.!U244</f>
        <v>0</v>
      </c>
      <c r="V247" s="267">
        <f>+'ต.ค. '!V247+พ.ย.!V244+ธ.ค.!V244</f>
        <v>0</v>
      </c>
    </row>
    <row r="248" spans="1:22" ht="25.5" customHeight="1">
      <c r="A248" s="20"/>
      <c r="B248" s="186" t="s">
        <v>340</v>
      </c>
      <c r="C248" s="295">
        <v>6000</v>
      </c>
      <c r="D248" s="131"/>
      <c r="E248" s="267">
        <f>+'ต.ค. '!E248+พ.ย.!E245+ธ.ค.!E245</f>
        <v>0</v>
      </c>
      <c r="F248" s="267">
        <f>+'ต.ค. '!F248+พ.ย.!F245+ธ.ค.!F245</f>
        <v>0</v>
      </c>
      <c r="G248" s="267">
        <f>+'ต.ค. '!G248+พ.ย.!G245+ธ.ค.!G245</f>
        <v>0</v>
      </c>
      <c r="H248" s="267">
        <f>+'ต.ค. '!H248+พ.ย.!H245+ธ.ค.!H245</f>
        <v>0</v>
      </c>
      <c r="I248" s="267">
        <f>+'ต.ค. '!I248+พ.ย.!I245+ธ.ค.!I245</f>
        <v>0</v>
      </c>
      <c r="J248" s="267">
        <f>+'ต.ค. '!J248+พ.ย.!J245+ธ.ค.!J245</f>
        <v>0</v>
      </c>
      <c r="K248" s="267">
        <f>+'ต.ค. '!K248+พ.ย.!K245+ธ.ค.!K245</f>
        <v>0</v>
      </c>
      <c r="L248" s="267">
        <f>+'ต.ค. '!L248+พ.ย.!L245+ธ.ค.!L245</f>
        <v>0</v>
      </c>
      <c r="M248" s="267">
        <f>+'ต.ค. '!M248+พ.ย.!M245+ธ.ค.!M245</f>
        <v>0</v>
      </c>
      <c r="N248" s="267">
        <f>+'ต.ค. '!N248+พ.ย.!N245+ธ.ค.!N245</f>
        <v>0</v>
      </c>
      <c r="O248" s="267">
        <f>+'ต.ค. '!O248+พ.ย.!O245+ธ.ค.!O245</f>
        <v>0</v>
      </c>
      <c r="P248" s="267">
        <f>+'ต.ค. '!P248+พ.ย.!P245+ธ.ค.!P245</f>
        <v>0</v>
      </c>
      <c r="Q248" s="267">
        <f>+'ต.ค. '!Q248+พ.ย.!Q245+ธ.ค.!Q245</f>
        <v>0</v>
      </c>
      <c r="R248" s="267">
        <f>+'ต.ค. '!R248+พ.ย.!R245+ธ.ค.!R245</f>
        <v>0</v>
      </c>
      <c r="S248" s="267">
        <f>+'ต.ค. '!S248+พ.ย.!S245+ธ.ค.!S245</f>
        <v>0</v>
      </c>
      <c r="T248" s="267"/>
      <c r="U248" s="267">
        <f>+'ต.ค. '!U248+พ.ย.!U245+ธ.ค.!U245</f>
        <v>0</v>
      </c>
      <c r="V248" s="267">
        <f>+'ต.ค. '!V248+พ.ย.!V245+ธ.ค.!V245</f>
        <v>0</v>
      </c>
    </row>
    <row r="249" spans="1:22" ht="25.5" customHeight="1">
      <c r="A249" s="20"/>
      <c r="B249" s="186"/>
      <c r="C249" s="295"/>
      <c r="D249" s="131"/>
      <c r="E249" s="267"/>
      <c r="F249" s="267"/>
      <c r="G249" s="267"/>
      <c r="H249" s="267"/>
      <c r="I249" s="267"/>
      <c r="J249" s="267"/>
      <c r="K249" s="267"/>
      <c r="L249" s="267"/>
      <c r="M249" s="267"/>
      <c r="N249" s="267"/>
      <c r="O249" s="267"/>
      <c r="P249" s="267"/>
      <c r="Q249" s="267"/>
      <c r="R249" s="267"/>
      <c r="S249" s="267"/>
      <c r="T249" s="267"/>
      <c r="U249" s="267"/>
      <c r="V249" s="267"/>
    </row>
    <row r="250" spans="1:22" ht="25.5" customHeight="1">
      <c r="A250" s="20"/>
      <c r="B250" s="252" t="s">
        <v>341</v>
      </c>
      <c r="C250" s="295"/>
      <c r="D250" s="131"/>
      <c r="E250" s="267"/>
      <c r="F250" s="135"/>
      <c r="G250" s="135"/>
      <c r="H250" s="135"/>
      <c r="I250" s="131"/>
      <c r="J250" s="131"/>
      <c r="K250" s="131"/>
      <c r="L250" s="131"/>
      <c r="M250" s="135"/>
      <c r="N250" s="131"/>
      <c r="O250" s="131"/>
      <c r="P250" s="131"/>
      <c r="Q250" s="131"/>
      <c r="R250" s="217"/>
      <c r="S250" s="219"/>
      <c r="T250" s="219"/>
      <c r="U250" s="217"/>
      <c r="V250" s="217"/>
    </row>
    <row r="251" spans="1:22" ht="25.5" customHeight="1">
      <c r="A251" s="20"/>
      <c r="B251" s="186" t="s">
        <v>342</v>
      </c>
      <c r="C251" s="295">
        <v>45300</v>
      </c>
      <c r="D251" s="131"/>
      <c r="E251" s="267">
        <f>+ม.ค.!E247+ก.พ.!E246+มี.ค.!E246</f>
        <v>0</v>
      </c>
      <c r="F251" s="267">
        <f>+ม.ค.!F247+ก.พ.!F246+มี.ค.!F246</f>
        <v>0</v>
      </c>
      <c r="G251" s="267">
        <f>+ม.ค.!G247+ก.พ.!G246+มี.ค.!G246</f>
        <v>0</v>
      </c>
      <c r="H251" s="267">
        <f>+ม.ค.!H247+ก.พ.!H246+มี.ค.!H246</f>
        <v>0</v>
      </c>
      <c r="I251" s="267">
        <f>+ม.ค.!I247+ก.พ.!I246+มี.ค.!I246</f>
        <v>0</v>
      </c>
      <c r="J251" s="267">
        <f>+ม.ค.!J247+ก.พ.!J246+มี.ค.!J246</f>
        <v>0</v>
      </c>
      <c r="K251" s="267">
        <f>+ม.ค.!K247+ก.พ.!K246+มี.ค.!K246</f>
        <v>0</v>
      </c>
      <c r="L251" s="267">
        <f>+ม.ค.!L247+ก.พ.!L246+มี.ค.!L246</f>
        <v>0</v>
      </c>
      <c r="M251" s="267">
        <f>+ม.ค.!M247+ก.พ.!M246+มี.ค.!M246</f>
        <v>0</v>
      </c>
      <c r="N251" s="267">
        <f>+ม.ค.!N247+ก.พ.!N246+มี.ค.!N246</f>
        <v>0</v>
      </c>
      <c r="O251" s="267">
        <f>+ม.ค.!O247+ก.พ.!O246+มี.ค.!O246</f>
        <v>0</v>
      </c>
      <c r="P251" s="267">
        <f>+ม.ค.!P247+ก.พ.!P246+มี.ค.!P246</f>
        <v>0</v>
      </c>
      <c r="Q251" s="267">
        <f>+ม.ค.!Q247+ก.พ.!Q246+มี.ค.!Q246</f>
        <v>0</v>
      </c>
      <c r="R251" s="267">
        <f>+ม.ค.!R247+ก.พ.!R246+มี.ค.!R246</f>
        <v>0</v>
      </c>
      <c r="S251" s="267">
        <f>+ม.ค.!S247+ก.พ.!S246+มี.ค.!S246</f>
        <v>0</v>
      </c>
      <c r="T251" s="267"/>
      <c r="U251" s="267">
        <f>+ม.ค.!U247+ก.พ.!U246+มี.ค.!U246</f>
        <v>0</v>
      </c>
      <c r="V251" s="267">
        <f>+ม.ค.!V247+ก.พ.!V246+มี.ค.!V246</f>
        <v>0</v>
      </c>
    </row>
    <row r="252" spans="1:22" ht="25.5" customHeight="1">
      <c r="A252" s="20"/>
      <c r="B252" s="186" t="s">
        <v>343</v>
      </c>
      <c r="C252" s="295">
        <v>128000</v>
      </c>
      <c r="D252" s="131"/>
      <c r="E252" s="267">
        <f>+ม.ค.!E248+ก.พ.!E247+มี.ค.!E247</f>
        <v>0</v>
      </c>
      <c r="F252" s="267">
        <f>+ม.ค.!F248+ก.พ.!F247+มี.ค.!F247</f>
        <v>0</v>
      </c>
      <c r="G252" s="267">
        <f>+ม.ค.!G248+ก.พ.!G247+มี.ค.!G247</f>
        <v>0</v>
      </c>
      <c r="H252" s="267">
        <f>+ม.ค.!H248+ก.พ.!H247+มี.ค.!H247</f>
        <v>0</v>
      </c>
      <c r="I252" s="267">
        <f>+ม.ค.!I248+ก.พ.!I247+มี.ค.!I247</f>
        <v>0</v>
      </c>
      <c r="J252" s="267">
        <f>+ม.ค.!J248+ก.พ.!J247+มี.ค.!J247</f>
        <v>0</v>
      </c>
      <c r="K252" s="267">
        <f>+ม.ค.!K248+ก.พ.!K247+มี.ค.!K247</f>
        <v>0</v>
      </c>
      <c r="L252" s="267">
        <f>+ม.ค.!L248+ก.พ.!L247+มี.ค.!L247</f>
        <v>0</v>
      </c>
      <c r="M252" s="267">
        <f>+ม.ค.!M248+ก.พ.!M247+มี.ค.!M247</f>
        <v>0</v>
      </c>
      <c r="N252" s="267">
        <f>+ม.ค.!N248+ก.พ.!N247+มี.ค.!N247</f>
        <v>0</v>
      </c>
      <c r="O252" s="267">
        <f>+ม.ค.!O248+ก.พ.!O247+มี.ค.!O247</f>
        <v>0</v>
      </c>
      <c r="P252" s="267">
        <f>+ม.ค.!P248+ก.พ.!P247+มี.ค.!P247</f>
        <v>0</v>
      </c>
      <c r="Q252" s="267">
        <f>+ม.ค.!Q248+ก.พ.!Q247+มี.ค.!Q247</f>
        <v>0</v>
      </c>
      <c r="R252" s="267">
        <f>+ม.ค.!R248+ก.พ.!R247+มี.ค.!R247</f>
        <v>0</v>
      </c>
      <c r="S252" s="267">
        <f>+ม.ค.!S248+ก.พ.!S247+มี.ค.!S247</f>
        <v>0</v>
      </c>
      <c r="T252" s="267"/>
      <c r="U252" s="267">
        <f>+ม.ค.!U248+ก.พ.!U247+มี.ค.!U247</f>
        <v>0</v>
      </c>
      <c r="V252" s="267">
        <f>+ม.ค.!V248+ก.พ.!V247+มี.ค.!V247</f>
        <v>0</v>
      </c>
    </row>
    <row r="253" spans="1:22" ht="25.5" customHeight="1">
      <c r="A253" s="20"/>
      <c r="B253" s="186" t="s">
        <v>264</v>
      </c>
      <c r="C253" s="295">
        <v>204000</v>
      </c>
      <c r="D253" s="131"/>
      <c r="E253" s="267">
        <f>+ม.ค.!E249+ก.พ.!E248+มี.ค.!E248</f>
        <v>0</v>
      </c>
      <c r="F253" s="267">
        <f>+ม.ค.!F249+ก.พ.!F248+มี.ค.!F248</f>
        <v>0</v>
      </c>
      <c r="G253" s="267">
        <f>+ม.ค.!G249+ก.พ.!G248+มี.ค.!G248</f>
        <v>0</v>
      </c>
      <c r="H253" s="267">
        <f>+ม.ค.!H249+ก.พ.!H248+มี.ค.!H248</f>
        <v>0</v>
      </c>
      <c r="I253" s="267">
        <f>+ม.ค.!I249+ก.พ.!I248+มี.ค.!I248</f>
        <v>0</v>
      </c>
      <c r="J253" s="267">
        <f>+ม.ค.!J249+ก.พ.!J248+มี.ค.!J248</f>
        <v>0</v>
      </c>
      <c r="K253" s="267">
        <f>+ม.ค.!K249+ก.พ.!K248+มี.ค.!K248</f>
        <v>0</v>
      </c>
      <c r="L253" s="267">
        <f>+ม.ค.!L249+ก.พ.!L248+มี.ค.!L248</f>
        <v>0</v>
      </c>
      <c r="M253" s="267">
        <f>+ม.ค.!M249+ก.พ.!M248+มี.ค.!M248</f>
        <v>0</v>
      </c>
      <c r="N253" s="267">
        <f>+ม.ค.!N249+ก.พ.!N248+มี.ค.!N248</f>
        <v>200000</v>
      </c>
      <c r="O253" s="267">
        <f>+ม.ค.!O249+ก.พ.!O248+มี.ค.!O248</f>
        <v>0</v>
      </c>
      <c r="P253" s="267">
        <f>+ม.ค.!P249+ก.พ.!P248+มี.ค.!P248</f>
        <v>0</v>
      </c>
      <c r="Q253" s="267">
        <f>+ม.ค.!Q249+ก.พ.!Q248+มี.ค.!Q248</f>
        <v>0</v>
      </c>
      <c r="R253" s="267">
        <f>+ม.ค.!R249+ก.พ.!R248+มี.ค.!R248</f>
        <v>0</v>
      </c>
      <c r="S253" s="267">
        <f>+ม.ค.!S249+ก.พ.!S248+มี.ค.!S248</f>
        <v>0</v>
      </c>
      <c r="T253" s="267"/>
      <c r="U253" s="267">
        <f>+ม.ค.!U249+ก.พ.!U248+มี.ค.!U248</f>
        <v>0</v>
      </c>
      <c r="V253" s="267">
        <f>+ม.ค.!V249+ก.พ.!V248+มี.ค.!V248</f>
        <v>0</v>
      </c>
    </row>
    <row r="254" spans="1:22" ht="25.5" customHeight="1">
      <c r="A254" s="20"/>
      <c r="B254" s="186" t="s">
        <v>381</v>
      </c>
      <c r="C254" s="295">
        <v>204000</v>
      </c>
      <c r="D254" s="131"/>
      <c r="E254" s="267">
        <f>+ม.ค.!E250+ก.พ.!E249+มี.ค.!E249</f>
        <v>0</v>
      </c>
      <c r="F254" s="267">
        <f>+ม.ค.!F250+ก.พ.!F249+มี.ค.!F249</f>
        <v>0</v>
      </c>
      <c r="G254" s="267">
        <f>+ม.ค.!G250+ก.พ.!G249+มี.ค.!G249</f>
        <v>0</v>
      </c>
      <c r="H254" s="267">
        <f>+ม.ค.!H250+ก.พ.!H249+มี.ค.!H249</f>
        <v>0</v>
      </c>
      <c r="I254" s="267">
        <f>+ม.ค.!I250+ก.พ.!I249+มี.ค.!I249</f>
        <v>0</v>
      </c>
      <c r="J254" s="267">
        <f>+ม.ค.!J250+ก.พ.!J249+มี.ค.!J249</f>
        <v>0</v>
      </c>
      <c r="K254" s="267">
        <f>+ม.ค.!K250+ก.พ.!K249+มี.ค.!K249</f>
        <v>0</v>
      </c>
      <c r="L254" s="267">
        <f>+ม.ค.!L250+ก.พ.!L249+มี.ค.!L249</f>
        <v>0</v>
      </c>
      <c r="M254" s="267">
        <f>+ม.ค.!M250+ก.พ.!M249+มี.ค.!M249</f>
        <v>0</v>
      </c>
      <c r="N254" s="267">
        <f>+ม.ค.!N250+ก.พ.!N249+มี.ค.!N249</f>
        <v>0</v>
      </c>
      <c r="O254" s="267">
        <f>+ม.ค.!O250+ก.พ.!O249+มี.ค.!O249</f>
        <v>0</v>
      </c>
      <c r="P254" s="267">
        <f>+ม.ค.!P250+ก.พ.!P249+มี.ค.!P249</f>
        <v>0</v>
      </c>
      <c r="Q254" s="267">
        <f>+ม.ค.!Q250+ก.พ.!Q249+มี.ค.!Q249</f>
        <v>0</v>
      </c>
      <c r="R254" s="267">
        <f>+ม.ค.!R250+ก.พ.!R249+มี.ค.!R249</f>
        <v>0</v>
      </c>
      <c r="S254" s="267">
        <f>+ม.ค.!S250+ก.พ.!S249+มี.ค.!S249</f>
        <v>0</v>
      </c>
      <c r="T254" s="267"/>
      <c r="U254" s="267">
        <f>+ม.ค.!U250+ก.พ.!U249+มี.ค.!U249</f>
        <v>0</v>
      </c>
      <c r="V254" s="267">
        <f>+ม.ค.!V250+ก.พ.!V249+มี.ค.!V249</f>
        <v>0</v>
      </c>
    </row>
    <row r="255" spans="1:22" ht="25.5" customHeight="1">
      <c r="A255" s="20"/>
      <c r="B255" s="186" t="s">
        <v>344</v>
      </c>
      <c r="C255" s="295">
        <v>204000</v>
      </c>
      <c r="D255" s="131"/>
      <c r="E255" s="267">
        <f>+ม.ค.!E251+ก.พ.!E250+มี.ค.!E250</f>
        <v>0</v>
      </c>
      <c r="F255" s="267">
        <f>+ม.ค.!F251+ก.พ.!F250+มี.ค.!F250</f>
        <v>0</v>
      </c>
      <c r="G255" s="267">
        <f>+ม.ค.!G251+ก.พ.!G250+มี.ค.!G250</f>
        <v>0</v>
      </c>
      <c r="H255" s="267">
        <f>+ม.ค.!H251+ก.พ.!H250+มี.ค.!H250</f>
        <v>0</v>
      </c>
      <c r="I255" s="267">
        <f>+ม.ค.!I251+ก.พ.!I250+มี.ค.!I250</f>
        <v>0</v>
      </c>
      <c r="J255" s="267">
        <f>+ม.ค.!J251+ก.พ.!J250+มี.ค.!J250</f>
        <v>0</v>
      </c>
      <c r="K255" s="267">
        <f>+ม.ค.!K251+ก.พ.!K250+มี.ค.!K250</f>
        <v>0</v>
      </c>
      <c r="L255" s="267">
        <f>+ม.ค.!L251+ก.พ.!L250+มี.ค.!L250</f>
        <v>0</v>
      </c>
      <c r="M255" s="267">
        <f>+ม.ค.!M251+ก.พ.!M250+มี.ค.!M250</f>
        <v>0</v>
      </c>
      <c r="N255" s="267">
        <f>+ม.ค.!N251+ก.พ.!N250+มี.ค.!N250</f>
        <v>0</v>
      </c>
      <c r="O255" s="267">
        <f>+ม.ค.!O251+ก.พ.!O250+มี.ค.!O250</f>
        <v>0</v>
      </c>
      <c r="P255" s="267">
        <f>+ม.ค.!P251+ก.พ.!P250+มี.ค.!P250</f>
        <v>0</v>
      </c>
      <c r="Q255" s="267">
        <f>+ม.ค.!Q251+ก.พ.!Q250+มี.ค.!Q250</f>
        <v>0</v>
      </c>
      <c r="R255" s="267">
        <f>+ม.ค.!R251+ก.พ.!R250+มี.ค.!R250</f>
        <v>0</v>
      </c>
      <c r="S255" s="267">
        <f>+ม.ค.!S251+ก.พ.!S250+มี.ค.!S250</f>
        <v>0</v>
      </c>
      <c r="T255" s="267"/>
      <c r="U255" s="267">
        <f>+ม.ค.!U251+ก.พ.!U250+มี.ค.!U250</f>
        <v>0</v>
      </c>
      <c r="V255" s="267">
        <f>+ม.ค.!V251+ก.พ.!V250+มี.ค.!V250</f>
        <v>0</v>
      </c>
    </row>
    <row r="256" spans="1:22" ht="25.5" customHeight="1">
      <c r="A256" s="20"/>
      <c r="B256" s="186" t="s">
        <v>345</v>
      </c>
      <c r="C256" s="295">
        <v>217000</v>
      </c>
      <c r="D256" s="131"/>
      <c r="E256" s="267">
        <f>+ม.ค.!E252+ก.พ.!E251+มี.ค.!E251</f>
        <v>0</v>
      </c>
      <c r="F256" s="267">
        <f>+ม.ค.!F252+ก.พ.!F251+มี.ค.!F251</f>
        <v>0</v>
      </c>
      <c r="G256" s="267">
        <f>+ม.ค.!G252+ก.พ.!G251+มี.ค.!G251</f>
        <v>0</v>
      </c>
      <c r="H256" s="267">
        <f>+ม.ค.!H252+ก.พ.!H251+มี.ค.!H251</f>
        <v>0</v>
      </c>
      <c r="I256" s="267">
        <f>+ม.ค.!I252+ก.พ.!I251+มี.ค.!I251</f>
        <v>0</v>
      </c>
      <c r="J256" s="267">
        <f>+ม.ค.!J252+ก.พ.!J251+มี.ค.!J251</f>
        <v>0</v>
      </c>
      <c r="K256" s="267">
        <f>+ม.ค.!K252+ก.พ.!K251+มี.ค.!K251</f>
        <v>0</v>
      </c>
      <c r="L256" s="267">
        <f>+ม.ค.!L252+ก.พ.!L251+มี.ค.!L251</f>
        <v>0</v>
      </c>
      <c r="M256" s="267">
        <f>+ม.ค.!M252+ก.พ.!M251+มี.ค.!M251</f>
        <v>0</v>
      </c>
      <c r="N256" s="267">
        <f>+ม.ค.!N252+ก.พ.!N251+มี.ค.!N251</f>
        <v>0</v>
      </c>
      <c r="O256" s="267">
        <f>+ม.ค.!O252+ก.พ.!O251+มี.ค.!O251</f>
        <v>0</v>
      </c>
      <c r="P256" s="267">
        <f>+ม.ค.!P252+ก.พ.!P251+มี.ค.!P251</f>
        <v>0</v>
      </c>
      <c r="Q256" s="267">
        <f>+ม.ค.!Q252+ก.พ.!Q251+มี.ค.!Q251</f>
        <v>0</v>
      </c>
      <c r="R256" s="267">
        <f>+ม.ค.!R252+ก.พ.!R251+มี.ค.!R251</f>
        <v>0</v>
      </c>
      <c r="S256" s="267">
        <f>+ม.ค.!S252+ก.พ.!S251+มี.ค.!S251</f>
        <v>0</v>
      </c>
      <c r="T256" s="267"/>
      <c r="U256" s="267">
        <f>+ม.ค.!U252+ก.พ.!U251+มี.ค.!U251</f>
        <v>0</v>
      </c>
      <c r="V256" s="267">
        <f>+ม.ค.!V252+ก.พ.!V251+มี.ค.!V251</f>
        <v>0</v>
      </c>
    </row>
    <row r="257" spans="1:23" ht="25.5" customHeight="1">
      <c r="A257" s="20"/>
      <c r="B257" s="186" t="s">
        <v>346</v>
      </c>
      <c r="C257" s="295">
        <v>27000</v>
      </c>
      <c r="D257" s="131"/>
      <c r="E257" s="267">
        <f>+ม.ค.!E253+ก.พ.!E252+มี.ค.!E252</f>
        <v>0</v>
      </c>
      <c r="F257" s="267">
        <f>+ม.ค.!F253+ก.พ.!F252+มี.ค.!F252</f>
        <v>0</v>
      </c>
      <c r="G257" s="267">
        <f>+ม.ค.!G253+ก.พ.!G252+มี.ค.!G252</f>
        <v>0</v>
      </c>
      <c r="H257" s="267">
        <f>+ม.ค.!H253+ก.พ.!H252+มี.ค.!H252</f>
        <v>0</v>
      </c>
      <c r="I257" s="267">
        <f>+ม.ค.!I253+ก.พ.!I252+มี.ค.!I252</f>
        <v>0</v>
      </c>
      <c r="J257" s="267">
        <f>+ม.ค.!J253+ก.พ.!J252+มี.ค.!J252</f>
        <v>0</v>
      </c>
      <c r="K257" s="267">
        <f>+ม.ค.!K253+ก.พ.!K252+มี.ค.!K252</f>
        <v>0</v>
      </c>
      <c r="L257" s="267">
        <f>+ม.ค.!L253+ก.พ.!L252+มี.ค.!L252</f>
        <v>0</v>
      </c>
      <c r="M257" s="267">
        <f>+ม.ค.!M253+ก.พ.!M252+มี.ค.!M252</f>
        <v>0</v>
      </c>
      <c r="N257" s="267">
        <f>+ม.ค.!N253+ก.พ.!N252+มี.ค.!N252</f>
        <v>0</v>
      </c>
      <c r="O257" s="267">
        <f>+ม.ค.!O253+ก.พ.!O252+มี.ค.!O252</f>
        <v>0</v>
      </c>
      <c r="P257" s="267">
        <f>+ม.ค.!P253+ก.พ.!P252+มี.ค.!P252</f>
        <v>0</v>
      </c>
      <c r="Q257" s="267">
        <f>+ม.ค.!Q253+ก.พ.!Q252+มี.ค.!Q252</f>
        <v>0</v>
      </c>
      <c r="R257" s="267">
        <f>+ม.ค.!R253+ก.พ.!R252+มี.ค.!R252</f>
        <v>0</v>
      </c>
      <c r="S257" s="267">
        <f>+ม.ค.!S253+ก.พ.!S252+มี.ค.!S252</f>
        <v>0</v>
      </c>
      <c r="T257" s="267"/>
      <c r="U257" s="267">
        <f>+ม.ค.!U253+ก.พ.!U252+มี.ค.!U252</f>
        <v>0</v>
      </c>
      <c r="V257" s="267">
        <f>+ม.ค.!V253+ก.พ.!V252+มี.ค.!V252</f>
        <v>0</v>
      </c>
    </row>
    <row r="258" spans="1:23" ht="25.5" customHeight="1">
      <c r="A258" s="20"/>
      <c r="B258" s="186" t="s">
        <v>347</v>
      </c>
      <c r="C258" s="295">
        <v>211000</v>
      </c>
      <c r="D258" s="131"/>
      <c r="E258" s="267">
        <f>+ม.ค.!E254+ก.พ.!E253+มี.ค.!E253</f>
        <v>0</v>
      </c>
      <c r="F258" s="267">
        <f>+ม.ค.!F254+ก.พ.!F253+มี.ค.!F253</f>
        <v>0</v>
      </c>
      <c r="G258" s="267">
        <f>+ม.ค.!G254+ก.พ.!G253+มี.ค.!G253</f>
        <v>0</v>
      </c>
      <c r="H258" s="267">
        <f>+ม.ค.!H254+ก.พ.!H253+มี.ค.!H253</f>
        <v>0</v>
      </c>
      <c r="I258" s="267">
        <f>+ม.ค.!I254+ก.พ.!I253+มี.ค.!I253</f>
        <v>0</v>
      </c>
      <c r="J258" s="267">
        <f>+ม.ค.!J254+ก.พ.!J253+มี.ค.!J253</f>
        <v>0</v>
      </c>
      <c r="K258" s="267">
        <f>+ม.ค.!K254+ก.พ.!K253+มี.ค.!K253</f>
        <v>0</v>
      </c>
      <c r="L258" s="267">
        <f>+ม.ค.!L254+ก.พ.!L253+มี.ค.!L253</f>
        <v>0</v>
      </c>
      <c r="M258" s="267">
        <f>+ม.ค.!M254+ก.พ.!M253+มี.ค.!M253</f>
        <v>0</v>
      </c>
      <c r="N258" s="267">
        <f>+ม.ค.!N254+ก.พ.!N253+มี.ค.!N253</f>
        <v>0</v>
      </c>
      <c r="O258" s="267">
        <f>+ม.ค.!O254+ก.พ.!O253+มี.ค.!O253</f>
        <v>0</v>
      </c>
      <c r="P258" s="267">
        <f>+ม.ค.!P254+ก.พ.!P253+มี.ค.!P253</f>
        <v>0</v>
      </c>
      <c r="Q258" s="267">
        <f>+ม.ค.!Q254+ก.พ.!Q253+มี.ค.!Q253</f>
        <v>0</v>
      </c>
      <c r="R258" s="267">
        <f>+ม.ค.!R254+ก.พ.!R253+มี.ค.!R253</f>
        <v>0</v>
      </c>
      <c r="S258" s="267">
        <f>+ม.ค.!S254+ก.พ.!S253+มี.ค.!S253</f>
        <v>0</v>
      </c>
      <c r="T258" s="267"/>
      <c r="U258" s="267">
        <f>+ม.ค.!U254+ก.พ.!U253+มี.ค.!U253</f>
        <v>0</v>
      </c>
      <c r="V258" s="267">
        <f>+ม.ค.!V254+ก.พ.!V253+มี.ค.!V253</f>
        <v>0</v>
      </c>
    </row>
    <row r="259" spans="1:23" ht="25.5" customHeight="1">
      <c r="A259" s="20"/>
      <c r="B259" s="186" t="s">
        <v>348</v>
      </c>
      <c r="C259" s="295">
        <v>211000</v>
      </c>
      <c r="D259" s="131"/>
      <c r="E259" s="267">
        <f>+ม.ค.!E255+ก.พ.!E254+มี.ค.!E254</f>
        <v>0</v>
      </c>
      <c r="F259" s="267">
        <f>+ม.ค.!F255+ก.พ.!F254+มี.ค.!F254</f>
        <v>0</v>
      </c>
      <c r="G259" s="267">
        <f>+ม.ค.!G255+ก.พ.!G254+มี.ค.!G254</f>
        <v>0</v>
      </c>
      <c r="H259" s="267">
        <f>+ม.ค.!H255+ก.พ.!H254+มี.ค.!H254</f>
        <v>0</v>
      </c>
      <c r="I259" s="267">
        <f>+ม.ค.!I255+ก.พ.!I254+มี.ค.!I254</f>
        <v>0</v>
      </c>
      <c r="J259" s="267">
        <f>+ม.ค.!J255+ก.พ.!J254+มี.ค.!J254</f>
        <v>0</v>
      </c>
      <c r="K259" s="267">
        <f>+ม.ค.!K255+ก.พ.!K254+มี.ค.!K254</f>
        <v>0</v>
      </c>
      <c r="L259" s="267">
        <f>+ม.ค.!L255+ก.พ.!L254+มี.ค.!L254</f>
        <v>0</v>
      </c>
      <c r="M259" s="267">
        <f>+ม.ค.!M255+ก.พ.!M254+มี.ค.!M254</f>
        <v>0</v>
      </c>
      <c r="N259" s="267">
        <f>+ม.ค.!N255+ก.พ.!N254+มี.ค.!N254</f>
        <v>210000</v>
      </c>
      <c r="O259" s="267">
        <f>+ม.ค.!O255+ก.พ.!O254+มี.ค.!O254</f>
        <v>0</v>
      </c>
      <c r="P259" s="267">
        <f>+ม.ค.!P255+ก.พ.!P254+มี.ค.!P254</f>
        <v>0</v>
      </c>
      <c r="Q259" s="267">
        <f>+ม.ค.!Q255+ก.พ.!Q254+มี.ค.!Q254</f>
        <v>0</v>
      </c>
      <c r="R259" s="267">
        <f>+ม.ค.!R255+ก.พ.!R254+มี.ค.!R254</f>
        <v>0</v>
      </c>
      <c r="S259" s="267">
        <f>+ม.ค.!S255+ก.พ.!S254+มี.ค.!S254</f>
        <v>0</v>
      </c>
      <c r="T259" s="267"/>
      <c r="U259" s="267">
        <f>+ม.ค.!U255+ก.พ.!U254+มี.ค.!U254</f>
        <v>0</v>
      </c>
      <c r="V259" s="267">
        <f>+ม.ค.!V255+ก.พ.!V254+มี.ค.!V254</f>
        <v>0</v>
      </c>
    </row>
    <row r="260" spans="1:23" ht="25.5" customHeight="1">
      <c r="A260" s="20"/>
      <c r="B260" s="186" t="s">
        <v>349</v>
      </c>
      <c r="C260" s="296">
        <v>688700</v>
      </c>
      <c r="D260" s="131"/>
      <c r="E260" s="267">
        <f>+ม.ค.!E256+ก.พ.!E255+มี.ค.!E255</f>
        <v>0</v>
      </c>
      <c r="F260" s="267">
        <f>+ม.ค.!F256+ก.พ.!F255+มี.ค.!F255</f>
        <v>0</v>
      </c>
      <c r="G260" s="267">
        <f>+ม.ค.!G256+ก.พ.!G255+มี.ค.!G255</f>
        <v>0</v>
      </c>
      <c r="H260" s="267">
        <f>+ม.ค.!H256+ก.พ.!H255+มี.ค.!H255</f>
        <v>0</v>
      </c>
      <c r="I260" s="267">
        <f>+ม.ค.!I256+ก.พ.!I255+มี.ค.!I255</f>
        <v>0</v>
      </c>
      <c r="J260" s="267">
        <f>+ม.ค.!J256+ก.พ.!J255+มี.ค.!J255</f>
        <v>0</v>
      </c>
      <c r="K260" s="267">
        <f>+ม.ค.!K256+ก.พ.!K255+มี.ค.!K255</f>
        <v>0</v>
      </c>
      <c r="L260" s="267">
        <f>+ม.ค.!L256+ก.พ.!L255+มี.ค.!L255</f>
        <v>0</v>
      </c>
      <c r="M260" s="267">
        <f>+ม.ค.!M256+ก.พ.!M255+มี.ค.!M255</f>
        <v>0</v>
      </c>
      <c r="N260" s="267">
        <f>+ม.ค.!N256+ก.พ.!N255+มี.ค.!N255</f>
        <v>0</v>
      </c>
      <c r="O260" s="267">
        <f>+ม.ค.!O256+ก.พ.!O255+มี.ค.!O255</f>
        <v>0</v>
      </c>
      <c r="P260" s="267">
        <f>+ม.ค.!P256+ก.พ.!P255+มี.ค.!P255</f>
        <v>0</v>
      </c>
      <c r="Q260" s="267">
        <f>+ม.ค.!Q256+ก.พ.!Q255+มี.ค.!Q255</f>
        <v>0</v>
      </c>
      <c r="R260" s="267">
        <f>+ม.ค.!R256+ก.พ.!R255+มี.ค.!R255</f>
        <v>0</v>
      </c>
      <c r="S260" s="267">
        <f>+ม.ค.!S256+ก.พ.!S255+มี.ค.!S255</f>
        <v>0</v>
      </c>
      <c r="T260" s="267"/>
      <c r="U260" s="267">
        <f>+ม.ค.!U256+ก.พ.!U255+มี.ค.!U255</f>
        <v>0</v>
      </c>
      <c r="V260" s="267">
        <f>+ม.ค.!V256+ก.พ.!V255+มี.ค.!V255</f>
        <v>0</v>
      </c>
    </row>
    <row r="261" spans="1:23" ht="25.5" customHeight="1">
      <c r="A261" s="20"/>
      <c r="B261" s="186" t="s">
        <v>350</v>
      </c>
      <c r="C261" s="297">
        <v>62000</v>
      </c>
      <c r="D261" s="131"/>
      <c r="E261" s="267">
        <f>+ม.ค.!E257+ก.พ.!E256+มี.ค.!E256</f>
        <v>0</v>
      </c>
      <c r="F261" s="267">
        <f>+ม.ค.!F257+ก.พ.!F256+มี.ค.!F256</f>
        <v>0</v>
      </c>
      <c r="G261" s="267">
        <f>+ม.ค.!G257+ก.พ.!G256+มี.ค.!G256</f>
        <v>0</v>
      </c>
      <c r="H261" s="267">
        <f>+ม.ค.!H257+ก.พ.!H256+มี.ค.!H256</f>
        <v>0</v>
      </c>
      <c r="I261" s="267">
        <f>+ม.ค.!I257+ก.พ.!I256+มี.ค.!I256</f>
        <v>0</v>
      </c>
      <c r="J261" s="267">
        <f>+ม.ค.!J257+ก.พ.!J256+มี.ค.!J256</f>
        <v>0</v>
      </c>
      <c r="K261" s="267">
        <f>+ม.ค.!K257+ก.พ.!K256+มี.ค.!K256</f>
        <v>0</v>
      </c>
      <c r="L261" s="267">
        <f>+ม.ค.!L257+ก.พ.!L256+มี.ค.!L256</f>
        <v>0</v>
      </c>
      <c r="M261" s="267">
        <f>+ม.ค.!M257+ก.พ.!M256+มี.ค.!M256</f>
        <v>0</v>
      </c>
      <c r="N261" s="267">
        <f>+ม.ค.!N257+ก.พ.!N256+มี.ค.!N256</f>
        <v>0</v>
      </c>
      <c r="O261" s="267">
        <f>+ม.ค.!O257+ก.พ.!O256+มี.ค.!O256</f>
        <v>0</v>
      </c>
      <c r="P261" s="267">
        <f>+ม.ค.!P257+ก.พ.!P256+มี.ค.!P256</f>
        <v>0</v>
      </c>
      <c r="Q261" s="267">
        <f>+ม.ค.!Q257+ก.พ.!Q256+มี.ค.!Q256</f>
        <v>0</v>
      </c>
      <c r="R261" s="267">
        <f>+ม.ค.!R257+ก.พ.!R256+มี.ค.!R256</f>
        <v>0</v>
      </c>
      <c r="S261" s="267">
        <f>+ม.ค.!S257+ก.พ.!S256+มี.ค.!S256</f>
        <v>0</v>
      </c>
      <c r="T261" s="267"/>
      <c r="U261" s="267">
        <f>+ม.ค.!U257+ก.พ.!U256+มี.ค.!U256</f>
        <v>0</v>
      </c>
      <c r="V261" s="267">
        <f>+ม.ค.!V257+ก.พ.!V256+มี.ค.!V256</f>
        <v>0</v>
      </c>
    </row>
    <row r="262" spans="1:23" ht="25.5" customHeight="1" thickBot="1">
      <c r="A262" s="24"/>
      <c r="B262" s="45" t="s">
        <v>5</v>
      </c>
      <c r="C262" s="170">
        <f>SUM(C227:C261)</f>
        <v>2383100</v>
      </c>
      <c r="D262" s="255">
        <f>SUM(D227:D261)</f>
        <v>0</v>
      </c>
      <c r="E262" s="254">
        <f t="shared" ref="E262:V262" si="7">SUM(E227:E261)</f>
        <v>1600</v>
      </c>
      <c r="F262" s="254">
        <f>SUM(F227:F261)</f>
        <v>23800</v>
      </c>
      <c r="G262" s="254">
        <f t="shared" si="7"/>
        <v>0</v>
      </c>
      <c r="H262" s="254">
        <f t="shared" si="7"/>
        <v>0</v>
      </c>
      <c r="I262" s="255">
        <f t="shared" si="7"/>
        <v>0</v>
      </c>
      <c r="J262" s="255">
        <f t="shared" si="7"/>
        <v>0</v>
      </c>
      <c r="K262" s="255">
        <f t="shared" si="7"/>
        <v>0</v>
      </c>
      <c r="L262" s="255">
        <f t="shared" si="7"/>
        <v>0</v>
      </c>
      <c r="M262" s="254">
        <f t="shared" si="7"/>
        <v>0</v>
      </c>
      <c r="N262" s="255">
        <f>SUM(N227:N261)</f>
        <v>410000</v>
      </c>
      <c r="O262" s="255">
        <f t="shared" si="7"/>
        <v>0</v>
      </c>
      <c r="P262" s="255">
        <f t="shared" si="7"/>
        <v>0</v>
      </c>
      <c r="Q262" s="255">
        <f t="shared" si="7"/>
        <v>0</v>
      </c>
      <c r="R262" s="255">
        <f t="shared" si="7"/>
        <v>0</v>
      </c>
      <c r="S262" s="255">
        <f t="shared" si="7"/>
        <v>0</v>
      </c>
      <c r="T262" s="255"/>
      <c r="U262" s="255">
        <f t="shared" si="7"/>
        <v>0</v>
      </c>
      <c r="V262" s="255">
        <f t="shared" si="7"/>
        <v>0</v>
      </c>
      <c r="W262" s="314">
        <f>SUM(D262:V262)</f>
        <v>435400</v>
      </c>
    </row>
    <row r="263" spans="1:23" ht="25.5" customHeight="1" thickTop="1">
      <c r="A263" s="50" t="s">
        <v>149</v>
      </c>
      <c r="B263" s="4"/>
      <c r="C263" s="193"/>
      <c r="D263" s="133"/>
      <c r="E263" s="269"/>
      <c r="F263" s="136"/>
      <c r="G263" s="136"/>
      <c r="H263" s="136"/>
      <c r="I263" s="133"/>
      <c r="J263" s="133"/>
      <c r="K263" s="133"/>
      <c r="L263" s="133"/>
      <c r="M263" s="136"/>
      <c r="N263" s="133"/>
      <c r="O263" s="133"/>
      <c r="P263" s="133"/>
      <c r="Q263" s="133"/>
      <c r="R263" s="258"/>
      <c r="S263" s="259"/>
      <c r="T263" s="259"/>
      <c r="U263" s="258"/>
      <c r="V263" s="258"/>
    </row>
    <row r="264" spans="1:23" ht="25.5" customHeight="1">
      <c r="A264" s="9"/>
      <c r="B264" s="186"/>
      <c r="C264" s="296"/>
      <c r="D264" s="133"/>
      <c r="E264" s="269"/>
      <c r="F264" s="136"/>
      <c r="G264" s="136"/>
      <c r="H264" s="136"/>
      <c r="I264" s="133"/>
      <c r="J264" s="133"/>
      <c r="K264" s="133"/>
      <c r="L264" s="133"/>
      <c r="M264" s="136"/>
      <c r="N264" s="133"/>
      <c r="O264" s="133"/>
      <c r="P264" s="133"/>
      <c r="Q264" s="133"/>
      <c r="R264" s="258"/>
      <c r="S264" s="259"/>
      <c r="T264" s="259"/>
      <c r="U264" s="258"/>
      <c r="V264" s="258"/>
    </row>
    <row r="265" spans="1:23" ht="25.5" customHeight="1">
      <c r="A265" s="9"/>
      <c r="B265" s="186"/>
      <c r="C265" s="296"/>
      <c r="D265" s="133"/>
      <c r="E265" s="269"/>
      <c r="F265" s="136"/>
      <c r="G265" s="136"/>
      <c r="H265" s="136"/>
      <c r="I265" s="133"/>
      <c r="J265" s="133"/>
      <c r="K265" s="133"/>
      <c r="L265" s="133"/>
      <c r="M265" s="136"/>
      <c r="N265" s="133"/>
      <c r="O265" s="133"/>
      <c r="P265" s="133"/>
      <c r="Q265" s="133"/>
      <c r="R265" s="258"/>
      <c r="S265" s="259"/>
      <c r="T265" s="259"/>
      <c r="U265" s="258"/>
      <c r="V265" s="258"/>
    </row>
    <row r="266" spans="1:23" ht="25.5" customHeight="1">
      <c r="A266" s="9"/>
      <c r="B266" s="186"/>
      <c r="C266" s="296"/>
      <c r="D266" s="133"/>
      <c r="E266" s="269"/>
      <c r="F266" s="136"/>
      <c r="G266" s="136"/>
      <c r="H266" s="136"/>
      <c r="I266" s="133"/>
      <c r="J266" s="133"/>
      <c r="K266" s="133"/>
      <c r="L266" s="133"/>
      <c r="M266" s="136"/>
      <c r="N266" s="133"/>
      <c r="O266" s="133"/>
      <c r="P266" s="133"/>
      <c r="Q266" s="133"/>
      <c r="R266" s="258"/>
      <c r="S266" s="259"/>
      <c r="T266" s="259"/>
      <c r="U266" s="258"/>
      <c r="V266" s="258"/>
    </row>
    <row r="267" spans="1:23" ht="25.5" customHeight="1">
      <c r="A267" s="9"/>
      <c r="B267" s="186"/>
      <c r="C267" s="296"/>
      <c r="D267" s="131"/>
      <c r="E267" s="267"/>
      <c r="F267" s="135"/>
      <c r="G267" s="135"/>
      <c r="H267" s="135"/>
      <c r="I267" s="131"/>
      <c r="J267" s="131"/>
      <c r="K267" s="131"/>
      <c r="L267" s="131"/>
      <c r="M267" s="135"/>
      <c r="N267" s="131"/>
      <c r="O267" s="131"/>
      <c r="P267" s="131"/>
      <c r="Q267" s="131"/>
      <c r="R267" s="217"/>
      <c r="S267" s="219"/>
      <c r="T267" s="219"/>
      <c r="U267" s="217"/>
      <c r="V267" s="217"/>
    </row>
    <row r="268" spans="1:23" ht="25.5" customHeight="1">
      <c r="A268" s="9"/>
      <c r="B268" s="186"/>
      <c r="C268" s="296"/>
      <c r="D268" s="131"/>
      <c r="E268" s="267"/>
      <c r="F268" s="135"/>
      <c r="G268" s="135"/>
      <c r="H268" s="135"/>
      <c r="I268" s="131"/>
      <c r="J268" s="131"/>
      <c r="K268" s="131"/>
      <c r="L268" s="131"/>
      <c r="M268" s="135"/>
      <c r="N268" s="131"/>
      <c r="O268" s="131"/>
      <c r="P268" s="131"/>
      <c r="Q268" s="131"/>
      <c r="R268" s="217"/>
      <c r="S268" s="219"/>
      <c r="T268" s="219"/>
      <c r="U268" s="217"/>
      <c r="V268" s="217"/>
    </row>
    <row r="269" spans="1:23" ht="25.5" customHeight="1">
      <c r="A269" s="9"/>
      <c r="B269" s="186"/>
      <c r="C269" s="296"/>
      <c r="D269" s="131"/>
      <c r="E269" s="267"/>
      <c r="F269" s="135"/>
      <c r="G269" s="135"/>
      <c r="H269" s="135"/>
      <c r="I269" s="131"/>
      <c r="J269" s="131"/>
      <c r="K269" s="131"/>
      <c r="L269" s="131"/>
      <c r="M269" s="135"/>
      <c r="N269" s="131"/>
      <c r="O269" s="131"/>
      <c r="P269" s="131"/>
      <c r="Q269" s="131"/>
      <c r="R269" s="217"/>
      <c r="S269" s="219"/>
      <c r="T269" s="219"/>
      <c r="U269" s="217"/>
      <c r="V269" s="217"/>
    </row>
    <row r="270" spans="1:23" ht="25.5" customHeight="1">
      <c r="A270" s="9"/>
      <c r="B270" s="186"/>
      <c r="C270" s="296"/>
      <c r="D270" s="131"/>
      <c r="E270" s="267"/>
      <c r="F270" s="135"/>
      <c r="G270" s="135"/>
      <c r="H270" s="135"/>
      <c r="I270" s="131"/>
      <c r="J270" s="131"/>
      <c r="K270" s="131"/>
      <c r="L270" s="131"/>
      <c r="M270" s="135"/>
      <c r="N270" s="131"/>
      <c r="O270" s="131"/>
      <c r="P270" s="131"/>
      <c r="Q270" s="131"/>
      <c r="R270" s="217"/>
      <c r="S270" s="219"/>
      <c r="T270" s="219"/>
      <c r="U270" s="217"/>
      <c r="V270" s="217"/>
    </row>
    <row r="271" spans="1:23" ht="25.5" customHeight="1">
      <c r="A271" s="9"/>
      <c r="B271" s="186"/>
      <c r="C271" s="296"/>
      <c r="D271" s="131"/>
      <c r="E271" s="267"/>
      <c r="F271" s="135"/>
      <c r="G271" s="135"/>
      <c r="H271" s="135"/>
      <c r="I271" s="131"/>
      <c r="J271" s="131"/>
      <c r="K271" s="131"/>
      <c r="L271" s="131"/>
      <c r="M271" s="135"/>
      <c r="N271" s="131"/>
      <c r="O271" s="131"/>
      <c r="P271" s="131"/>
      <c r="Q271" s="131"/>
      <c r="R271" s="217"/>
      <c r="S271" s="219"/>
      <c r="T271" s="219"/>
      <c r="U271" s="217"/>
      <c r="V271" s="217"/>
    </row>
    <row r="272" spans="1:23" ht="25.5" customHeight="1" thickBot="1">
      <c r="A272" s="15"/>
      <c r="B272" s="14" t="s">
        <v>5</v>
      </c>
      <c r="C272" s="170">
        <f>SUM(C264:C271)</f>
        <v>0</v>
      </c>
      <c r="D272" s="255">
        <f>SUM(D264:D271)</f>
        <v>0</v>
      </c>
      <c r="E272" s="254">
        <f t="shared" ref="E272:V272" si="8">SUM(E264:E271)</f>
        <v>0</v>
      </c>
      <c r="F272" s="254">
        <f t="shared" si="8"/>
        <v>0</v>
      </c>
      <c r="G272" s="254">
        <f t="shared" si="8"/>
        <v>0</v>
      </c>
      <c r="H272" s="254">
        <f t="shared" si="8"/>
        <v>0</v>
      </c>
      <c r="I272" s="255">
        <f t="shared" si="8"/>
        <v>0</v>
      </c>
      <c r="J272" s="255">
        <f t="shared" si="8"/>
        <v>0</v>
      </c>
      <c r="K272" s="255">
        <f t="shared" si="8"/>
        <v>0</v>
      </c>
      <c r="L272" s="255">
        <f t="shared" si="8"/>
        <v>0</v>
      </c>
      <c r="M272" s="254">
        <f t="shared" si="8"/>
        <v>0</v>
      </c>
      <c r="N272" s="255">
        <f t="shared" si="8"/>
        <v>0</v>
      </c>
      <c r="O272" s="255">
        <f t="shared" si="8"/>
        <v>0</v>
      </c>
      <c r="P272" s="255">
        <f t="shared" si="8"/>
        <v>0</v>
      </c>
      <c r="Q272" s="255">
        <f t="shared" si="8"/>
        <v>0</v>
      </c>
      <c r="R272" s="255">
        <f t="shared" si="8"/>
        <v>0</v>
      </c>
      <c r="S272" s="255">
        <f t="shared" si="8"/>
        <v>0</v>
      </c>
      <c r="T272" s="255"/>
      <c r="U272" s="255">
        <f t="shared" si="8"/>
        <v>0</v>
      </c>
      <c r="V272" s="255">
        <f t="shared" si="8"/>
        <v>0</v>
      </c>
      <c r="W272" s="314">
        <f>SUM(D272:V272)</f>
        <v>0</v>
      </c>
    </row>
    <row r="273" spans="1:23" ht="25.5" customHeight="1" thickTop="1">
      <c r="A273" s="20" t="s">
        <v>24</v>
      </c>
      <c r="B273" s="23"/>
      <c r="C273" s="190"/>
      <c r="D273" s="133"/>
      <c r="E273" s="269"/>
      <c r="F273" s="136"/>
      <c r="G273" s="136"/>
      <c r="H273" s="136"/>
      <c r="I273" s="133"/>
      <c r="J273" s="133"/>
      <c r="K273" s="133"/>
      <c r="L273" s="133"/>
      <c r="M273" s="136"/>
      <c r="N273" s="133"/>
      <c r="O273" s="133"/>
      <c r="P273" s="133"/>
      <c r="Q273" s="133"/>
      <c r="R273" s="258"/>
      <c r="S273" s="259"/>
      <c r="T273" s="259"/>
      <c r="U273" s="258"/>
      <c r="V273" s="258"/>
    </row>
    <row r="274" spans="1:23" ht="25.5" customHeight="1">
      <c r="A274" s="20"/>
      <c r="B274" s="130" t="s">
        <v>406</v>
      </c>
      <c r="C274" s="192">
        <v>121500</v>
      </c>
      <c r="D274" s="131">
        <f>+ม.ค.!D270+ก.พ.!D269+มี.ค.!D269</f>
        <v>121500</v>
      </c>
      <c r="E274" s="267"/>
      <c r="F274" s="135"/>
      <c r="G274" s="135"/>
      <c r="H274" s="135"/>
      <c r="I274" s="131"/>
      <c r="J274" s="131"/>
      <c r="K274" s="131"/>
      <c r="L274" s="131"/>
      <c r="M274" s="135"/>
      <c r="N274" s="131"/>
      <c r="O274" s="131"/>
      <c r="P274" s="131"/>
      <c r="Q274" s="131"/>
      <c r="R274" s="217"/>
      <c r="S274" s="219"/>
      <c r="T274" s="219"/>
      <c r="U274" s="217"/>
      <c r="V274" s="217"/>
    </row>
    <row r="275" spans="1:23" ht="25.5" customHeight="1">
      <c r="A275" s="20"/>
      <c r="B275" s="130" t="s">
        <v>405</v>
      </c>
      <c r="C275" s="192">
        <v>105000</v>
      </c>
      <c r="D275" s="131">
        <f>+ม.ค.!D271+ก.พ.!D270+มี.ค.!D270</f>
        <v>105000</v>
      </c>
      <c r="E275" s="267"/>
      <c r="F275" s="135"/>
      <c r="G275" s="135"/>
      <c r="H275" s="135"/>
      <c r="I275" s="131"/>
      <c r="J275" s="131"/>
      <c r="K275" s="131"/>
      <c r="L275" s="131"/>
      <c r="M275" s="135"/>
      <c r="N275" s="131"/>
      <c r="O275" s="131"/>
      <c r="P275" s="131"/>
      <c r="Q275" s="131"/>
      <c r="R275" s="217"/>
      <c r="S275" s="219"/>
      <c r="T275" s="219"/>
      <c r="U275" s="217"/>
      <c r="V275" s="217"/>
    </row>
    <row r="276" spans="1:23" ht="25.5" customHeight="1" thickBot="1">
      <c r="A276" s="15"/>
      <c r="B276" s="14" t="s">
        <v>5</v>
      </c>
      <c r="C276" s="298">
        <f>SUM(C274:C275)</f>
        <v>226500</v>
      </c>
      <c r="D276" s="255">
        <f>SUM(D274:D275)</f>
        <v>226500</v>
      </c>
      <c r="E276" s="254">
        <f t="shared" ref="E276:V276" si="9">SUM(E274:E275)</f>
        <v>0</v>
      </c>
      <c r="F276" s="254">
        <f t="shared" si="9"/>
        <v>0</v>
      </c>
      <c r="G276" s="254">
        <f t="shared" si="9"/>
        <v>0</v>
      </c>
      <c r="H276" s="254">
        <f t="shared" si="9"/>
        <v>0</v>
      </c>
      <c r="I276" s="255">
        <f t="shared" si="9"/>
        <v>0</v>
      </c>
      <c r="J276" s="255">
        <f t="shared" si="9"/>
        <v>0</v>
      </c>
      <c r="K276" s="255">
        <f t="shared" si="9"/>
        <v>0</v>
      </c>
      <c r="L276" s="255">
        <f t="shared" si="9"/>
        <v>0</v>
      </c>
      <c r="M276" s="254">
        <f t="shared" si="9"/>
        <v>0</v>
      </c>
      <c r="N276" s="255">
        <f t="shared" si="9"/>
        <v>0</v>
      </c>
      <c r="O276" s="255">
        <f t="shared" si="9"/>
        <v>0</v>
      </c>
      <c r="P276" s="255">
        <f t="shared" si="9"/>
        <v>0</v>
      </c>
      <c r="Q276" s="255">
        <f t="shared" si="9"/>
        <v>0</v>
      </c>
      <c r="R276" s="255">
        <f t="shared" si="9"/>
        <v>0</v>
      </c>
      <c r="S276" s="255">
        <f t="shared" si="9"/>
        <v>0</v>
      </c>
      <c r="T276" s="255"/>
      <c r="U276" s="255">
        <f t="shared" si="9"/>
        <v>0</v>
      </c>
      <c r="V276" s="255">
        <f t="shared" si="9"/>
        <v>0</v>
      </c>
      <c r="W276" s="314">
        <f>SUM(D276:V276)</f>
        <v>226500</v>
      </c>
    </row>
    <row r="277" spans="1:23" ht="25.5" customHeight="1" thickTop="1">
      <c r="A277" s="20" t="s">
        <v>44</v>
      </c>
      <c r="B277" s="23"/>
      <c r="C277" s="193"/>
      <c r="D277" s="133"/>
      <c r="E277" s="269"/>
      <c r="F277" s="136"/>
      <c r="G277" s="136"/>
      <c r="H277" s="136"/>
      <c r="I277" s="133"/>
      <c r="J277" s="133"/>
      <c r="K277" s="133"/>
      <c r="L277" s="133"/>
      <c r="M277" s="136"/>
      <c r="N277" s="133"/>
      <c r="O277" s="133"/>
      <c r="P277" s="133"/>
      <c r="Q277" s="133"/>
      <c r="R277" s="258"/>
      <c r="S277" s="259"/>
      <c r="T277" s="259"/>
      <c r="U277" s="258"/>
      <c r="V277" s="258"/>
    </row>
    <row r="278" spans="1:23" ht="25.5" customHeight="1">
      <c r="A278" s="20"/>
      <c r="B278" s="185"/>
      <c r="C278" s="192"/>
      <c r="D278" s="133"/>
      <c r="E278" s="269"/>
      <c r="F278" s="136"/>
      <c r="G278" s="136"/>
      <c r="H278" s="136"/>
      <c r="I278" s="133"/>
      <c r="J278" s="133"/>
      <c r="K278" s="133"/>
      <c r="L278" s="133"/>
      <c r="M278" s="136"/>
      <c r="N278" s="133"/>
      <c r="O278" s="133"/>
      <c r="P278" s="133"/>
      <c r="Q278" s="133"/>
      <c r="R278" s="258"/>
      <c r="S278" s="259"/>
      <c r="T278" s="259"/>
      <c r="U278" s="258"/>
      <c r="V278" s="258"/>
    </row>
    <row r="279" spans="1:23" ht="25.5" customHeight="1">
      <c r="A279" s="20"/>
      <c r="B279" s="185"/>
      <c r="C279" s="190"/>
      <c r="D279" s="133"/>
      <c r="E279" s="269"/>
      <c r="F279" s="136"/>
      <c r="G279" s="136"/>
      <c r="H279" s="136"/>
      <c r="I279" s="133"/>
      <c r="J279" s="133"/>
      <c r="K279" s="133"/>
      <c r="L279" s="133"/>
      <c r="M279" s="136"/>
      <c r="N279" s="133"/>
      <c r="O279" s="133"/>
      <c r="P279" s="133"/>
      <c r="Q279" s="133"/>
      <c r="R279" s="258"/>
      <c r="S279" s="259"/>
      <c r="T279" s="259"/>
      <c r="U279" s="258"/>
      <c r="V279" s="258"/>
    </row>
    <row r="280" spans="1:23" ht="25.5" customHeight="1" thickBot="1">
      <c r="A280" s="15"/>
      <c r="B280" s="53" t="s">
        <v>5</v>
      </c>
      <c r="C280" s="105">
        <f>SUM(C278:C279)</f>
        <v>0</v>
      </c>
      <c r="D280" s="255">
        <f>SUM(D278:D279)</f>
        <v>0</v>
      </c>
      <c r="E280" s="254">
        <f t="shared" ref="E280:V280" si="10">SUM(E278:E279)</f>
        <v>0</v>
      </c>
      <c r="F280" s="254">
        <f t="shared" si="10"/>
        <v>0</v>
      </c>
      <c r="G280" s="254">
        <f t="shared" si="10"/>
        <v>0</v>
      </c>
      <c r="H280" s="254">
        <f t="shared" si="10"/>
        <v>0</v>
      </c>
      <c r="I280" s="255">
        <f t="shared" si="10"/>
        <v>0</v>
      </c>
      <c r="J280" s="255">
        <f t="shared" si="10"/>
        <v>0</v>
      </c>
      <c r="K280" s="255">
        <f t="shared" si="10"/>
        <v>0</v>
      </c>
      <c r="L280" s="255">
        <f t="shared" si="10"/>
        <v>0</v>
      </c>
      <c r="M280" s="254">
        <f t="shared" si="10"/>
        <v>0</v>
      </c>
      <c r="N280" s="255">
        <f t="shared" si="10"/>
        <v>0</v>
      </c>
      <c r="O280" s="255">
        <f t="shared" si="10"/>
        <v>0</v>
      </c>
      <c r="P280" s="255">
        <f t="shared" si="10"/>
        <v>0</v>
      </c>
      <c r="Q280" s="255">
        <f t="shared" si="10"/>
        <v>0</v>
      </c>
      <c r="R280" s="255">
        <f t="shared" si="10"/>
        <v>0</v>
      </c>
      <c r="S280" s="255">
        <f t="shared" si="10"/>
        <v>0</v>
      </c>
      <c r="T280" s="255"/>
      <c r="U280" s="255">
        <f t="shared" si="10"/>
        <v>0</v>
      </c>
      <c r="V280" s="255">
        <f t="shared" si="10"/>
        <v>0</v>
      </c>
      <c r="W280" s="314">
        <f>SUM(D280:V280)</f>
        <v>0</v>
      </c>
    </row>
    <row r="281" spans="1:23" ht="25.5" customHeight="1" thickTop="1">
      <c r="A281" s="20" t="s">
        <v>276</v>
      </c>
      <c r="B281" s="23"/>
      <c r="C281" s="193"/>
      <c r="D281" s="133"/>
      <c r="E281" s="269"/>
      <c r="F281" s="136"/>
      <c r="G281" s="136"/>
      <c r="H281" s="136"/>
      <c r="I281" s="133"/>
      <c r="J281" s="133"/>
      <c r="K281" s="133"/>
      <c r="L281" s="133"/>
      <c r="M281" s="136"/>
      <c r="N281" s="133"/>
      <c r="O281" s="133"/>
      <c r="P281" s="133"/>
      <c r="Q281" s="133"/>
      <c r="R281" s="258"/>
      <c r="S281" s="259"/>
      <c r="T281" s="259"/>
      <c r="U281" s="258"/>
      <c r="V281" s="258"/>
    </row>
    <row r="282" spans="1:23" ht="25.5" customHeight="1">
      <c r="A282" s="20"/>
      <c r="B282" s="185" t="s">
        <v>226</v>
      </c>
      <c r="C282" s="192">
        <f>+'ต.ค. '!E284+'ต.ค. '!F284+'ต.ค. '!H284+'ต.ค. '!M284</f>
        <v>37500</v>
      </c>
      <c r="D282" s="133">
        <f>+ม.ค.!D278+ก.พ.!D277+มี.ค.!D277</f>
        <v>0</v>
      </c>
      <c r="E282" s="133">
        <f>+ม.ค.!E278+ก.พ.!E277+มี.ค.!E277</f>
        <v>0</v>
      </c>
      <c r="F282" s="133">
        <f>+ม.ค.!F278+ก.พ.!F277+มี.ค.!F277</f>
        <v>0</v>
      </c>
      <c r="G282" s="133">
        <f>+ม.ค.!G278+ก.พ.!G277+มี.ค.!G277</f>
        <v>0</v>
      </c>
      <c r="H282" s="133">
        <f>+ม.ค.!H278+ก.พ.!H277+มี.ค.!H277</f>
        <v>0</v>
      </c>
      <c r="I282" s="133">
        <f>+ม.ค.!I278+ก.พ.!I277+มี.ค.!I277</f>
        <v>0</v>
      </c>
      <c r="J282" s="133">
        <f>+ม.ค.!J278+ก.พ.!J277+มี.ค.!J277</f>
        <v>0</v>
      </c>
      <c r="K282" s="133">
        <f>+ม.ค.!K278+ก.พ.!K277+มี.ค.!K277</f>
        <v>0</v>
      </c>
      <c r="L282" s="133">
        <f>+ม.ค.!L278+ก.พ.!L277+มี.ค.!L277</f>
        <v>0</v>
      </c>
      <c r="M282" s="133">
        <f>+ม.ค.!M278+ก.พ.!M277+มี.ค.!M277</f>
        <v>0</v>
      </c>
      <c r="N282" s="133">
        <f>+ม.ค.!N278+ก.พ.!N277+มี.ค.!N277</f>
        <v>0</v>
      </c>
      <c r="O282" s="133">
        <f>+ม.ค.!O278+ก.พ.!O277+มี.ค.!O277</f>
        <v>0</v>
      </c>
      <c r="P282" s="133">
        <f>+ม.ค.!P278+ก.พ.!P277+มี.ค.!P277</f>
        <v>0</v>
      </c>
      <c r="Q282" s="133">
        <f>+ม.ค.!Q278+ก.พ.!Q277+มี.ค.!Q277</f>
        <v>0</v>
      </c>
      <c r="R282" s="133">
        <f>+ม.ค.!R278+ก.พ.!R277+มี.ค.!R277</f>
        <v>0</v>
      </c>
      <c r="S282" s="133">
        <f>+ม.ค.!S278+ก.พ.!S277+มี.ค.!S277</f>
        <v>0</v>
      </c>
      <c r="T282" s="133"/>
      <c r="U282" s="133">
        <f>+ม.ค.!U278+ก.พ.!U277+มี.ค.!U277</f>
        <v>0</v>
      </c>
      <c r="V282" s="133">
        <f>+ม.ค.!V278+ก.พ.!V277+มี.ค.!V277</f>
        <v>0</v>
      </c>
    </row>
    <row r="283" spans="1:23" ht="25.5" customHeight="1">
      <c r="A283" s="20"/>
      <c r="B283" s="185" t="s">
        <v>233</v>
      </c>
      <c r="C283" s="299">
        <v>7500</v>
      </c>
      <c r="D283" s="133">
        <f>+ม.ค.!D279+ก.พ.!D278+มี.ค.!D278</f>
        <v>0</v>
      </c>
      <c r="E283" s="133">
        <f>+ม.ค.!E279+ก.พ.!E278+มี.ค.!E278</f>
        <v>0</v>
      </c>
      <c r="F283" s="133">
        <f>+ม.ค.!F279+ก.พ.!F278+มี.ค.!F278</f>
        <v>0</v>
      </c>
      <c r="G283" s="133">
        <f>+ม.ค.!G279+ก.พ.!G278+มี.ค.!G278</f>
        <v>0</v>
      </c>
      <c r="H283" s="133">
        <f>+ม.ค.!H279+ก.พ.!H278+มี.ค.!H278</f>
        <v>0</v>
      </c>
      <c r="I283" s="133">
        <f>+ม.ค.!I279+ก.พ.!I278+มี.ค.!I278</f>
        <v>0</v>
      </c>
      <c r="J283" s="133">
        <f>+ม.ค.!J279+ก.พ.!J278+มี.ค.!J278</f>
        <v>0</v>
      </c>
      <c r="K283" s="133">
        <f>+ม.ค.!K279+ก.พ.!K278+มี.ค.!K278</f>
        <v>0</v>
      </c>
      <c r="L283" s="133">
        <f>+ม.ค.!L279+ก.พ.!L278+มี.ค.!L278</f>
        <v>0</v>
      </c>
      <c r="M283" s="133">
        <f>+ม.ค.!M279+ก.พ.!M278+มี.ค.!M278</f>
        <v>0</v>
      </c>
      <c r="N283" s="133">
        <f>+ม.ค.!N279+ก.พ.!N278+มี.ค.!N278</f>
        <v>0</v>
      </c>
      <c r="O283" s="133">
        <f>+ม.ค.!O279+ก.พ.!O278+มี.ค.!O278</f>
        <v>0</v>
      </c>
      <c r="P283" s="133">
        <f>+ม.ค.!P279+ก.พ.!P278+มี.ค.!P278</f>
        <v>0</v>
      </c>
      <c r="Q283" s="133">
        <f>+ม.ค.!Q279+ก.พ.!Q278+มี.ค.!Q278</f>
        <v>0</v>
      </c>
      <c r="R283" s="133">
        <f>+ม.ค.!R279+ก.พ.!R278+มี.ค.!R278</f>
        <v>0</v>
      </c>
      <c r="S283" s="133">
        <f>+ม.ค.!S279+ก.พ.!S278+มี.ค.!S278</f>
        <v>0</v>
      </c>
      <c r="T283" s="133"/>
      <c r="U283" s="133">
        <f>+ม.ค.!U279+ก.พ.!U278+มี.ค.!U278</f>
        <v>0</v>
      </c>
      <c r="V283" s="133">
        <f>+ม.ค.!V279+ก.พ.!V278+มี.ค.!V278</f>
        <v>0</v>
      </c>
    </row>
    <row r="284" spans="1:23" ht="25.5" customHeight="1">
      <c r="A284" s="20"/>
      <c r="B284" s="274" t="s">
        <v>378</v>
      </c>
      <c r="C284" s="299">
        <v>37500</v>
      </c>
      <c r="D284" s="133">
        <f>+ม.ค.!D280+ก.พ.!D279+มี.ค.!D279</f>
        <v>0</v>
      </c>
      <c r="E284" s="133">
        <f>+ม.ค.!E280+ก.พ.!E279+มี.ค.!E279</f>
        <v>0</v>
      </c>
      <c r="F284" s="133">
        <f>+ม.ค.!F280+ก.พ.!F279+มี.ค.!F279</f>
        <v>0</v>
      </c>
      <c r="G284" s="133">
        <f>+ม.ค.!G280+ก.พ.!G279+มี.ค.!G279</f>
        <v>0</v>
      </c>
      <c r="H284" s="133">
        <f>+ม.ค.!H280+ก.พ.!H279+มี.ค.!H279</f>
        <v>0</v>
      </c>
      <c r="I284" s="133">
        <f>+ม.ค.!I280+ก.พ.!I279+มี.ค.!I279</f>
        <v>0</v>
      </c>
      <c r="J284" s="133">
        <f>+ม.ค.!J280+ก.พ.!J279+มี.ค.!J279</f>
        <v>0</v>
      </c>
      <c r="K284" s="133">
        <f>+ม.ค.!K280+ก.พ.!K279+มี.ค.!K279</f>
        <v>0</v>
      </c>
      <c r="L284" s="133">
        <f>+ม.ค.!L280+ก.พ.!L279+มี.ค.!L279</f>
        <v>0</v>
      </c>
      <c r="M284" s="133">
        <f>+ม.ค.!M280+ก.พ.!M279+มี.ค.!M279</f>
        <v>0</v>
      </c>
      <c r="N284" s="133">
        <f>+ม.ค.!N280+ก.พ.!N279+มี.ค.!N279</f>
        <v>0</v>
      </c>
      <c r="O284" s="133">
        <f>+ม.ค.!O280+ก.พ.!O279+มี.ค.!O279</f>
        <v>0</v>
      </c>
      <c r="P284" s="133">
        <f>+ม.ค.!P280+ก.พ.!P279+มี.ค.!P279</f>
        <v>0</v>
      </c>
      <c r="Q284" s="133">
        <f>+ม.ค.!Q280+ก.พ.!Q279+มี.ค.!Q279</f>
        <v>0</v>
      </c>
      <c r="R284" s="133">
        <f>+ม.ค.!R280+ก.พ.!R279+มี.ค.!R279</f>
        <v>0</v>
      </c>
      <c r="S284" s="133">
        <f>+ม.ค.!S280+ก.พ.!S279+มี.ค.!S279</f>
        <v>0</v>
      </c>
      <c r="T284" s="133"/>
      <c r="U284" s="133">
        <f>+ม.ค.!U280+ก.พ.!U279+มี.ค.!U279</f>
        <v>0</v>
      </c>
      <c r="V284" s="133">
        <f>+ม.ค.!V280+ก.พ.!V279+มี.ค.!V279</f>
        <v>0</v>
      </c>
    </row>
    <row r="285" spans="1:23" ht="25.5" customHeight="1">
      <c r="A285" s="20"/>
      <c r="B285" s="185" t="s">
        <v>379</v>
      </c>
      <c r="C285" s="299">
        <v>10000</v>
      </c>
      <c r="D285" s="133">
        <f>+ม.ค.!D281+ก.พ.!D280+มี.ค.!D280</f>
        <v>0</v>
      </c>
      <c r="E285" s="133">
        <f>+ม.ค.!E281+ก.พ.!E280+มี.ค.!E280</f>
        <v>0</v>
      </c>
      <c r="F285" s="133">
        <f>+ม.ค.!F281+ก.พ.!F280+มี.ค.!F280</f>
        <v>0</v>
      </c>
      <c r="G285" s="133">
        <f>+ม.ค.!G281+ก.พ.!G280+มี.ค.!G280</f>
        <v>0</v>
      </c>
      <c r="H285" s="133">
        <f>+ม.ค.!H281+ก.พ.!H280+มี.ค.!H280</f>
        <v>0</v>
      </c>
      <c r="I285" s="133">
        <f>+ม.ค.!I281+ก.พ.!I280+มี.ค.!I280</f>
        <v>0</v>
      </c>
      <c r="J285" s="133">
        <f>+ม.ค.!J281+ก.พ.!J280+มี.ค.!J280</f>
        <v>0</v>
      </c>
      <c r="K285" s="133">
        <f>+ม.ค.!K281+ก.พ.!K280+มี.ค.!K280</f>
        <v>0</v>
      </c>
      <c r="L285" s="133">
        <f>+ม.ค.!L281+ก.พ.!L280+มี.ค.!L280</f>
        <v>0</v>
      </c>
      <c r="M285" s="133">
        <f>+ม.ค.!M281+ก.พ.!M280+มี.ค.!M280</f>
        <v>0</v>
      </c>
      <c r="N285" s="133">
        <f>+ม.ค.!N281+ก.พ.!N280+มี.ค.!N280</f>
        <v>0</v>
      </c>
      <c r="O285" s="133">
        <f>+ม.ค.!O281+ก.พ.!O280+มี.ค.!O280</f>
        <v>0</v>
      </c>
      <c r="P285" s="133">
        <f>+ม.ค.!P281+ก.พ.!P280+มี.ค.!P280</f>
        <v>0</v>
      </c>
      <c r="Q285" s="133">
        <f>+ม.ค.!Q281+ก.พ.!Q280+มี.ค.!Q280</f>
        <v>0</v>
      </c>
      <c r="R285" s="133">
        <f>+ม.ค.!R281+ก.พ.!R280+มี.ค.!R280</f>
        <v>0</v>
      </c>
      <c r="S285" s="133">
        <f>+ม.ค.!S281+ก.พ.!S280+มี.ค.!S280</f>
        <v>0</v>
      </c>
      <c r="T285" s="133"/>
      <c r="U285" s="133">
        <f>+ม.ค.!U281+ก.พ.!U280+มี.ค.!U280</f>
        <v>0</v>
      </c>
      <c r="V285" s="133">
        <f>+ม.ค.!V281+ก.พ.!V280+มี.ค.!V280</f>
        <v>0</v>
      </c>
    </row>
    <row r="286" spans="1:23" ht="25.5" customHeight="1">
      <c r="A286" s="20"/>
      <c r="B286" s="185" t="s">
        <v>382</v>
      </c>
      <c r="C286" s="299">
        <v>1950</v>
      </c>
      <c r="D286" s="133">
        <f>+ม.ค.!D282+ก.พ.!D281+มี.ค.!D281</f>
        <v>0</v>
      </c>
      <c r="E286" s="133">
        <f>+ม.ค.!E282+ก.พ.!E281+มี.ค.!E281</f>
        <v>0</v>
      </c>
      <c r="F286" s="133">
        <f>+ม.ค.!F282+ก.พ.!F281+มี.ค.!F281</f>
        <v>0</v>
      </c>
      <c r="G286" s="133">
        <f>+ม.ค.!G282+ก.พ.!G281+มี.ค.!G281</f>
        <v>0</v>
      </c>
      <c r="H286" s="133">
        <f>+ม.ค.!H282+ก.พ.!H281+มี.ค.!H281</f>
        <v>0</v>
      </c>
      <c r="I286" s="133">
        <f>+ม.ค.!I282+ก.พ.!I281+มี.ค.!I281</f>
        <v>0</v>
      </c>
      <c r="J286" s="133">
        <f>+ม.ค.!J282+ก.พ.!J281+มี.ค.!J281</f>
        <v>0</v>
      </c>
      <c r="K286" s="133">
        <f>+ม.ค.!K282+ก.พ.!K281+มี.ค.!K281</f>
        <v>0</v>
      </c>
      <c r="L286" s="133">
        <f>+ม.ค.!L282+ก.พ.!L281+มี.ค.!L281</f>
        <v>0</v>
      </c>
      <c r="M286" s="133">
        <f>+ม.ค.!M282+ก.พ.!M281+มี.ค.!M281</f>
        <v>0</v>
      </c>
      <c r="N286" s="133">
        <f>+ม.ค.!N282+ก.พ.!N281+มี.ค.!N281</f>
        <v>0</v>
      </c>
      <c r="O286" s="133">
        <f>+ม.ค.!O282+ก.พ.!O281+มี.ค.!O281</f>
        <v>0</v>
      </c>
      <c r="P286" s="133">
        <f>+ม.ค.!P282+ก.พ.!P281+มี.ค.!P281</f>
        <v>0</v>
      </c>
      <c r="Q286" s="133">
        <f>+ม.ค.!Q282+ก.พ.!Q281+มี.ค.!Q281</f>
        <v>0</v>
      </c>
      <c r="R286" s="133">
        <f>+ม.ค.!R282+ก.พ.!R281+มี.ค.!R281</f>
        <v>0</v>
      </c>
      <c r="S286" s="133">
        <f>+ม.ค.!S282+ก.พ.!S281+มี.ค.!S281</f>
        <v>0</v>
      </c>
      <c r="T286" s="133"/>
      <c r="U286" s="133">
        <f>+ม.ค.!U282+ก.พ.!U281+มี.ค.!U281</f>
        <v>0</v>
      </c>
      <c r="V286" s="133">
        <f>+ม.ค.!V282+ก.พ.!V281+มี.ค.!V281</f>
        <v>0</v>
      </c>
    </row>
    <row r="287" spans="1:23" ht="25.5" customHeight="1">
      <c r="A287" s="20"/>
      <c r="B287" s="185" t="s">
        <v>380</v>
      </c>
      <c r="C287" s="299">
        <v>4550</v>
      </c>
      <c r="D287" s="133">
        <f>+ม.ค.!D283+ก.พ.!D282+มี.ค.!D282</f>
        <v>0</v>
      </c>
      <c r="E287" s="133">
        <f>+ม.ค.!E283+ก.พ.!E282+มี.ค.!E282</f>
        <v>0</v>
      </c>
      <c r="F287" s="133">
        <f>+ม.ค.!F283+ก.พ.!F282+มี.ค.!F282</f>
        <v>0</v>
      </c>
      <c r="G287" s="133">
        <f>+ม.ค.!G283+ก.พ.!G282+มี.ค.!G282</f>
        <v>0</v>
      </c>
      <c r="H287" s="133">
        <f>+ม.ค.!H283+ก.พ.!H282+มี.ค.!H282</f>
        <v>0</v>
      </c>
      <c r="I287" s="133">
        <f>+ม.ค.!I283+ก.พ.!I282+มี.ค.!I282</f>
        <v>0</v>
      </c>
      <c r="J287" s="133">
        <f>+ม.ค.!J283+ก.พ.!J282+มี.ค.!J282</f>
        <v>0</v>
      </c>
      <c r="K287" s="133">
        <f>+ม.ค.!K283+ก.พ.!K282+มี.ค.!K282</f>
        <v>0</v>
      </c>
      <c r="L287" s="133">
        <f>+ม.ค.!L283+ก.พ.!L282+มี.ค.!L282</f>
        <v>0</v>
      </c>
      <c r="M287" s="133">
        <f>+ม.ค.!M283+ก.พ.!M282+มี.ค.!M282</f>
        <v>0</v>
      </c>
      <c r="N287" s="133">
        <f>+ม.ค.!N283+ก.พ.!N282+มี.ค.!N282</f>
        <v>0</v>
      </c>
      <c r="O287" s="133">
        <f>+ม.ค.!O283+ก.พ.!O282+มี.ค.!O282</f>
        <v>0</v>
      </c>
      <c r="P287" s="133">
        <f>+ม.ค.!P283+ก.พ.!P282+มี.ค.!P282</f>
        <v>0</v>
      </c>
      <c r="Q287" s="133">
        <f>+ม.ค.!Q283+ก.พ.!Q282+มี.ค.!Q282</f>
        <v>0</v>
      </c>
      <c r="R287" s="133">
        <f>+ม.ค.!R283+ก.พ.!R282+มี.ค.!R282</f>
        <v>0</v>
      </c>
      <c r="S287" s="133">
        <f>+ม.ค.!S283+ก.พ.!S282+มี.ค.!S282</f>
        <v>0</v>
      </c>
      <c r="T287" s="133"/>
      <c r="U287" s="133">
        <f>+ม.ค.!U283+ก.พ.!U282+มี.ค.!U282</f>
        <v>0</v>
      </c>
      <c r="V287" s="133">
        <f>+ม.ค.!V283+ก.พ.!V282+มี.ค.!V282</f>
        <v>0</v>
      </c>
    </row>
    <row r="288" spans="1:23" ht="25.5" customHeight="1">
      <c r="A288" s="20"/>
      <c r="B288" s="185" t="s">
        <v>386</v>
      </c>
      <c r="C288" s="192">
        <v>409940.96</v>
      </c>
      <c r="D288" s="133">
        <f>+ม.ค.!D284+ก.พ.!D283+มี.ค.!D283</f>
        <v>0</v>
      </c>
      <c r="E288" s="133">
        <f>+ม.ค.!E284+ก.พ.!E283+มี.ค.!E283</f>
        <v>0</v>
      </c>
      <c r="F288" s="133">
        <f>+ม.ค.!F284+ก.พ.!F283+มี.ค.!F283</f>
        <v>0</v>
      </c>
      <c r="G288" s="133">
        <f>+ม.ค.!G284+ก.พ.!G283+มี.ค.!G283</f>
        <v>0</v>
      </c>
      <c r="H288" s="133">
        <f>+ม.ค.!H284+ก.พ.!H283+มี.ค.!H283</f>
        <v>0</v>
      </c>
      <c r="I288" s="133">
        <f>+ม.ค.!I284+ก.พ.!I283+มี.ค.!I283</f>
        <v>0</v>
      </c>
      <c r="J288" s="133">
        <f>+ม.ค.!J284+ก.พ.!J283+มี.ค.!J283</f>
        <v>0</v>
      </c>
      <c r="K288" s="133">
        <f>+ม.ค.!K284+ก.พ.!K283+มี.ค.!K283</f>
        <v>0</v>
      </c>
      <c r="L288" s="133">
        <f>+ม.ค.!L284+ก.พ.!L283+มี.ค.!L283</f>
        <v>0</v>
      </c>
      <c r="M288" s="133">
        <f>+ม.ค.!M284+ก.พ.!M283+มี.ค.!M283</f>
        <v>0</v>
      </c>
      <c r="N288" s="133">
        <f>+ม.ค.!N284+ก.พ.!N283+มี.ค.!N283</f>
        <v>0</v>
      </c>
      <c r="O288" s="133">
        <f>+ม.ค.!O284+ก.พ.!O283+มี.ค.!O283</f>
        <v>0</v>
      </c>
      <c r="P288" s="133">
        <f>+ม.ค.!P284+ก.พ.!P283+มี.ค.!P283</f>
        <v>0</v>
      </c>
      <c r="Q288" s="133">
        <f>+ม.ค.!Q284+ก.พ.!Q283+มี.ค.!Q283</f>
        <v>0</v>
      </c>
      <c r="R288" s="133">
        <f>+ม.ค.!R284+ก.พ.!R283+มี.ค.!R283</f>
        <v>0</v>
      </c>
      <c r="S288" s="133">
        <f>+ม.ค.!S284+ก.พ.!S283+มี.ค.!S283</f>
        <v>0</v>
      </c>
      <c r="T288" s="133"/>
      <c r="U288" s="133">
        <f>+ม.ค.!U284+ก.พ.!U283+มี.ค.!U283</f>
        <v>0</v>
      </c>
      <c r="V288" s="133">
        <f>+ม.ค.!V284+ก.พ.!V283+มี.ค.!V283</f>
        <v>0</v>
      </c>
    </row>
    <row r="289" spans="1:23" ht="25.5" customHeight="1">
      <c r="A289" s="20"/>
      <c r="B289" s="185" t="s">
        <v>387</v>
      </c>
      <c r="C289" s="192">
        <v>40000</v>
      </c>
      <c r="D289" s="133">
        <f>+ม.ค.!D285+ก.พ.!D284+มี.ค.!D284</f>
        <v>0</v>
      </c>
      <c r="E289" s="133">
        <f>+ม.ค.!E285+ก.พ.!E284+มี.ค.!E284</f>
        <v>0</v>
      </c>
      <c r="F289" s="133">
        <f>+ม.ค.!F285+ก.พ.!F284+มี.ค.!F284</f>
        <v>0</v>
      </c>
      <c r="G289" s="133">
        <f>+ม.ค.!G285+ก.พ.!G284+มี.ค.!G284</f>
        <v>0</v>
      </c>
      <c r="H289" s="133">
        <f>+ม.ค.!H285+ก.พ.!H284+มี.ค.!H284</f>
        <v>0</v>
      </c>
      <c r="I289" s="133">
        <f>+ม.ค.!I285+ก.พ.!I284+มี.ค.!I284</f>
        <v>0</v>
      </c>
      <c r="J289" s="133">
        <f>+ม.ค.!J285+ก.พ.!J284+มี.ค.!J284</f>
        <v>0</v>
      </c>
      <c r="K289" s="133">
        <f>+ม.ค.!K285+ก.พ.!K284+มี.ค.!K284</f>
        <v>0</v>
      </c>
      <c r="L289" s="133">
        <f>+ม.ค.!L285+ก.พ.!L284+มี.ค.!L284</f>
        <v>0</v>
      </c>
      <c r="M289" s="133">
        <f>+ม.ค.!M285+ก.พ.!M284+มี.ค.!M284</f>
        <v>0</v>
      </c>
      <c r="N289" s="133">
        <f>+ม.ค.!N285+ก.พ.!N284+มี.ค.!N284</f>
        <v>0</v>
      </c>
      <c r="O289" s="133">
        <f>+ม.ค.!O285+ก.พ.!O284+มี.ค.!O284</f>
        <v>0</v>
      </c>
      <c r="P289" s="133">
        <f>+ม.ค.!P285+ก.พ.!P284+มี.ค.!P284</f>
        <v>0</v>
      </c>
      <c r="Q289" s="133">
        <f>+ม.ค.!Q285+ก.พ.!Q284+มี.ค.!Q284</f>
        <v>0</v>
      </c>
      <c r="R289" s="133">
        <f>+ม.ค.!R285+ก.พ.!R284+มี.ค.!R284</f>
        <v>0</v>
      </c>
      <c r="S289" s="133">
        <f>+ม.ค.!S285+ก.พ.!S284+มี.ค.!S284</f>
        <v>0</v>
      </c>
      <c r="T289" s="133"/>
      <c r="U289" s="133">
        <f>+ม.ค.!U285+ก.พ.!U284+มี.ค.!U284</f>
        <v>0</v>
      </c>
      <c r="V289" s="133">
        <f>+ม.ค.!V285+ก.พ.!V284+มี.ค.!V284</f>
        <v>0</v>
      </c>
    </row>
    <row r="290" spans="1:23" ht="25.5" customHeight="1">
      <c r="A290" s="20"/>
      <c r="B290" s="352" t="s">
        <v>409</v>
      </c>
      <c r="C290" s="192">
        <v>175000</v>
      </c>
      <c r="D290" s="133">
        <f>+ม.ค.!D286+ก.พ.!D285+มี.ค.!D285</f>
        <v>0</v>
      </c>
      <c r="E290" s="133">
        <f>+ม.ค.!E286+ก.พ.!E285+มี.ค.!E285</f>
        <v>0</v>
      </c>
      <c r="F290" s="133">
        <f>+ม.ค.!F286+ก.พ.!F285+มี.ค.!F285</f>
        <v>0</v>
      </c>
      <c r="G290" s="133">
        <f>+ม.ค.!G286+ก.พ.!G285+มี.ค.!G285</f>
        <v>0</v>
      </c>
      <c r="H290" s="133">
        <f>+ม.ค.!H286+ก.พ.!H285+มี.ค.!H285</f>
        <v>0</v>
      </c>
      <c r="I290" s="133">
        <f>+ม.ค.!I286+ก.พ.!I285+มี.ค.!I285</f>
        <v>0</v>
      </c>
      <c r="J290" s="133">
        <f>+ม.ค.!J286+ก.พ.!J285+มี.ค.!J285</f>
        <v>0</v>
      </c>
      <c r="K290" s="133">
        <f>+ม.ค.!K286+ก.พ.!K285+มี.ค.!K285</f>
        <v>0</v>
      </c>
      <c r="L290" s="133">
        <f>+ม.ค.!L286+ก.พ.!L285+มี.ค.!L285</f>
        <v>0</v>
      </c>
      <c r="M290" s="133">
        <f>+ม.ค.!M286+ก.พ.!M285+มี.ค.!M285</f>
        <v>0</v>
      </c>
      <c r="N290" s="133">
        <f>+ม.ค.!N286+ก.พ.!N285+มี.ค.!N285</f>
        <v>174000</v>
      </c>
      <c r="O290" s="133">
        <f>+ม.ค.!O286+ก.พ.!O285+มี.ค.!O285</f>
        <v>0</v>
      </c>
      <c r="P290" s="133">
        <f>+ม.ค.!P286+ก.พ.!P285+มี.ค.!P285</f>
        <v>0</v>
      </c>
      <c r="Q290" s="133">
        <f>+ม.ค.!Q286+ก.พ.!Q285+มี.ค.!Q285</f>
        <v>0</v>
      </c>
      <c r="R290" s="133">
        <f>+ม.ค.!R286+ก.พ.!R285+มี.ค.!R285</f>
        <v>0</v>
      </c>
      <c r="S290" s="133">
        <f>+ม.ค.!S286+ก.พ.!S285+มี.ค.!S285</f>
        <v>0</v>
      </c>
      <c r="T290" s="133">
        <f>+ม.ค.!T286+ก.พ.!T285+มี.ค.!T285</f>
        <v>0</v>
      </c>
      <c r="U290" s="133">
        <f>+ม.ค.!U286+ก.พ.!U285+มี.ค.!U285</f>
        <v>0</v>
      </c>
      <c r="V290" s="133">
        <f>+ม.ค.!V286+ก.พ.!V285+มี.ค.!V285</f>
        <v>0</v>
      </c>
    </row>
    <row r="291" spans="1:23" ht="25.5" customHeight="1">
      <c r="A291" s="20"/>
      <c r="B291" s="185" t="s">
        <v>453</v>
      </c>
      <c r="C291" s="216">
        <v>175000</v>
      </c>
      <c r="D291" s="133">
        <f>+ม.ค.!D287+ก.พ.!D286+มี.ค.!D286</f>
        <v>0</v>
      </c>
      <c r="E291" s="133">
        <f>+ม.ค.!E287+ก.พ.!E286+มี.ค.!E286</f>
        <v>0</v>
      </c>
      <c r="F291" s="133">
        <f>+ม.ค.!F287+ก.พ.!F286+มี.ค.!F286</f>
        <v>0</v>
      </c>
      <c r="G291" s="133">
        <f>+ม.ค.!G287+ก.พ.!G286+มี.ค.!G286</f>
        <v>0</v>
      </c>
      <c r="H291" s="133">
        <f>+ม.ค.!H287+ก.พ.!H286+มี.ค.!H286</f>
        <v>0</v>
      </c>
      <c r="I291" s="133">
        <f>+ม.ค.!I287+ก.พ.!I286+มี.ค.!I286</f>
        <v>0</v>
      </c>
      <c r="J291" s="133">
        <f>+ม.ค.!J287+ก.พ.!J286+มี.ค.!J286</f>
        <v>0</v>
      </c>
      <c r="K291" s="133">
        <f>+ม.ค.!K287+ก.พ.!K286+มี.ค.!K286</f>
        <v>0</v>
      </c>
      <c r="L291" s="133">
        <f>+ม.ค.!L287+ก.พ.!L286+มี.ค.!L286</f>
        <v>0</v>
      </c>
      <c r="M291" s="133">
        <f>+ม.ค.!M287+ก.พ.!M286+มี.ค.!M286</f>
        <v>0</v>
      </c>
      <c r="N291" s="133">
        <f>+มี.ค.!N291</f>
        <v>175000</v>
      </c>
      <c r="O291" s="133">
        <f>+ม.ค.!O287+ก.พ.!O286+มี.ค.!O286</f>
        <v>0</v>
      </c>
      <c r="P291" s="133">
        <f>+ม.ค.!P287+ก.พ.!P286+มี.ค.!P286</f>
        <v>0</v>
      </c>
      <c r="Q291" s="133">
        <f>+ม.ค.!Q287+ก.พ.!Q286+มี.ค.!Q286</f>
        <v>0</v>
      </c>
      <c r="R291" s="133">
        <f>+ม.ค.!R287+ก.พ.!R286+มี.ค.!R286</f>
        <v>0</v>
      </c>
      <c r="S291" s="133">
        <f>+ม.ค.!S287+ก.พ.!S286+มี.ค.!S286</f>
        <v>0</v>
      </c>
      <c r="T291" s="133">
        <f>+ม.ค.!T287+ก.พ.!T286+มี.ค.!T286</f>
        <v>0</v>
      </c>
      <c r="U291" s="133">
        <f>+ม.ค.!U287+ก.พ.!U286+มี.ค.!U286</f>
        <v>0</v>
      </c>
      <c r="V291" s="133">
        <f>+ม.ค.!V287+ก.พ.!V286+มี.ค.!V286</f>
        <v>0</v>
      </c>
    </row>
    <row r="292" spans="1:23" ht="25.5" customHeight="1" thickBot="1">
      <c r="A292" s="15"/>
      <c r="B292" s="53" t="s">
        <v>5</v>
      </c>
      <c r="C292" s="105">
        <f>SUM(C282:C291)</f>
        <v>898940.96</v>
      </c>
      <c r="D292" s="132">
        <f>SUM(D282:D289)</f>
        <v>0</v>
      </c>
      <c r="E292" s="137">
        <f>SUM(E282:E289)</f>
        <v>0</v>
      </c>
      <c r="F292" s="137">
        <f>SUM(F282:F289)</f>
        <v>0</v>
      </c>
      <c r="G292" s="137">
        <f t="shared" ref="G292:V292" si="11">SUM(G282:G289)</f>
        <v>0</v>
      </c>
      <c r="H292" s="137">
        <f>SUM(H282:H289)</f>
        <v>0</v>
      </c>
      <c r="I292" s="132">
        <f>SUM(I282:I289)</f>
        <v>0</v>
      </c>
      <c r="J292" s="132">
        <f t="shared" si="11"/>
        <v>0</v>
      </c>
      <c r="K292" s="132">
        <f t="shared" si="11"/>
        <v>0</v>
      </c>
      <c r="L292" s="132">
        <f t="shared" si="11"/>
        <v>0</v>
      </c>
      <c r="M292" s="137">
        <f>SUM(M282:M289)</f>
        <v>0</v>
      </c>
      <c r="N292" s="132">
        <f>SUM(N282:N291)</f>
        <v>349000</v>
      </c>
      <c r="O292" s="132">
        <f t="shared" si="11"/>
        <v>0</v>
      </c>
      <c r="P292" s="132">
        <f t="shared" si="11"/>
        <v>0</v>
      </c>
      <c r="Q292" s="132">
        <f t="shared" si="11"/>
        <v>0</v>
      </c>
      <c r="R292" s="132">
        <f t="shared" si="11"/>
        <v>0</v>
      </c>
      <c r="S292" s="132">
        <f t="shared" si="11"/>
        <v>0</v>
      </c>
      <c r="T292" s="132"/>
      <c r="U292" s="132">
        <f t="shared" si="11"/>
        <v>0</v>
      </c>
      <c r="V292" s="132">
        <f t="shared" si="11"/>
        <v>0</v>
      </c>
      <c r="W292" s="318">
        <f>SUM(D292:V292)</f>
        <v>349000</v>
      </c>
    </row>
    <row r="293" spans="1:23" ht="25.5" customHeight="1" thickTop="1" thickBot="1">
      <c r="A293" s="16"/>
      <c r="B293" s="52" t="s">
        <v>49</v>
      </c>
      <c r="C293" s="229">
        <f>+C272+C262+C221+C210+C204++C49+C39+C21+C176+C28+C224</f>
        <v>39148280</v>
      </c>
      <c r="D293" s="229">
        <f t="shared" ref="D293:V293" si="12">+D272+D262+D221+D210+D204++D49+D39+D21+D176+D28+D224</f>
        <v>2380220</v>
      </c>
      <c r="E293" s="229">
        <f t="shared" si="12"/>
        <v>2474632.0499999998</v>
      </c>
      <c r="F293" s="229">
        <f t="shared" si="12"/>
        <v>542461.4</v>
      </c>
      <c r="G293" s="229">
        <f t="shared" si="12"/>
        <v>96210</v>
      </c>
      <c r="H293" s="229">
        <f t="shared" si="12"/>
        <v>1240217.3400000001</v>
      </c>
      <c r="I293" s="229">
        <f t="shared" si="12"/>
        <v>1174621.98</v>
      </c>
      <c r="J293" s="229">
        <f t="shared" si="12"/>
        <v>49995</v>
      </c>
      <c r="K293" s="229">
        <f t="shared" si="12"/>
        <v>37080</v>
      </c>
      <c r="L293" s="229">
        <f t="shared" si="12"/>
        <v>0</v>
      </c>
      <c r="M293" s="229">
        <f>+M272+M262+M221+M210+M204++M49+M39+M21+M176+M28+M224</f>
        <v>551399.9</v>
      </c>
      <c r="N293" s="229">
        <f>+N272+N262+N221+N210+N204++N49+N39+N21+N176+N28+N224</f>
        <v>488500</v>
      </c>
      <c r="O293" s="229">
        <f t="shared" si="12"/>
        <v>0</v>
      </c>
      <c r="P293" s="229">
        <f t="shared" si="12"/>
        <v>1200</v>
      </c>
      <c r="Q293" s="229">
        <f t="shared" si="12"/>
        <v>0</v>
      </c>
      <c r="R293" s="229">
        <f t="shared" si="12"/>
        <v>24450</v>
      </c>
      <c r="S293" s="229">
        <f t="shared" si="12"/>
        <v>4980</v>
      </c>
      <c r="T293" s="229"/>
      <c r="U293" s="229">
        <f t="shared" si="12"/>
        <v>0</v>
      </c>
      <c r="V293" s="51">
        <f t="shared" si="12"/>
        <v>8635</v>
      </c>
      <c r="W293" s="314">
        <f>SUM(D293:V293)</f>
        <v>9074602.6699999999</v>
      </c>
    </row>
    <row r="294" spans="1:23" ht="25.5" customHeight="1" thickTop="1" thickBot="1">
      <c r="A294" s="16"/>
      <c r="B294" s="41" t="s">
        <v>25</v>
      </c>
      <c r="C294" s="260">
        <f>+C292+C280+C276+C272+C262+C224+C221+C210+C176+C49+C28+C21+C39++C204</f>
        <v>40273720.960000001</v>
      </c>
      <c r="D294" s="260">
        <f>+D292+D280+D276+D272+D262+D224+D221+D210+D176+D49+D28+D21+D39++D204</f>
        <v>2606720</v>
      </c>
      <c r="E294" s="260">
        <f>+E292+E280+E276+E272+E262+E224+E221+E210+E176+E49+E28+E21+E39++E204</f>
        <v>2474632.0499999998</v>
      </c>
      <c r="F294" s="260">
        <f>+F292+F280+F276+F272+F262+F224+F221+F210+F176+F49+F28+F21+F39++F204</f>
        <v>542461.4</v>
      </c>
      <c r="G294" s="260">
        <f t="shared" ref="G294:U294" si="13">+G292+G280+G276+G272+G262+G224+G221+G210+G176+G49+G28+G21+G39++G204</f>
        <v>96210</v>
      </c>
      <c r="H294" s="260">
        <f>+H292+H280+H276+H272+H262+H224+H221+H210+H176+H49+H28+H21+H39++H204</f>
        <v>1240217.3400000001</v>
      </c>
      <c r="I294" s="260">
        <f>+I292+I280+I276+I272+I262+I224+I221+I210+I176+I49+I28+I21+I39++I204</f>
        <v>1174621.98</v>
      </c>
      <c r="J294" s="260">
        <f t="shared" si="13"/>
        <v>49995</v>
      </c>
      <c r="K294" s="260">
        <f>+K292+K280+K276+K272+K262+K224+K221+K210+K176+K49+K28+K21+K39++K204</f>
        <v>37080</v>
      </c>
      <c r="L294" s="260">
        <f t="shared" si="13"/>
        <v>0</v>
      </c>
      <c r="M294" s="260">
        <f>+M292+M280+M276+M272+M262+M224+M221+M210+M176+M49+M28+M21+M39++M204</f>
        <v>551399.9</v>
      </c>
      <c r="N294" s="260">
        <f>+N292+N280+N276+N272+N262+N224+N221+N210+N176+N49+N28+N21+N39++N204</f>
        <v>837500</v>
      </c>
      <c r="O294" s="260">
        <f t="shared" si="13"/>
        <v>0</v>
      </c>
      <c r="P294" s="260">
        <f t="shared" si="13"/>
        <v>1200</v>
      </c>
      <c r="Q294" s="260">
        <f t="shared" si="13"/>
        <v>0</v>
      </c>
      <c r="R294" s="260">
        <f t="shared" si="13"/>
        <v>24450</v>
      </c>
      <c r="S294" s="260">
        <f t="shared" si="13"/>
        <v>4980</v>
      </c>
      <c r="T294" s="260"/>
      <c r="U294" s="260">
        <f t="shared" si="13"/>
        <v>0</v>
      </c>
      <c r="V294" s="309">
        <f>+V292+V280+V276+V272+V262+V224+V221+V210+V176+V49+V28+V21+V39++V204</f>
        <v>8635</v>
      </c>
      <c r="W294" s="319">
        <f>SUM(D294:V294)</f>
        <v>9650102.6699999999</v>
      </c>
    </row>
    <row r="295" spans="1:23" ht="25.5" customHeight="1" thickTop="1">
      <c r="B295" s="246" t="s">
        <v>273</v>
      </c>
      <c r="C295" s="182"/>
      <c r="D295" s="300"/>
      <c r="E295" s="301"/>
      <c r="F295" s="302"/>
      <c r="G295" s="302"/>
      <c r="H295" s="302"/>
      <c r="I295" s="300"/>
      <c r="J295" s="300"/>
      <c r="K295" s="300"/>
      <c r="L295" s="300"/>
      <c r="M295" s="302"/>
      <c r="N295" s="300"/>
      <c r="O295" s="300"/>
      <c r="P295" s="300"/>
      <c r="Q295" s="300"/>
      <c r="R295" s="303"/>
      <c r="S295" s="304"/>
      <c r="T295" s="304"/>
      <c r="U295" s="303"/>
      <c r="V295" s="303"/>
      <c r="W295" s="246" t="s">
        <v>416</v>
      </c>
    </row>
    <row r="296" spans="1:23" ht="25.5" customHeight="1">
      <c r="C296" s="182"/>
      <c r="D296" s="35"/>
      <c r="E296" s="266"/>
      <c r="F296" s="134"/>
      <c r="G296" s="134"/>
      <c r="H296" s="134"/>
      <c r="I296" s="35"/>
      <c r="J296" s="35"/>
      <c r="K296" s="35"/>
      <c r="L296" s="35"/>
      <c r="M296" s="134"/>
      <c r="N296" s="35"/>
      <c r="O296" s="35"/>
      <c r="P296" s="35"/>
      <c r="Q296" s="35"/>
      <c r="R296" s="34"/>
      <c r="S296" s="171"/>
      <c r="T296" s="171"/>
      <c r="U296" s="34"/>
      <c r="V296" s="34"/>
      <c r="W296"/>
    </row>
    <row r="297" spans="1:23" ht="25.5" customHeight="1">
      <c r="C297" s="182"/>
      <c r="D297" s="35"/>
      <c r="E297" s="266"/>
      <c r="F297" s="134"/>
      <c r="G297" s="134"/>
      <c r="H297" s="134"/>
      <c r="I297" s="35"/>
      <c r="J297" s="35"/>
      <c r="K297" s="35"/>
      <c r="L297" s="35"/>
      <c r="M297" s="134"/>
      <c r="N297" s="35"/>
      <c r="O297" s="35"/>
      <c r="P297" s="35"/>
      <c r="Q297" s="35"/>
      <c r="R297" s="34"/>
      <c r="S297" s="171"/>
      <c r="T297" s="171"/>
      <c r="U297" s="34"/>
      <c r="V297" s="34"/>
      <c r="W297" s="253">
        <f>39148280-C293</f>
        <v>0</v>
      </c>
    </row>
    <row r="298" spans="1:23" ht="25.5" customHeight="1">
      <c r="B298" s="253">
        <f>39148280-C293</f>
        <v>0</v>
      </c>
      <c r="C298" s="182"/>
      <c r="D298" s="181"/>
      <c r="E298" s="272"/>
      <c r="F298" s="265"/>
      <c r="G298" s="265"/>
      <c r="H298" s="265"/>
      <c r="I298" s="181"/>
      <c r="J298" s="181"/>
      <c r="K298" s="181"/>
      <c r="L298" s="181"/>
      <c r="M298" s="265"/>
      <c r="N298" s="181"/>
      <c r="O298" s="181"/>
      <c r="P298" s="181"/>
      <c r="Q298" s="181"/>
      <c r="R298" s="221"/>
      <c r="S298" s="234"/>
      <c r="T298" s="234"/>
      <c r="U298" s="221"/>
      <c r="V298" s="221"/>
      <c r="W298" s="322">
        <v>9067347.6699999999</v>
      </c>
    </row>
    <row r="299" spans="1:23" ht="25.5" customHeight="1">
      <c r="C299" s="182"/>
      <c r="D299" s="181"/>
      <c r="E299" s="272"/>
      <c r="F299" s="265"/>
      <c r="G299" s="265"/>
      <c r="H299" s="265"/>
      <c r="I299" s="181"/>
      <c r="J299" s="181"/>
      <c r="K299" s="181"/>
      <c r="L299" s="181"/>
      <c r="M299" s="265"/>
      <c r="N299" s="181"/>
      <c r="O299" s="181"/>
      <c r="P299" s="181"/>
      <c r="Q299" s="181"/>
      <c r="R299" s="221"/>
      <c r="S299" s="234"/>
      <c r="T299" s="234"/>
      <c r="U299" s="221"/>
      <c r="V299" s="221"/>
      <c r="W299" s="328">
        <v>9467847.6699999999</v>
      </c>
    </row>
    <row r="300" spans="1:23" ht="25.5" customHeight="1">
      <c r="C300" s="182"/>
      <c r="D300" s="181"/>
      <c r="E300" s="272"/>
      <c r="F300" s="265"/>
      <c r="G300" s="265"/>
      <c r="H300" s="265"/>
      <c r="I300" s="181"/>
      <c r="J300" s="181"/>
      <c r="K300" s="181"/>
      <c r="L300" s="181"/>
      <c r="M300" s="265"/>
      <c r="N300" s="181"/>
      <c r="O300" s="181"/>
      <c r="P300" s="181"/>
      <c r="Q300" s="181"/>
      <c r="R300" s="221"/>
      <c r="S300" s="234"/>
      <c r="T300" s="234"/>
      <c r="U300" s="221"/>
      <c r="V300" s="221"/>
      <c r="W300" s="321"/>
    </row>
    <row r="301" spans="1:23" ht="25.5" customHeight="1">
      <c r="D301" s="181"/>
      <c r="E301" s="272"/>
      <c r="F301" s="265"/>
      <c r="G301" s="265"/>
      <c r="H301" s="265"/>
      <c r="I301" s="181"/>
      <c r="J301" s="181"/>
      <c r="K301" s="181"/>
      <c r="L301" s="181"/>
      <c r="M301" s="265"/>
      <c r="N301" s="181"/>
      <c r="O301" s="181"/>
      <c r="P301" s="181"/>
      <c r="Q301" s="181"/>
      <c r="R301" s="221"/>
      <c r="S301" s="234"/>
      <c r="T301" s="234"/>
      <c r="U301" s="221"/>
      <c r="V301" s="221"/>
      <c r="W301" s="321"/>
    </row>
    <row r="302" spans="1:23" ht="25.5" customHeight="1">
      <c r="D302" s="181"/>
      <c r="E302" s="272"/>
      <c r="F302" s="265"/>
      <c r="G302" s="265"/>
      <c r="H302" s="265"/>
      <c r="I302" s="181"/>
      <c r="J302" s="181"/>
      <c r="K302" s="181"/>
      <c r="L302" s="181"/>
      <c r="M302" s="265"/>
      <c r="N302" s="181"/>
      <c r="O302" s="181"/>
      <c r="P302" s="181"/>
      <c r="Q302" s="181"/>
      <c r="R302" s="221"/>
      <c r="S302" s="234"/>
      <c r="T302" s="234"/>
      <c r="U302" s="221"/>
      <c r="V302" s="221"/>
    </row>
    <row r="303" spans="1:23" ht="25.5" customHeight="1">
      <c r="D303" s="181"/>
      <c r="E303" s="272"/>
      <c r="F303" s="265"/>
      <c r="G303" s="265"/>
      <c r="H303" s="265"/>
      <c r="I303" s="181"/>
      <c r="J303" s="181"/>
      <c r="K303" s="181"/>
      <c r="L303" s="181"/>
      <c r="M303" s="265"/>
      <c r="N303" s="181"/>
      <c r="O303" s="181"/>
      <c r="P303" s="181"/>
      <c r="Q303" s="181"/>
      <c r="R303" s="221"/>
      <c r="S303" s="234"/>
      <c r="T303" s="234"/>
      <c r="U303" s="221"/>
      <c r="V303" s="221"/>
    </row>
    <row r="304" spans="1:23" ht="25.5" customHeight="1">
      <c r="D304" s="181"/>
      <c r="E304" s="272"/>
      <c r="F304" s="265"/>
      <c r="G304" s="265"/>
      <c r="H304" s="265"/>
      <c r="I304" s="181"/>
      <c r="J304" s="181"/>
      <c r="K304" s="181"/>
      <c r="L304" s="181"/>
      <c r="M304" s="265"/>
      <c r="N304" s="181"/>
      <c r="O304" s="181"/>
      <c r="P304" s="181"/>
      <c r="Q304" s="181"/>
      <c r="R304" s="221"/>
      <c r="S304" s="234"/>
      <c r="T304" s="234"/>
      <c r="U304" s="221"/>
      <c r="V304" s="221"/>
    </row>
    <row r="305" spans="1:24" ht="25.5" customHeight="1">
      <c r="D305" s="181"/>
      <c r="E305" s="272"/>
      <c r="F305" s="265"/>
      <c r="G305" s="265"/>
      <c r="H305" s="265"/>
      <c r="I305" s="181"/>
      <c r="J305" s="181"/>
      <c r="K305" s="181"/>
      <c r="L305" s="181"/>
      <c r="M305" s="265"/>
      <c r="N305" s="181"/>
      <c r="O305" s="181"/>
      <c r="P305" s="181"/>
      <c r="Q305" s="181"/>
      <c r="R305" s="221"/>
      <c r="S305" s="234"/>
      <c r="T305" s="234"/>
      <c r="U305" s="221"/>
      <c r="V305" s="221"/>
    </row>
    <row r="306" spans="1:24" ht="25.5" customHeight="1">
      <c r="D306" s="181"/>
      <c r="E306" s="272"/>
      <c r="F306" s="265"/>
      <c r="G306" s="265"/>
      <c r="H306" s="265"/>
      <c r="I306" s="181"/>
      <c r="J306" s="181"/>
      <c r="K306" s="181"/>
      <c r="L306" s="181"/>
      <c r="M306" s="265"/>
      <c r="N306" s="181"/>
      <c r="O306" s="181"/>
      <c r="P306" s="181"/>
      <c r="Q306" s="181"/>
      <c r="R306" s="221"/>
      <c r="S306" s="234"/>
      <c r="T306" s="234"/>
      <c r="U306" s="221"/>
      <c r="V306" s="221"/>
    </row>
    <row r="307" spans="1:24" ht="25.5" customHeight="1">
      <c r="D307" s="181"/>
      <c r="E307" s="272"/>
      <c r="F307" s="265"/>
      <c r="G307" s="265"/>
      <c r="H307" s="265"/>
      <c r="I307" s="181"/>
      <c r="J307" s="181"/>
      <c r="K307" s="181"/>
      <c r="L307" s="181"/>
      <c r="M307" s="265"/>
      <c r="N307" s="181"/>
      <c r="O307" s="181"/>
      <c r="P307" s="181"/>
      <c r="Q307" s="181"/>
      <c r="R307" s="221"/>
      <c r="S307" s="234"/>
      <c r="T307" s="234"/>
      <c r="U307" s="221"/>
      <c r="V307" s="221"/>
    </row>
    <row r="308" spans="1:24" ht="25.5" customHeight="1">
      <c r="D308" s="181"/>
      <c r="E308" s="272"/>
      <c r="F308" s="265"/>
      <c r="G308" s="265"/>
      <c r="H308" s="265"/>
      <c r="I308" s="181"/>
      <c r="J308" s="181"/>
      <c r="K308" s="181"/>
      <c r="L308" s="181"/>
      <c r="M308" s="265"/>
      <c r="N308" s="181"/>
      <c r="O308" s="181"/>
      <c r="P308" s="181"/>
      <c r="Q308" s="181"/>
      <c r="R308" s="221"/>
      <c r="S308" s="234"/>
      <c r="T308" s="234"/>
      <c r="U308" s="221"/>
      <c r="V308" s="221"/>
    </row>
    <row r="309" spans="1:24" ht="25.5" customHeight="1">
      <c r="D309" s="181"/>
      <c r="E309" s="272"/>
      <c r="F309" s="265"/>
      <c r="G309" s="265"/>
      <c r="H309" s="265"/>
      <c r="I309" s="181"/>
      <c r="J309" s="181"/>
      <c r="K309" s="181"/>
      <c r="L309" s="181"/>
      <c r="M309" s="265"/>
      <c r="N309" s="181"/>
      <c r="O309" s="181"/>
      <c r="P309" s="181"/>
      <c r="Q309" s="181"/>
      <c r="R309" s="221"/>
      <c r="S309" s="234"/>
      <c r="T309" s="234"/>
      <c r="U309" s="221"/>
      <c r="V309" s="221"/>
    </row>
    <row r="310" spans="1:24" ht="25.5" customHeight="1">
      <c r="D310" s="181"/>
      <c r="E310" s="272"/>
      <c r="F310" s="265"/>
      <c r="G310" s="265"/>
      <c r="H310" s="265"/>
      <c r="I310" s="181"/>
      <c r="J310" s="181"/>
      <c r="K310" s="181"/>
      <c r="L310" s="181"/>
      <c r="M310" s="265"/>
      <c r="N310" s="181"/>
      <c r="O310" s="181"/>
      <c r="P310" s="181"/>
      <c r="Q310" s="181"/>
      <c r="R310" s="221"/>
      <c r="S310" s="234"/>
      <c r="T310" s="234"/>
      <c r="U310" s="221"/>
      <c r="V310" s="221"/>
    </row>
    <row r="311" spans="1:24" ht="25.5" customHeight="1">
      <c r="D311" s="181"/>
      <c r="E311" s="272"/>
      <c r="F311" s="265"/>
      <c r="G311" s="265"/>
      <c r="H311" s="265"/>
      <c r="I311" s="181"/>
      <c r="J311" s="181"/>
      <c r="K311" s="181"/>
      <c r="L311" s="181"/>
      <c r="M311" s="265"/>
      <c r="N311" s="181"/>
      <c r="O311" s="181"/>
      <c r="P311" s="181"/>
      <c r="Q311" s="181"/>
      <c r="R311" s="221"/>
      <c r="S311" s="234"/>
      <c r="T311" s="234"/>
      <c r="U311" s="221"/>
      <c r="V311" s="221"/>
    </row>
    <row r="312" spans="1:24" ht="25.5" customHeight="1">
      <c r="D312" s="181"/>
      <c r="E312" s="272"/>
      <c r="F312" s="265"/>
      <c r="G312" s="265"/>
      <c r="H312" s="265"/>
      <c r="I312" s="181"/>
      <c r="J312" s="181"/>
      <c r="K312" s="181"/>
      <c r="L312" s="181"/>
      <c r="M312" s="265"/>
      <c r="N312" s="181"/>
      <c r="O312" s="181"/>
      <c r="P312" s="181"/>
      <c r="Q312" s="181"/>
      <c r="R312" s="221"/>
      <c r="S312" s="234"/>
      <c r="T312" s="234"/>
      <c r="U312" s="221"/>
      <c r="V312" s="221"/>
    </row>
    <row r="313" spans="1:24" s="310" customFormat="1" ht="25.5" customHeight="1">
      <c r="A313"/>
      <c r="B313"/>
      <c r="C313" s="282"/>
      <c r="D313" s="181"/>
      <c r="E313" s="272"/>
      <c r="F313" s="265"/>
      <c r="G313" s="265"/>
      <c r="H313" s="265"/>
      <c r="I313" s="181"/>
      <c r="J313" s="181"/>
      <c r="K313" s="181"/>
      <c r="L313" s="181"/>
      <c r="M313" s="265"/>
      <c r="N313" s="181"/>
      <c r="O313" s="181"/>
      <c r="P313" s="181"/>
      <c r="Q313" s="181"/>
      <c r="R313" s="221"/>
      <c r="S313" s="234"/>
      <c r="T313" s="234"/>
      <c r="U313" s="221"/>
      <c r="V313" s="221"/>
      <c r="X313"/>
    </row>
    <row r="314" spans="1:24" s="310" customFormat="1" ht="25.5" customHeight="1">
      <c r="A314"/>
      <c r="B314"/>
      <c r="C314" s="282"/>
      <c r="D314" s="181"/>
      <c r="E314" s="272"/>
      <c r="F314" s="265"/>
      <c r="G314" s="265"/>
      <c r="H314" s="265"/>
      <c r="I314" s="181"/>
      <c r="J314" s="181"/>
      <c r="K314" s="181"/>
      <c r="L314" s="181"/>
      <c r="M314" s="265"/>
      <c r="N314" s="181"/>
      <c r="O314" s="181"/>
      <c r="P314" s="181"/>
      <c r="Q314" s="181"/>
      <c r="R314" s="221"/>
      <c r="S314" s="234"/>
      <c r="T314" s="234"/>
      <c r="U314" s="221"/>
      <c r="V314" s="221"/>
      <c r="X314"/>
    </row>
    <row r="315" spans="1:24" s="310" customFormat="1" ht="25.5" customHeight="1">
      <c r="A315"/>
      <c r="B315"/>
      <c r="C315" s="282"/>
      <c r="D315" s="181"/>
      <c r="E315" s="272"/>
      <c r="F315" s="265"/>
      <c r="G315" s="265"/>
      <c r="H315" s="265"/>
      <c r="I315" s="181"/>
      <c r="J315" s="181"/>
      <c r="K315" s="181"/>
      <c r="L315" s="181"/>
      <c r="M315" s="265"/>
      <c r="N315" s="181"/>
      <c r="O315" s="181"/>
      <c r="P315" s="181"/>
      <c r="Q315" s="181"/>
      <c r="R315" s="221"/>
      <c r="S315" s="234"/>
      <c r="T315" s="234"/>
      <c r="U315" s="221"/>
      <c r="V315" s="221"/>
      <c r="X315"/>
    </row>
    <row r="316" spans="1:24" s="310" customFormat="1" ht="25.5" customHeight="1">
      <c r="A316"/>
      <c r="B316"/>
      <c r="C316" s="282"/>
      <c r="D316" s="181"/>
      <c r="E316" s="272"/>
      <c r="F316" s="265"/>
      <c r="G316" s="265"/>
      <c r="H316" s="265"/>
      <c r="I316" s="181"/>
      <c r="J316" s="181"/>
      <c r="K316" s="181"/>
      <c r="L316" s="181"/>
      <c r="M316" s="265"/>
      <c r="N316" s="181"/>
      <c r="O316" s="181"/>
      <c r="P316" s="181"/>
      <c r="Q316" s="181"/>
      <c r="R316" s="221"/>
      <c r="S316" s="234"/>
      <c r="T316" s="234"/>
      <c r="U316" s="221"/>
      <c r="V316" s="221"/>
      <c r="X316"/>
    </row>
    <row r="317" spans="1:24" s="310" customFormat="1" ht="25.5" customHeight="1">
      <c r="A317"/>
      <c r="B317"/>
      <c r="C317" s="282"/>
      <c r="D317" s="181"/>
      <c r="E317" s="272"/>
      <c r="F317" s="265"/>
      <c r="G317" s="265"/>
      <c r="H317" s="265"/>
      <c r="I317" s="181"/>
      <c r="J317" s="181"/>
      <c r="K317" s="181"/>
      <c r="L317" s="181"/>
      <c r="M317" s="265"/>
      <c r="N317" s="181"/>
      <c r="O317" s="181"/>
      <c r="P317" s="181"/>
      <c r="Q317" s="181"/>
      <c r="R317" s="221"/>
      <c r="S317" s="234"/>
      <c r="T317" s="234"/>
      <c r="U317" s="221"/>
      <c r="V317" s="221"/>
      <c r="X317"/>
    </row>
    <row r="318" spans="1:24" s="310" customFormat="1" ht="25.5" customHeight="1">
      <c r="A318"/>
      <c r="B318"/>
      <c r="C318" s="282"/>
      <c r="D318" s="181"/>
      <c r="E318" s="272"/>
      <c r="F318" s="265"/>
      <c r="G318" s="265"/>
      <c r="H318" s="265"/>
      <c r="I318" s="181"/>
      <c r="J318" s="181"/>
      <c r="K318" s="181"/>
      <c r="L318" s="181"/>
      <c r="M318" s="265"/>
      <c r="N318" s="181"/>
      <c r="O318" s="181"/>
      <c r="P318" s="181"/>
      <c r="Q318" s="181"/>
      <c r="R318" s="221"/>
      <c r="S318" s="234"/>
      <c r="T318" s="234"/>
      <c r="U318" s="221"/>
      <c r="V318" s="221"/>
      <c r="X318"/>
    </row>
    <row r="319" spans="1:24" s="310" customFormat="1" ht="25.5" customHeight="1">
      <c r="A319"/>
      <c r="B319"/>
      <c r="C319" s="282"/>
      <c r="D319" s="181"/>
      <c r="E319" s="272"/>
      <c r="F319" s="265"/>
      <c r="G319" s="265"/>
      <c r="H319" s="265"/>
      <c r="I319" s="181"/>
      <c r="J319" s="181"/>
      <c r="K319" s="181"/>
      <c r="L319" s="181"/>
      <c r="M319" s="265"/>
      <c r="N319" s="181"/>
      <c r="O319" s="181"/>
      <c r="P319" s="181"/>
      <c r="Q319" s="181"/>
      <c r="R319" s="221"/>
      <c r="S319" s="234"/>
      <c r="T319" s="234"/>
      <c r="U319" s="221"/>
      <c r="V319" s="221"/>
      <c r="X319"/>
    </row>
    <row r="320" spans="1:24" s="310" customFormat="1" ht="25.5" customHeight="1">
      <c r="A320"/>
      <c r="B320"/>
      <c r="C320" s="282"/>
      <c r="D320" s="181"/>
      <c r="E320" s="272"/>
      <c r="F320" s="265"/>
      <c r="G320" s="265"/>
      <c r="H320" s="265"/>
      <c r="I320" s="181"/>
      <c r="J320" s="181"/>
      <c r="K320" s="181"/>
      <c r="L320" s="181"/>
      <c r="M320" s="265"/>
      <c r="N320" s="181"/>
      <c r="O320" s="181"/>
      <c r="P320" s="181"/>
      <c r="Q320" s="181"/>
      <c r="R320" s="221"/>
      <c r="S320" s="234"/>
      <c r="T320" s="234"/>
      <c r="U320" s="221"/>
      <c r="V320" s="221"/>
      <c r="X320"/>
    </row>
    <row r="321" spans="1:24" s="310" customFormat="1" ht="25.5" customHeight="1">
      <c r="A321"/>
      <c r="B321"/>
      <c r="C321" s="282"/>
      <c r="D321" s="181"/>
      <c r="E321" s="272"/>
      <c r="F321" s="265"/>
      <c r="G321" s="265"/>
      <c r="H321" s="265"/>
      <c r="I321" s="181"/>
      <c r="J321" s="181"/>
      <c r="K321" s="181"/>
      <c r="L321" s="181"/>
      <c r="M321" s="265"/>
      <c r="N321" s="181"/>
      <c r="O321" s="181"/>
      <c r="P321" s="181"/>
      <c r="Q321" s="181"/>
      <c r="R321" s="221"/>
      <c r="S321" s="234"/>
      <c r="T321" s="234"/>
      <c r="U321" s="221"/>
      <c r="V321" s="221"/>
      <c r="X321"/>
    </row>
    <row r="322" spans="1:24" s="310" customFormat="1" ht="25.5" customHeight="1">
      <c r="A322"/>
      <c r="B322"/>
      <c r="C322" s="282"/>
      <c r="D322" s="181"/>
      <c r="E322" s="272"/>
      <c r="F322" s="265"/>
      <c r="G322" s="265"/>
      <c r="H322" s="265"/>
      <c r="I322" s="181"/>
      <c r="J322" s="181"/>
      <c r="K322" s="181"/>
      <c r="L322" s="181"/>
      <c r="M322" s="265"/>
      <c r="N322" s="181"/>
      <c r="O322" s="181"/>
      <c r="P322" s="181"/>
      <c r="Q322" s="181"/>
      <c r="R322" s="221"/>
      <c r="S322" s="234"/>
      <c r="T322" s="234"/>
      <c r="U322" s="221"/>
      <c r="V322" s="221"/>
      <c r="X322"/>
    </row>
    <row r="323" spans="1:24" s="310" customFormat="1" ht="25.5" customHeight="1">
      <c r="A323"/>
      <c r="B323"/>
      <c r="C323" s="282"/>
      <c r="D323" s="181"/>
      <c r="E323" s="272"/>
      <c r="F323" s="265"/>
      <c r="G323" s="265"/>
      <c r="H323" s="265"/>
      <c r="I323" s="181"/>
      <c r="J323" s="181"/>
      <c r="K323" s="181"/>
      <c r="L323" s="181"/>
      <c r="M323" s="265"/>
      <c r="N323" s="181"/>
      <c r="O323" s="181"/>
      <c r="P323" s="181"/>
      <c r="Q323" s="181"/>
      <c r="R323" s="221"/>
      <c r="S323" s="234"/>
      <c r="T323" s="234"/>
      <c r="U323" s="221"/>
      <c r="V323" s="221"/>
      <c r="X323"/>
    </row>
    <row r="324" spans="1:24" s="310" customFormat="1" ht="25.5" customHeight="1">
      <c r="A324"/>
      <c r="B324"/>
      <c r="C324" s="282"/>
      <c r="D324" s="181"/>
      <c r="E324" s="272"/>
      <c r="F324" s="265"/>
      <c r="G324" s="265"/>
      <c r="H324" s="265"/>
      <c r="I324" s="181"/>
      <c r="J324" s="181"/>
      <c r="K324" s="181"/>
      <c r="L324" s="181"/>
      <c r="M324" s="265"/>
      <c r="N324" s="181"/>
      <c r="O324" s="181"/>
      <c r="P324" s="181"/>
      <c r="Q324" s="181"/>
      <c r="R324" s="221"/>
      <c r="S324" s="234"/>
      <c r="T324" s="234"/>
      <c r="U324" s="221"/>
      <c r="V324" s="221"/>
      <c r="X324"/>
    </row>
    <row r="325" spans="1:24" s="310" customFormat="1" ht="25.5" customHeight="1">
      <c r="A325"/>
      <c r="B325"/>
      <c r="C325" s="282"/>
      <c r="D325" s="181"/>
      <c r="E325" s="272"/>
      <c r="F325" s="265"/>
      <c r="G325" s="265"/>
      <c r="H325" s="265"/>
      <c r="I325" s="181"/>
      <c r="J325" s="181"/>
      <c r="K325" s="181"/>
      <c r="L325" s="181"/>
      <c r="M325" s="265"/>
      <c r="N325" s="181"/>
      <c r="O325" s="181"/>
      <c r="P325" s="181"/>
      <c r="Q325" s="181"/>
      <c r="R325" s="221"/>
      <c r="S325" s="234"/>
      <c r="T325" s="234"/>
      <c r="U325" s="221"/>
      <c r="V325" s="221"/>
      <c r="X325"/>
    </row>
    <row r="326" spans="1:24" s="310" customFormat="1" ht="25.5" customHeight="1">
      <c r="A326"/>
      <c r="B326"/>
      <c r="C326" s="282"/>
      <c r="D326" s="181"/>
      <c r="E326" s="272"/>
      <c r="F326" s="265"/>
      <c r="G326" s="265"/>
      <c r="H326" s="265"/>
      <c r="I326" s="181"/>
      <c r="J326" s="181"/>
      <c r="K326" s="181"/>
      <c r="L326" s="181"/>
      <c r="M326" s="265"/>
      <c r="N326" s="181"/>
      <c r="O326" s="181"/>
      <c r="P326" s="181"/>
      <c r="Q326" s="181"/>
      <c r="R326" s="221"/>
      <c r="S326" s="234"/>
      <c r="T326" s="234"/>
      <c r="U326" s="221"/>
      <c r="V326" s="221"/>
      <c r="X326"/>
    </row>
    <row r="327" spans="1:24" s="310" customFormat="1" ht="25.5" customHeight="1">
      <c r="A327"/>
      <c r="B327"/>
      <c r="C327" s="282"/>
      <c r="D327" s="181"/>
      <c r="E327" s="272"/>
      <c r="F327" s="265"/>
      <c r="G327" s="265"/>
      <c r="H327" s="265"/>
      <c r="I327" s="181"/>
      <c r="J327" s="181"/>
      <c r="K327" s="181"/>
      <c r="L327" s="181"/>
      <c r="M327" s="265"/>
      <c r="N327" s="181"/>
      <c r="O327" s="181"/>
      <c r="P327" s="181"/>
      <c r="Q327" s="181"/>
      <c r="R327" s="221"/>
      <c r="S327" s="234"/>
      <c r="T327" s="234"/>
      <c r="U327" s="221"/>
      <c r="V327" s="221"/>
      <c r="X327"/>
    </row>
    <row r="328" spans="1:24" s="310" customFormat="1" ht="25.5" customHeight="1">
      <c r="A328"/>
      <c r="B328"/>
      <c r="C328" s="282"/>
      <c r="D328" s="181"/>
      <c r="E328" s="272"/>
      <c r="F328" s="265"/>
      <c r="G328" s="265"/>
      <c r="H328" s="265"/>
      <c r="I328" s="181"/>
      <c r="J328" s="181"/>
      <c r="K328" s="181"/>
      <c r="L328" s="181"/>
      <c r="M328" s="265"/>
      <c r="N328" s="181"/>
      <c r="O328" s="181"/>
      <c r="P328" s="181"/>
      <c r="Q328" s="181"/>
      <c r="R328" s="221"/>
      <c r="S328" s="234"/>
      <c r="T328" s="234"/>
      <c r="U328" s="221"/>
      <c r="V328" s="221"/>
      <c r="X328"/>
    </row>
    <row r="329" spans="1:24" s="310" customFormat="1" ht="25.5" customHeight="1">
      <c r="A329"/>
      <c r="B329"/>
      <c r="C329" s="282"/>
      <c r="D329" s="181"/>
      <c r="E329" s="272"/>
      <c r="F329" s="265"/>
      <c r="G329" s="265"/>
      <c r="H329" s="265"/>
      <c r="I329" s="181"/>
      <c r="J329" s="181"/>
      <c r="K329" s="181"/>
      <c r="L329" s="181"/>
      <c r="M329" s="265"/>
      <c r="N329" s="181"/>
      <c r="O329" s="181"/>
      <c r="P329" s="181"/>
      <c r="Q329" s="181"/>
      <c r="R329" s="221"/>
      <c r="S329" s="234"/>
      <c r="T329" s="234"/>
      <c r="U329" s="221"/>
      <c r="V329" s="221"/>
      <c r="X329"/>
    </row>
    <row r="330" spans="1:24" s="310" customFormat="1" ht="25.5" customHeight="1">
      <c r="A330"/>
      <c r="B330"/>
      <c r="C330" s="282"/>
      <c r="D330" s="181"/>
      <c r="E330" s="272"/>
      <c r="F330" s="265"/>
      <c r="G330" s="265"/>
      <c r="H330" s="265"/>
      <c r="I330" s="181"/>
      <c r="J330" s="181"/>
      <c r="K330" s="181"/>
      <c r="L330" s="181"/>
      <c r="M330" s="265"/>
      <c r="N330" s="181"/>
      <c r="O330" s="181"/>
      <c r="P330" s="181"/>
      <c r="Q330" s="181"/>
      <c r="R330" s="221"/>
      <c r="S330" s="234"/>
      <c r="T330" s="234"/>
      <c r="U330" s="221"/>
      <c r="V330" s="221"/>
      <c r="X330"/>
    </row>
    <row r="331" spans="1:24" s="310" customFormat="1" ht="25.5" customHeight="1">
      <c r="A331"/>
      <c r="B331"/>
      <c r="C331" s="282"/>
      <c r="D331" s="181"/>
      <c r="E331" s="272"/>
      <c r="F331" s="265"/>
      <c r="G331" s="265"/>
      <c r="H331" s="265"/>
      <c r="I331" s="181"/>
      <c r="J331" s="181"/>
      <c r="K331" s="181"/>
      <c r="L331" s="181"/>
      <c r="M331" s="265"/>
      <c r="N331" s="181"/>
      <c r="O331" s="181"/>
      <c r="P331" s="181"/>
      <c r="Q331" s="181"/>
      <c r="R331" s="221"/>
      <c r="S331" s="234"/>
      <c r="T331" s="234"/>
      <c r="U331" s="221"/>
      <c r="V331" s="221"/>
      <c r="X331"/>
    </row>
    <row r="332" spans="1:24" s="310" customFormat="1" ht="25.5" customHeight="1">
      <c r="A332"/>
      <c r="B332"/>
      <c r="C332" s="282"/>
      <c r="D332" s="181"/>
      <c r="E332" s="272"/>
      <c r="F332" s="265"/>
      <c r="G332" s="265"/>
      <c r="H332" s="265"/>
      <c r="I332" s="181"/>
      <c r="J332" s="181"/>
      <c r="K332" s="181"/>
      <c r="L332" s="181"/>
      <c r="M332" s="265"/>
      <c r="N332" s="181"/>
      <c r="O332" s="181"/>
      <c r="P332" s="181"/>
      <c r="Q332" s="181"/>
      <c r="R332" s="221"/>
      <c r="S332" s="234"/>
      <c r="T332" s="234"/>
      <c r="U332" s="221"/>
      <c r="V332" s="221"/>
      <c r="X332"/>
    </row>
    <row r="333" spans="1:24" s="310" customFormat="1" ht="25.5" customHeight="1">
      <c r="A333"/>
      <c r="B333"/>
      <c r="C333" s="282"/>
      <c r="D333" s="181"/>
      <c r="E333" s="272"/>
      <c r="F333" s="265"/>
      <c r="G333" s="265"/>
      <c r="H333" s="265"/>
      <c r="I333" s="181"/>
      <c r="J333" s="181"/>
      <c r="K333" s="181"/>
      <c r="L333" s="181"/>
      <c r="M333" s="265"/>
      <c r="N333" s="181"/>
      <c r="O333" s="181"/>
      <c r="P333" s="181"/>
      <c r="Q333" s="181"/>
      <c r="R333" s="221"/>
      <c r="S333" s="234"/>
      <c r="T333" s="234"/>
      <c r="U333" s="221"/>
      <c r="V333" s="221"/>
      <c r="X333"/>
    </row>
    <row r="334" spans="1:24" s="310" customFormat="1" ht="25.5" customHeight="1">
      <c r="A334"/>
      <c r="B334"/>
      <c r="C334" s="282"/>
      <c r="D334" s="181"/>
      <c r="E334" s="272"/>
      <c r="F334" s="265"/>
      <c r="G334" s="265"/>
      <c r="H334" s="265"/>
      <c r="I334" s="181"/>
      <c r="J334" s="181"/>
      <c r="K334" s="181"/>
      <c r="L334" s="181"/>
      <c r="M334" s="265"/>
      <c r="N334" s="181"/>
      <c r="O334" s="181"/>
      <c r="P334" s="181"/>
      <c r="Q334" s="181"/>
      <c r="R334" s="221"/>
      <c r="S334" s="234"/>
      <c r="T334" s="234"/>
      <c r="U334" s="221"/>
      <c r="V334" s="221"/>
      <c r="X334"/>
    </row>
    <row r="335" spans="1:24" s="310" customFormat="1" ht="25.5" customHeight="1">
      <c r="A335"/>
      <c r="B335"/>
      <c r="C335" s="282"/>
      <c r="D335" s="181"/>
      <c r="E335" s="272"/>
      <c r="F335" s="265"/>
      <c r="G335" s="265"/>
      <c r="H335" s="265"/>
      <c r="I335" s="181"/>
      <c r="J335" s="181"/>
      <c r="K335" s="181"/>
      <c r="L335" s="181"/>
      <c r="M335" s="265"/>
      <c r="N335" s="181"/>
      <c r="O335" s="181"/>
      <c r="P335" s="181"/>
      <c r="Q335" s="181"/>
      <c r="R335" s="221"/>
      <c r="S335" s="234"/>
      <c r="T335" s="234"/>
      <c r="U335" s="221"/>
      <c r="V335" s="221"/>
      <c r="X335"/>
    </row>
    <row r="336" spans="1:24" s="310" customFormat="1" ht="25.5" customHeight="1">
      <c r="A336"/>
      <c r="B336"/>
      <c r="C336" s="282"/>
      <c r="D336" s="181"/>
      <c r="E336" s="272"/>
      <c r="F336" s="265"/>
      <c r="G336" s="265"/>
      <c r="H336" s="265"/>
      <c r="I336" s="181"/>
      <c r="J336" s="181"/>
      <c r="K336" s="181"/>
      <c r="L336" s="181"/>
      <c r="M336" s="265"/>
      <c r="N336" s="181"/>
      <c r="O336" s="181"/>
      <c r="P336" s="181"/>
      <c r="Q336" s="181"/>
      <c r="R336" s="221"/>
      <c r="S336" s="234"/>
      <c r="T336" s="234"/>
      <c r="U336" s="221"/>
      <c r="V336" s="221"/>
      <c r="X336"/>
    </row>
    <row r="337" spans="1:24" s="310" customFormat="1" ht="25.5" customHeight="1">
      <c r="A337"/>
      <c r="B337"/>
      <c r="C337" s="282"/>
      <c r="D337" s="181"/>
      <c r="E337" s="272"/>
      <c r="F337" s="265"/>
      <c r="G337" s="265"/>
      <c r="H337" s="265"/>
      <c r="I337" s="181"/>
      <c r="J337" s="181"/>
      <c r="K337" s="181"/>
      <c r="L337" s="181"/>
      <c r="M337" s="265"/>
      <c r="N337" s="181"/>
      <c r="O337" s="181"/>
      <c r="P337" s="181"/>
      <c r="Q337" s="181"/>
      <c r="R337" s="221"/>
      <c r="S337" s="234"/>
      <c r="T337" s="234"/>
      <c r="U337" s="221"/>
      <c r="V337" s="221"/>
      <c r="X337"/>
    </row>
    <row r="338" spans="1:24" s="310" customFormat="1" ht="25.5" customHeight="1">
      <c r="A338"/>
      <c r="B338"/>
      <c r="C338" s="282"/>
      <c r="D338" s="181"/>
      <c r="E338" s="272"/>
      <c r="F338" s="265"/>
      <c r="G338" s="265"/>
      <c r="H338" s="265"/>
      <c r="I338" s="181"/>
      <c r="J338" s="181"/>
      <c r="K338" s="181"/>
      <c r="L338" s="181"/>
      <c r="M338" s="265"/>
      <c r="N338" s="181"/>
      <c r="O338" s="181"/>
      <c r="P338" s="181"/>
      <c r="Q338" s="181"/>
      <c r="R338" s="221"/>
      <c r="S338" s="234"/>
      <c r="T338" s="234"/>
      <c r="U338" s="221"/>
      <c r="V338" s="221"/>
      <c r="X338"/>
    </row>
    <row r="339" spans="1:24" s="310" customFormat="1" ht="25.5" customHeight="1">
      <c r="A339"/>
      <c r="B339"/>
      <c r="C339" s="282"/>
      <c r="D339" s="181"/>
      <c r="E339" s="272"/>
      <c r="F339" s="265"/>
      <c r="G339" s="265"/>
      <c r="H339" s="265"/>
      <c r="I339" s="181"/>
      <c r="J339" s="181"/>
      <c r="K339" s="181"/>
      <c r="L339" s="181"/>
      <c r="M339" s="265"/>
      <c r="N339" s="181"/>
      <c r="O339" s="181"/>
      <c r="P339" s="181"/>
      <c r="Q339" s="181"/>
      <c r="R339" s="221"/>
      <c r="S339" s="234"/>
      <c r="T339" s="234"/>
      <c r="U339" s="221"/>
      <c r="V339" s="221"/>
      <c r="X339"/>
    </row>
    <row r="340" spans="1:24" s="310" customFormat="1" ht="25.5" customHeight="1">
      <c r="A340"/>
      <c r="B340"/>
      <c r="C340" s="282"/>
      <c r="D340" s="181"/>
      <c r="E340" s="272"/>
      <c r="F340" s="265"/>
      <c r="G340" s="265"/>
      <c r="H340" s="265"/>
      <c r="I340" s="181"/>
      <c r="J340" s="181"/>
      <c r="K340" s="181"/>
      <c r="L340" s="181"/>
      <c r="M340" s="265"/>
      <c r="N340" s="181"/>
      <c r="O340" s="181"/>
      <c r="P340" s="181"/>
      <c r="Q340" s="181"/>
      <c r="R340" s="221"/>
      <c r="S340" s="234"/>
      <c r="T340" s="234"/>
      <c r="U340" s="221"/>
      <c r="V340" s="221"/>
      <c r="X340"/>
    </row>
    <row r="341" spans="1:24" s="310" customFormat="1" ht="25.5" customHeight="1">
      <c r="A341"/>
      <c r="B341"/>
      <c r="C341" s="282"/>
      <c r="D341" s="181"/>
      <c r="E341" s="272"/>
      <c r="F341" s="265"/>
      <c r="G341" s="265"/>
      <c r="H341" s="265"/>
      <c r="I341" s="181"/>
      <c r="J341" s="181"/>
      <c r="K341" s="181"/>
      <c r="L341" s="181"/>
      <c r="M341" s="265"/>
      <c r="N341" s="181"/>
      <c r="O341" s="181"/>
      <c r="P341" s="181"/>
      <c r="Q341" s="181"/>
      <c r="R341" s="221"/>
      <c r="S341" s="234"/>
      <c r="T341" s="234"/>
      <c r="U341" s="221"/>
      <c r="V341" s="221"/>
      <c r="X341"/>
    </row>
    <row r="342" spans="1:24" s="310" customFormat="1" ht="25.5" customHeight="1">
      <c r="A342"/>
      <c r="B342"/>
      <c r="C342" s="282"/>
      <c r="D342" s="181"/>
      <c r="E342" s="272"/>
      <c r="F342" s="265"/>
      <c r="G342" s="265"/>
      <c r="H342" s="265"/>
      <c r="I342" s="181"/>
      <c r="J342" s="181"/>
      <c r="K342" s="181"/>
      <c r="L342" s="181"/>
      <c r="M342" s="265"/>
      <c r="N342" s="181"/>
      <c r="O342" s="181"/>
      <c r="P342" s="181"/>
      <c r="Q342" s="181"/>
      <c r="R342" s="221"/>
      <c r="S342" s="234"/>
      <c r="T342" s="234"/>
      <c r="U342" s="221"/>
      <c r="V342" s="221"/>
      <c r="X342"/>
    </row>
    <row r="343" spans="1:24" s="310" customFormat="1" ht="25.5" customHeight="1">
      <c r="A343"/>
      <c r="B343"/>
      <c r="C343" s="282"/>
      <c r="D343" s="181"/>
      <c r="E343" s="272"/>
      <c r="F343" s="265"/>
      <c r="G343" s="265"/>
      <c r="H343" s="265"/>
      <c r="I343" s="181"/>
      <c r="J343" s="181"/>
      <c r="K343" s="181"/>
      <c r="L343" s="181"/>
      <c r="M343" s="265"/>
      <c r="N343" s="181"/>
      <c r="O343" s="181"/>
      <c r="P343" s="181"/>
      <c r="Q343" s="181"/>
      <c r="R343" s="221"/>
      <c r="S343" s="234"/>
      <c r="T343" s="234"/>
      <c r="U343" s="221"/>
      <c r="V343" s="221"/>
      <c r="X343"/>
    </row>
    <row r="344" spans="1:24" s="310" customFormat="1" ht="25.5" customHeight="1">
      <c r="A344"/>
      <c r="B344"/>
      <c r="C344" s="282"/>
      <c r="D344" s="181"/>
      <c r="E344" s="272"/>
      <c r="F344" s="265"/>
      <c r="G344" s="265"/>
      <c r="H344" s="265"/>
      <c r="I344" s="181"/>
      <c r="J344" s="181"/>
      <c r="K344" s="181"/>
      <c r="L344" s="181"/>
      <c r="M344" s="265"/>
      <c r="N344" s="181"/>
      <c r="O344" s="181"/>
      <c r="P344" s="181"/>
      <c r="Q344" s="181"/>
      <c r="R344" s="221"/>
      <c r="S344" s="234"/>
      <c r="T344" s="234"/>
      <c r="U344" s="221"/>
      <c r="V344" s="221"/>
      <c r="X344"/>
    </row>
    <row r="345" spans="1:24" s="310" customFormat="1" ht="25.5" customHeight="1">
      <c r="A345"/>
      <c r="B345"/>
      <c r="C345" s="282"/>
      <c r="D345" s="181"/>
      <c r="E345" s="272"/>
      <c r="F345" s="265"/>
      <c r="G345" s="265"/>
      <c r="H345" s="265"/>
      <c r="I345" s="181"/>
      <c r="J345" s="181"/>
      <c r="K345" s="181"/>
      <c r="L345" s="181"/>
      <c r="M345" s="265"/>
      <c r="N345" s="181"/>
      <c r="O345" s="181"/>
      <c r="P345" s="181"/>
      <c r="Q345" s="181"/>
      <c r="R345" s="221"/>
      <c r="S345" s="234"/>
      <c r="T345" s="234"/>
      <c r="U345" s="221"/>
      <c r="V345" s="221"/>
      <c r="X345"/>
    </row>
    <row r="346" spans="1:24" s="310" customFormat="1" ht="25.5" customHeight="1">
      <c r="A346"/>
      <c r="B346"/>
      <c r="C346" s="282"/>
      <c r="D346" s="181"/>
      <c r="E346" s="272"/>
      <c r="F346" s="265"/>
      <c r="G346" s="265"/>
      <c r="H346" s="265"/>
      <c r="I346" s="181"/>
      <c r="J346" s="181"/>
      <c r="K346" s="181"/>
      <c r="L346" s="181"/>
      <c r="M346" s="265"/>
      <c r="N346" s="181"/>
      <c r="O346" s="181"/>
      <c r="P346" s="181"/>
      <c r="Q346" s="181"/>
      <c r="R346" s="221"/>
      <c r="S346" s="234"/>
      <c r="T346" s="234"/>
      <c r="U346" s="221"/>
      <c r="V346" s="221"/>
      <c r="X346"/>
    </row>
    <row r="347" spans="1:24" s="310" customFormat="1" ht="25.5" customHeight="1">
      <c r="A347"/>
      <c r="B347"/>
      <c r="C347" s="282"/>
      <c r="D347" s="181"/>
      <c r="E347" s="272"/>
      <c r="F347" s="265"/>
      <c r="G347" s="265"/>
      <c r="H347" s="265"/>
      <c r="I347" s="181"/>
      <c r="J347" s="181"/>
      <c r="K347" s="181"/>
      <c r="L347" s="181"/>
      <c r="M347" s="265"/>
      <c r="N347" s="181"/>
      <c r="O347" s="181"/>
      <c r="P347" s="181"/>
      <c r="Q347" s="181"/>
      <c r="R347" s="221"/>
      <c r="S347" s="234"/>
      <c r="T347" s="234"/>
      <c r="U347" s="221"/>
      <c r="V347" s="221"/>
      <c r="X347"/>
    </row>
    <row r="348" spans="1:24" s="310" customFormat="1" ht="25.5" customHeight="1">
      <c r="A348"/>
      <c r="B348"/>
      <c r="C348" s="282"/>
      <c r="D348" s="181"/>
      <c r="E348" s="272"/>
      <c r="F348" s="265"/>
      <c r="G348" s="265"/>
      <c r="H348" s="265"/>
      <c r="I348" s="181"/>
      <c r="J348" s="181"/>
      <c r="K348" s="181"/>
      <c r="L348" s="181"/>
      <c r="M348" s="265"/>
      <c r="N348" s="181"/>
      <c r="O348" s="181"/>
      <c r="P348" s="181"/>
      <c r="Q348" s="181"/>
      <c r="R348" s="221"/>
      <c r="S348" s="234"/>
      <c r="T348" s="234"/>
      <c r="U348" s="221"/>
      <c r="V348" s="221"/>
      <c r="X348"/>
    </row>
    <row r="349" spans="1:24" s="310" customFormat="1" ht="25.5" customHeight="1">
      <c r="A349"/>
      <c r="B349"/>
      <c r="C349" s="282"/>
      <c r="D349" s="181"/>
      <c r="E349" s="272"/>
      <c r="F349" s="265"/>
      <c r="G349" s="265"/>
      <c r="H349" s="265"/>
      <c r="I349" s="181"/>
      <c r="J349" s="181"/>
      <c r="K349" s="181"/>
      <c r="L349" s="181"/>
      <c r="M349" s="265"/>
      <c r="N349" s="181"/>
      <c r="O349" s="181"/>
      <c r="P349" s="181"/>
      <c r="Q349" s="181"/>
      <c r="R349" s="221"/>
      <c r="S349" s="234"/>
      <c r="T349" s="234"/>
      <c r="U349" s="221"/>
      <c r="V349" s="221"/>
      <c r="X349"/>
    </row>
    <row r="350" spans="1:24" s="310" customFormat="1" ht="25.5" customHeight="1">
      <c r="A350"/>
      <c r="B350"/>
      <c r="C350" s="282"/>
      <c r="D350" s="181"/>
      <c r="E350" s="272"/>
      <c r="F350" s="265"/>
      <c r="G350" s="265"/>
      <c r="H350" s="265"/>
      <c r="I350" s="181"/>
      <c r="J350" s="181"/>
      <c r="K350" s="181"/>
      <c r="L350" s="181"/>
      <c r="M350" s="265"/>
      <c r="N350" s="181"/>
      <c r="O350" s="181"/>
      <c r="P350" s="181"/>
      <c r="Q350" s="181"/>
      <c r="R350" s="221"/>
      <c r="S350" s="234"/>
      <c r="T350" s="234"/>
      <c r="U350" s="221"/>
      <c r="V350" s="221"/>
      <c r="X350"/>
    </row>
    <row r="351" spans="1:24" s="310" customFormat="1" ht="25.5" customHeight="1">
      <c r="A351"/>
      <c r="B351"/>
      <c r="C351" s="282"/>
      <c r="D351" s="181"/>
      <c r="E351" s="272"/>
      <c r="F351" s="265"/>
      <c r="G351" s="265"/>
      <c r="H351" s="265"/>
      <c r="I351" s="181"/>
      <c r="J351" s="181"/>
      <c r="K351" s="181"/>
      <c r="L351" s="181"/>
      <c r="M351" s="265"/>
      <c r="N351" s="181"/>
      <c r="O351" s="181"/>
      <c r="P351" s="181"/>
      <c r="Q351" s="181"/>
      <c r="R351" s="221"/>
      <c r="S351" s="234"/>
      <c r="T351" s="234"/>
      <c r="U351" s="221"/>
      <c r="V351" s="221"/>
      <c r="X351"/>
    </row>
    <row r="352" spans="1:24" s="310" customFormat="1" ht="25.5" customHeight="1">
      <c r="A352"/>
      <c r="B352"/>
      <c r="C352" s="282"/>
      <c r="D352" s="181"/>
      <c r="E352" s="272"/>
      <c r="F352" s="265"/>
      <c r="G352" s="265"/>
      <c r="H352" s="265"/>
      <c r="I352" s="181"/>
      <c r="J352" s="181"/>
      <c r="K352" s="181"/>
      <c r="L352" s="181"/>
      <c r="M352" s="265"/>
      <c r="N352" s="181"/>
      <c r="O352" s="181"/>
      <c r="P352" s="181"/>
      <c r="Q352" s="181"/>
      <c r="R352" s="221"/>
      <c r="S352" s="234"/>
      <c r="T352" s="234"/>
      <c r="U352" s="221"/>
      <c r="V352" s="221"/>
      <c r="X352"/>
    </row>
    <row r="353" spans="1:24" s="310" customFormat="1" ht="25.5" customHeight="1">
      <c r="A353"/>
      <c r="B353"/>
      <c r="C353" s="282"/>
      <c r="D353" s="181"/>
      <c r="E353" s="272"/>
      <c r="F353" s="265"/>
      <c r="G353" s="265"/>
      <c r="H353" s="265"/>
      <c r="I353" s="181"/>
      <c r="J353" s="181"/>
      <c r="K353" s="181"/>
      <c r="L353" s="181"/>
      <c r="M353" s="265"/>
      <c r="N353" s="181"/>
      <c r="O353" s="181"/>
      <c r="P353" s="181"/>
      <c r="Q353" s="181"/>
      <c r="R353" s="221"/>
      <c r="S353" s="234"/>
      <c r="T353" s="234"/>
      <c r="U353" s="221"/>
      <c r="V353" s="221"/>
      <c r="X353"/>
    </row>
    <row r="354" spans="1:24" s="310" customFormat="1" ht="25.5" customHeight="1">
      <c r="A354"/>
      <c r="B354"/>
      <c r="C354" s="282"/>
      <c r="D354" s="181"/>
      <c r="E354" s="272"/>
      <c r="F354" s="265"/>
      <c r="G354" s="265"/>
      <c r="H354" s="265"/>
      <c r="I354" s="181"/>
      <c r="J354" s="181"/>
      <c r="K354" s="181"/>
      <c r="L354" s="181"/>
      <c r="M354" s="265"/>
      <c r="N354" s="181"/>
      <c r="O354" s="181"/>
      <c r="P354" s="181"/>
      <c r="Q354" s="181"/>
      <c r="R354" s="221"/>
      <c r="S354" s="234"/>
      <c r="T354" s="234"/>
      <c r="U354" s="221"/>
      <c r="V354" s="221"/>
      <c r="X354"/>
    </row>
    <row r="355" spans="1:24" s="310" customFormat="1" ht="25.5" customHeight="1">
      <c r="A355"/>
      <c r="B355"/>
      <c r="C355" s="282"/>
      <c r="D355" s="181"/>
      <c r="E355" s="272"/>
      <c r="F355" s="265"/>
      <c r="G355" s="265"/>
      <c r="H355" s="265"/>
      <c r="I355" s="181"/>
      <c r="J355" s="181"/>
      <c r="K355" s="181"/>
      <c r="L355" s="181"/>
      <c r="M355" s="265"/>
      <c r="N355" s="181"/>
      <c r="O355" s="181"/>
      <c r="P355" s="181"/>
      <c r="Q355" s="181"/>
      <c r="R355" s="221"/>
      <c r="S355" s="234"/>
      <c r="T355" s="234"/>
      <c r="U355" s="221"/>
      <c r="V355" s="221"/>
      <c r="X355"/>
    </row>
    <row r="356" spans="1:24" s="310" customFormat="1" ht="25.5" customHeight="1">
      <c r="A356"/>
      <c r="B356"/>
      <c r="C356" s="282"/>
      <c r="D356" s="181"/>
      <c r="E356" s="272"/>
      <c r="F356" s="265"/>
      <c r="G356" s="265"/>
      <c r="H356" s="265"/>
      <c r="I356" s="181"/>
      <c r="J356" s="181"/>
      <c r="K356" s="181"/>
      <c r="L356" s="181"/>
      <c r="M356" s="265"/>
      <c r="N356" s="181"/>
      <c r="O356" s="181"/>
      <c r="P356" s="181"/>
      <c r="Q356" s="181"/>
      <c r="R356" s="221"/>
      <c r="S356" s="234"/>
      <c r="T356" s="234"/>
      <c r="U356" s="221"/>
      <c r="V356" s="221"/>
      <c r="X356"/>
    </row>
    <row r="357" spans="1:24" s="310" customFormat="1" ht="25.5" customHeight="1">
      <c r="A357"/>
      <c r="B357"/>
      <c r="C357" s="282"/>
      <c r="D357" s="181"/>
      <c r="E357" s="272"/>
      <c r="F357" s="265"/>
      <c r="G357" s="265"/>
      <c r="H357" s="265"/>
      <c r="I357" s="181"/>
      <c r="J357" s="181"/>
      <c r="K357" s="181"/>
      <c r="L357" s="181"/>
      <c r="M357" s="265"/>
      <c r="N357" s="181"/>
      <c r="O357" s="181"/>
      <c r="P357" s="181"/>
      <c r="Q357" s="181"/>
      <c r="R357" s="221"/>
      <c r="S357" s="234"/>
      <c r="T357" s="234"/>
      <c r="U357" s="221"/>
      <c r="V357" s="221"/>
      <c r="X357"/>
    </row>
    <row r="358" spans="1:24" s="310" customFormat="1" ht="25.5" customHeight="1">
      <c r="A358"/>
      <c r="B358"/>
      <c r="C358" s="282"/>
      <c r="D358" s="181"/>
      <c r="E358" s="272"/>
      <c r="F358" s="265"/>
      <c r="G358" s="265"/>
      <c r="H358" s="265"/>
      <c r="I358" s="181"/>
      <c r="J358" s="181"/>
      <c r="K358" s="181"/>
      <c r="L358" s="181"/>
      <c r="M358" s="265"/>
      <c r="N358" s="181"/>
      <c r="O358" s="181"/>
      <c r="P358" s="181"/>
      <c r="Q358" s="181"/>
      <c r="R358" s="221"/>
      <c r="S358" s="234"/>
      <c r="T358" s="234"/>
      <c r="U358" s="221"/>
      <c r="V358" s="221"/>
      <c r="X358"/>
    </row>
    <row r="359" spans="1:24" s="310" customFormat="1" ht="25.5" customHeight="1">
      <c r="A359"/>
      <c r="B359"/>
      <c r="C359" s="282"/>
      <c r="D359" s="181"/>
      <c r="E359" s="272"/>
      <c r="F359" s="265"/>
      <c r="G359" s="265"/>
      <c r="H359" s="265"/>
      <c r="I359" s="181"/>
      <c r="J359" s="181"/>
      <c r="K359" s="181"/>
      <c r="L359" s="181"/>
      <c r="M359" s="265"/>
      <c r="N359" s="181"/>
      <c r="O359" s="181"/>
      <c r="P359" s="181"/>
      <c r="Q359" s="181"/>
      <c r="R359" s="221"/>
      <c r="S359" s="234"/>
      <c r="T359" s="234"/>
      <c r="U359" s="221"/>
      <c r="V359" s="221"/>
      <c r="X359"/>
    </row>
    <row r="360" spans="1:24" s="310" customFormat="1" ht="25.5" customHeight="1">
      <c r="A360"/>
      <c r="B360"/>
      <c r="C360" s="282"/>
      <c r="D360" s="181"/>
      <c r="E360" s="272"/>
      <c r="F360" s="265"/>
      <c r="G360" s="265"/>
      <c r="H360" s="265"/>
      <c r="I360" s="181"/>
      <c r="J360" s="181"/>
      <c r="K360" s="181"/>
      <c r="L360" s="181"/>
      <c r="M360" s="265"/>
      <c r="N360" s="181"/>
      <c r="O360" s="181"/>
      <c r="P360" s="181"/>
      <c r="Q360" s="181"/>
      <c r="R360" s="221"/>
      <c r="S360" s="234"/>
      <c r="T360" s="234"/>
      <c r="U360" s="221"/>
      <c r="V360" s="221"/>
      <c r="X360"/>
    </row>
    <row r="361" spans="1:24" s="310" customFormat="1" ht="25.5" customHeight="1">
      <c r="A361"/>
      <c r="B361"/>
      <c r="C361" s="282"/>
      <c r="D361" s="181"/>
      <c r="E361" s="272"/>
      <c r="F361" s="265"/>
      <c r="G361" s="265"/>
      <c r="H361" s="265"/>
      <c r="I361" s="181"/>
      <c r="J361" s="181"/>
      <c r="K361" s="181"/>
      <c r="L361" s="181"/>
      <c r="M361" s="265"/>
      <c r="N361" s="181"/>
      <c r="O361" s="181"/>
      <c r="P361" s="181"/>
      <c r="Q361" s="181"/>
      <c r="R361" s="221"/>
      <c r="S361" s="234"/>
      <c r="T361" s="234"/>
      <c r="U361" s="221"/>
      <c r="V361" s="221"/>
      <c r="X361"/>
    </row>
    <row r="362" spans="1:24" s="310" customFormat="1" ht="25.5" customHeight="1">
      <c r="A362"/>
      <c r="B362"/>
      <c r="C362" s="282"/>
      <c r="D362" s="181"/>
      <c r="E362" s="272"/>
      <c r="F362" s="265"/>
      <c r="G362" s="265"/>
      <c r="H362" s="265"/>
      <c r="I362" s="181"/>
      <c r="J362" s="181"/>
      <c r="K362" s="181"/>
      <c r="L362" s="181"/>
      <c r="M362" s="265"/>
      <c r="N362" s="181"/>
      <c r="O362" s="181"/>
      <c r="P362" s="181"/>
      <c r="Q362" s="181"/>
      <c r="R362" s="221"/>
      <c r="S362" s="234"/>
      <c r="T362" s="234"/>
      <c r="U362" s="221"/>
      <c r="V362" s="221"/>
      <c r="X362"/>
    </row>
    <row r="363" spans="1:24" s="310" customFormat="1" ht="25.5" customHeight="1">
      <c r="A363"/>
      <c r="B363"/>
      <c r="C363" s="282"/>
      <c r="D363" s="181"/>
      <c r="E363" s="272"/>
      <c r="F363" s="265"/>
      <c r="G363" s="265"/>
      <c r="H363" s="265"/>
      <c r="I363" s="181"/>
      <c r="J363" s="181"/>
      <c r="K363" s="181"/>
      <c r="L363" s="181"/>
      <c r="M363" s="265"/>
      <c r="N363" s="181"/>
      <c r="O363" s="181"/>
      <c r="P363" s="181"/>
      <c r="Q363" s="181"/>
      <c r="R363" s="221"/>
      <c r="S363" s="234"/>
      <c r="T363" s="234"/>
      <c r="U363" s="221"/>
      <c r="V363" s="221"/>
      <c r="X363"/>
    </row>
    <row r="364" spans="1:24" s="310" customFormat="1" ht="25.5" customHeight="1">
      <c r="A364"/>
      <c r="B364"/>
      <c r="C364" s="282"/>
      <c r="D364" s="181"/>
      <c r="E364" s="272"/>
      <c r="F364" s="265"/>
      <c r="G364" s="265"/>
      <c r="H364" s="265"/>
      <c r="I364" s="181"/>
      <c r="J364" s="181"/>
      <c r="K364" s="181"/>
      <c r="L364" s="181"/>
      <c r="M364" s="265"/>
      <c r="N364" s="181"/>
      <c r="O364" s="181"/>
      <c r="P364" s="181"/>
      <c r="Q364" s="181"/>
      <c r="R364" s="221"/>
      <c r="S364" s="234"/>
      <c r="T364" s="234"/>
      <c r="U364" s="221"/>
      <c r="V364" s="221"/>
      <c r="X364"/>
    </row>
    <row r="365" spans="1:24" s="310" customFormat="1" ht="25.5" customHeight="1">
      <c r="A365"/>
      <c r="B365"/>
      <c r="C365" s="282"/>
      <c r="D365" s="181"/>
      <c r="E365" s="272"/>
      <c r="F365" s="265"/>
      <c r="G365" s="265"/>
      <c r="H365" s="265"/>
      <c r="I365" s="181"/>
      <c r="J365" s="181"/>
      <c r="K365" s="181"/>
      <c r="L365" s="181"/>
      <c r="M365" s="265"/>
      <c r="N365" s="181"/>
      <c r="O365" s="181"/>
      <c r="P365" s="181"/>
      <c r="Q365" s="181"/>
      <c r="R365" s="221"/>
      <c r="S365" s="234"/>
      <c r="T365" s="234"/>
      <c r="U365" s="221"/>
      <c r="V365" s="221"/>
      <c r="X365"/>
    </row>
    <row r="366" spans="1:24" s="310" customFormat="1" ht="25.5" customHeight="1">
      <c r="A366"/>
      <c r="B366"/>
      <c r="C366" s="282"/>
      <c r="D366" s="181"/>
      <c r="E366" s="272"/>
      <c r="F366" s="265"/>
      <c r="G366" s="265"/>
      <c r="H366" s="265"/>
      <c r="I366" s="181"/>
      <c r="J366" s="181"/>
      <c r="K366" s="181"/>
      <c r="L366" s="181"/>
      <c r="M366" s="265"/>
      <c r="N366" s="181"/>
      <c r="O366" s="181"/>
      <c r="P366" s="181"/>
      <c r="Q366" s="181"/>
      <c r="R366" s="221"/>
      <c r="S366" s="234"/>
      <c r="T366" s="234"/>
      <c r="U366" s="221"/>
      <c r="V366" s="221"/>
      <c r="X366"/>
    </row>
    <row r="367" spans="1:24" s="310" customFormat="1" ht="25.5" customHeight="1">
      <c r="A367"/>
      <c r="B367"/>
      <c r="C367" s="282"/>
      <c r="D367" s="181"/>
      <c r="E367" s="272"/>
      <c r="F367" s="265"/>
      <c r="G367" s="265"/>
      <c r="H367" s="265"/>
      <c r="I367" s="181"/>
      <c r="J367" s="181"/>
      <c r="K367" s="181"/>
      <c r="L367" s="181"/>
      <c r="M367" s="265"/>
      <c r="N367" s="181"/>
      <c r="O367" s="181"/>
      <c r="P367" s="181"/>
      <c r="Q367" s="181"/>
      <c r="R367" s="221"/>
      <c r="S367" s="234"/>
      <c r="T367" s="234"/>
      <c r="U367" s="221"/>
      <c r="V367" s="221"/>
      <c r="X367"/>
    </row>
    <row r="368" spans="1:24" s="310" customFormat="1" ht="25.5" customHeight="1">
      <c r="A368"/>
      <c r="B368"/>
      <c r="C368" s="282"/>
      <c r="D368" s="181"/>
      <c r="E368" s="272"/>
      <c r="F368" s="265"/>
      <c r="G368" s="265"/>
      <c r="H368" s="265"/>
      <c r="I368" s="181"/>
      <c r="J368" s="181"/>
      <c r="K368" s="181"/>
      <c r="L368" s="181"/>
      <c r="M368" s="265"/>
      <c r="N368" s="181"/>
      <c r="O368" s="181"/>
      <c r="P368" s="181"/>
      <c r="Q368" s="181"/>
      <c r="R368" s="221"/>
      <c r="S368" s="234"/>
      <c r="T368" s="234"/>
      <c r="U368" s="221"/>
      <c r="V368" s="221"/>
      <c r="X368"/>
    </row>
    <row r="369" spans="1:24" s="310" customFormat="1" ht="25.5" customHeight="1">
      <c r="A369"/>
      <c r="B369"/>
      <c r="C369" s="282"/>
      <c r="D369" s="181"/>
      <c r="E369" s="272"/>
      <c r="F369" s="265"/>
      <c r="G369" s="265"/>
      <c r="H369" s="265"/>
      <c r="I369" s="181"/>
      <c r="J369" s="181"/>
      <c r="K369" s="181"/>
      <c r="L369" s="181"/>
      <c r="M369" s="265"/>
      <c r="N369" s="181"/>
      <c r="O369" s="181"/>
      <c r="P369" s="181"/>
      <c r="Q369" s="181"/>
      <c r="R369" s="221"/>
      <c r="S369" s="234"/>
      <c r="T369" s="234"/>
      <c r="U369" s="221"/>
      <c r="V369" s="221"/>
      <c r="X369"/>
    </row>
    <row r="370" spans="1:24" s="310" customFormat="1" ht="25.5" customHeight="1">
      <c r="A370"/>
      <c r="B370"/>
      <c r="C370" s="282"/>
      <c r="D370" s="181"/>
      <c r="E370" s="272"/>
      <c r="F370" s="265"/>
      <c r="G370" s="265"/>
      <c r="H370" s="265"/>
      <c r="I370" s="181"/>
      <c r="J370" s="181"/>
      <c r="K370" s="181"/>
      <c r="L370" s="181"/>
      <c r="M370" s="265"/>
      <c r="N370" s="181"/>
      <c r="O370" s="181"/>
      <c r="P370" s="181"/>
      <c r="Q370" s="181"/>
      <c r="R370" s="221"/>
      <c r="S370" s="234"/>
      <c r="T370" s="234"/>
      <c r="U370" s="221"/>
      <c r="V370" s="221"/>
      <c r="X370"/>
    </row>
    <row r="371" spans="1:24" s="310" customFormat="1" ht="25.5" customHeight="1">
      <c r="A371"/>
      <c r="B371"/>
      <c r="C371" s="282"/>
      <c r="D371" s="181"/>
      <c r="E371" s="272"/>
      <c r="F371" s="265"/>
      <c r="G371" s="265"/>
      <c r="H371" s="265"/>
      <c r="I371" s="181"/>
      <c r="J371" s="181"/>
      <c r="K371" s="181"/>
      <c r="L371" s="181"/>
      <c r="M371" s="265"/>
      <c r="N371" s="181"/>
      <c r="O371" s="181"/>
      <c r="P371" s="181"/>
      <c r="Q371" s="181"/>
      <c r="R371" s="221"/>
      <c r="S371" s="234"/>
      <c r="T371" s="234"/>
      <c r="U371" s="221"/>
      <c r="V371" s="221"/>
      <c r="X371"/>
    </row>
    <row r="372" spans="1:24" s="310" customFormat="1" ht="25.5" customHeight="1">
      <c r="A372"/>
      <c r="B372"/>
      <c r="C372" s="282"/>
      <c r="D372" s="181"/>
      <c r="E372" s="272"/>
      <c r="F372" s="265"/>
      <c r="G372" s="265"/>
      <c r="H372" s="265"/>
      <c r="I372" s="181"/>
      <c r="J372" s="181"/>
      <c r="K372" s="181"/>
      <c r="L372" s="181"/>
      <c r="M372" s="265"/>
      <c r="N372" s="181"/>
      <c r="O372" s="181"/>
      <c r="P372" s="181"/>
      <c r="Q372" s="181"/>
      <c r="R372" s="221"/>
      <c r="S372" s="234"/>
      <c r="T372" s="234"/>
      <c r="U372" s="221"/>
      <c r="V372" s="221"/>
      <c r="X372"/>
    </row>
    <row r="373" spans="1:24" s="310" customFormat="1" ht="25.5" customHeight="1">
      <c r="A373"/>
      <c r="B373"/>
      <c r="C373" s="282"/>
      <c r="D373" s="181"/>
      <c r="E373" s="272"/>
      <c r="F373" s="265"/>
      <c r="G373" s="265"/>
      <c r="H373" s="265"/>
      <c r="I373" s="181"/>
      <c r="J373" s="181"/>
      <c r="K373" s="181"/>
      <c r="L373" s="181"/>
      <c r="M373" s="265"/>
      <c r="N373" s="181"/>
      <c r="O373" s="181"/>
      <c r="P373" s="181"/>
      <c r="Q373" s="181"/>
      <c r="R373" s="221"/>
      <c r="S373" s="234"/>
      <c r="T373" s="234"/>
      <c r="U373" s="221"/>
      <c r="V373" s="221"/>
      <c r="X373"/>
    </row>
    <row r="374" spans="1:24" s="310" customFormat="1" ht="25.5" customHeight="1">
      <c r="A374"/>
      <c r="B374"/>
      <c r="C374" s="282"/>
      <c r="D374" s="181"/>
      <c r="E374" s="272"/>
      <c r="F374" s="265"/>
      <c r="G374" s="265"/>
      <c r="H374" s="265"/>
      <c r="I374" s="181"/>
      <c r="J374" s="181"/>
      <c r="K374" s="181"/>
      <c r="L374" s="181"/>
      <c r="M374" s="265"/>
      <c r="N374" s="181"/>
      <c r="O374" s="181"/>
      <c r="P374" s="181"/>
      <c r="Q374" s="181"/>
      <c r="R374" s="221"/>
      <c r="S374" s="234"/>
      <c r="T374" s="234"/>
      <c r="U374" s="221"/>
      <c r="V374" s="221"/>
      <c r="X374"/>
    </row>
    <row r="375" spans="1:24" s="310" customFormat="1" ht="25.5" customHeight="1">
      <c r="A375"/>
      <c r="B375"/>
      <c r="C375" s="282"/>
      <c r="D375" s="181"/>
      <c r="E375" s="272"/>
      <c r="F375" s="265"/>
      <c r="G375" s="265"/>
      <c r="H375" s="265"/>
      <c r="I375" s="181"/>
      <c r="J375" s="181"/>
      <c r="K375" s="181"/>
      <c r="L375" s="181"/>
      <c r="M375" s="265"/>
      <c r="N375" s="181"/>
      <c r="O375" s="181"/>
      <c r="P375" s="181"/>
      <c r="Q375" s="181"/>
      <c r="R375" s="221"/>
      <c r="S375" s="234"/>
      <c r="T375" s="234"/>
      <c r="U375" s="221"/>
      <c r="V375" s="221"/>
      <c r="X375"/>
    </row>
    <row r="376" spans="1:24" s="310" customFormat="1" ht="25.5" customHeight="1">
      <c r="A376"/>
      <c r="B376"/>
      <c r="C376" s="282"/>
      <c r="D376" s="181"/>
      <c r="E376" s="272"/>
      <c r="F376" s="265"/>
      <c r="G376" s="265"/>
      <c r="H376" s="265"/>
      <c r="I376" s="181"/>
      <c r="J376" s="181"/>
      <c r="K376" s="181"/>
      <c r="L376" s="181"/>
      <c r="M376" s="265"/>
      <c r="N376" s="181"/>
      <c r="O376" s="181"/>
      <c r="P376" s="181"/>
      <c r="Q376" s="181"/>
      <c r="R376" s="221"/>
      <c r="S376" s="234"/>
      <c r="T376" s="234"/>
      <c r="U376" s="221"/>
      <c r="V376" s="221"/>
      <c r="X376"/>
    </row>
    <row r="377" spans="1:24" s="310" customFormat="1" ht="25.5" customHeight="1">
      <c r="A377"/>
      <c r="B377"/>
      <c r="C377" s="282"/>
      <c r="D377" s="181"/>
      <c r="E377" s="272"/>
      <c r="F377" s="265"/>
      <c r="G377" s="265"/>
      <c r="H377" s="265"/>
      <c r="I377" s="181"/>
      <c r="J377" s="181"/>
      <c r="K377" s="181"/>
      <c r="L377" s="181"/>
      <c r="M377" s="265"/>
      <c r="N377" s="181"/>
      <c r="O377" s="181"/>
      <c r="P377" s="181"/>
      <c r="Q377" s="181"/>
      <c r="R377" s="221"/>
      <c r="S377" s="234"/>
      <c r="T377" s="234"/>
      <c r="U377" s="221"/>
      <c r="V377" s="221"/>
      <c r="X377"/>
    </row>
    <row r="378" spans="1:24" s="310" customFormat="1" ht="25.5" customHeight="1">
      <c r="A378"/>
      <c r="B378"/>
      <c r="C378" s="282"/>
      <c r="D378" s="181"/>
      <c r="E378" s="272"/>
      <c r="F378" s="265"/>
      <c r="G378" s="265"/>
      <c r="H378" s="265"/>
      <c r="I378" s="181"/>
      <c r="J378" s="181"/>
      <c r="K378" s="181"/>
      <c r="L378" s="181"/>
      <c r="M378" s="265"/>
      <c r="N378" s="181"/>
      <c r="O378" s="181"/>
      <c r="P378" s="181"/>
      <c r="Q378" s="181"/>
      <c r="R378" s="221"/>
      <c r="S378" s="234"/>
      <c r="T378" s="234"/>
      <c r="U378" s="221"/>
      <c r="V378" s="221"/>
      <c r="X378"/>
    </row>
    <row r="379" spans="1:24" s="310" customFormat="1" ht="25.5" customHeight="1">
      <c r="A379"/>
      <c r="B379"/>
      <c r="C379" s="282"/>
      <c r="D379" s="181"/>
      <c r="E379" s="272"/>
      <c r="F379" s="265"/>
      <c r="G379" s="265"/>
      <c r="H379" s="265"/>
      <c r="I379" s="181"/>
      <c r="J379" s="181"/>
      <c r="K379" s="181"/>
      <c r="L379" s="181"/>
      <c r="M379" s="265"/>
      <c r="N379" s="181"/>
      <c r="O379" s="181"/>
      <c r="P379" s="181"/>
      <c r="Q379" s="181"/>
      <c r="R379" s="221"/>
      <c r="S379" s="234"/>
      <c r="T379" s="234"/>
      <c r="U379" s="221"/>
      <c r="V379" s="221"/>
      <c r="X379"/>
    </row>
    <row r="380" spans="1:24" s="310" customFormat="1" ht="25.5" customHeight="1">
      <c r="A380"/>
      <c r="B380"/>
      <c r="C380" s="282"/>
      <c r="D380" s="181"/>
      <c r="E380" s="272"/>
      <c r="F380" s="265"/>
      <c r="G380" s="265"/>
      <c r="H380" s="265"/>
      <c r="I380" s="181"/>
      <c r="J380" s="181"/>
      <c r="K380" s="181"/>
      <c r="L380" s="181"/>
      <c r="M380" s="265"/>
      <c r="N380" s="181"/>
      <c r="O380" s="181"/>
      <c r="P380" s="181"/>
      <c r="Q380" s="181"/>
      <c r="R380" s="221"/>
      <c r="S380" s="234"/>
      <c r="T380" s="234"/>
      <c r="U380" s="221"/>
      <c r="V380" s="221"/>
      <c r="X380"/>
    </row>
    <row r="381" spans="1:24" s="310" customFormat="1" ht="25.5" customHeight="1">
      <c r="A381"/>
      <c r="B381"/>
      <c r="C381" s="282"/>
      <c r="D381" s="181"/>
      <c r="E381" s="272"/>
      <c r="F381" s="265"/>
      <c r="G381" s="265"/>
      <c r="H381" s="265"/>
      <c r="I381" s="181"/>
      <c r="J381" s="181"/>
      <c r="K381" s="181"/>
      <c r="L381" s="181"/>
      <c r="M381" s="265"/>
      <c r="N381" s="181"/>
      <c r="O381" s="181"/>
      <c r="P381" s="181"/>
      <c r="Q381" s="181"/>
      <c r="R381" s="221"/>
      <c r="S381" s="234"/>
      <c r="T381" s="234"/>
      <c r="U381" s="221"/>
      <c r="V381" s="221"/>
      <c r="X381"/>
    </row>
  </sheetData>
  <mergeCells count="32">
    <mergeCell ref="A1:V1"/>
    <mergeCell ref="A2:V2"/>
    <mergeCell ref="A3:V3"/>
    <mergeCell ref="A5:B8"/>
    <mergeCell ref="D5:D6"/>
    <mergeCell ref="E5:F6"/>
    <mergeCell ref="G5:G6"/>
    <mergeCell ref="H5:J6"/>
    <mergeCell ref="K5:K6"/>
    <mergeCell ref="L5:L6"/>
    <mergeCell ref="M5:P6"/>
    <mergeCell ref="Q5:Q6"/>
    <mergeCell ref="R5:S6"/>
    <mergeCell ref="U5:U6"/>
    <mergeCell ref="V5:V6"/>
    <mergeCell ref="D7:D8"/>
    <mergeCell ref="E7:E8"/>
    <mergeCell ref="F7:F8"/>
    <mergeCell ref="G7:G8"/>
    <mergeCell ref="H7:H8"/>
    <mergeCell ref="I7:I8"/>
    <mergeCell ref="J7:J8"/>
    <mergeCell ref="K7:K8"/>
    <mergeCell ref="M7:M8"/>
    <mergeCell ref="N7:N8"/>
    <mergeCell ref="O7:O8"/>
    <mergeCell ref="P7:P8"/>
    <mergeCell ref="Q7:Q8"/>
    <mergeCell ref="R7:R8"/>
    <mergeCell ref="S7:S8"/>
    <mergeCell ref="U7:U8"/>
    <mergeCell ref="V7:V8"/>
  </mergeCells>
  <pageMargins left="0.17" right="0.19685039370078741" top="0.19685039370078741" bottom="0.17" header="0.19685039370078741" footer="0.1574803149606299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23</vt:i4>
      </vt:variant>
    </vt:vector>
  </HeadingPairs>
  <TitlesOfParts>
    <vt:vector size="46" baseType="lpstr">
      <vt:lpstr>ไตรมาส</vt:lpstr>
      <vt:lpstr>ต.ค. </vt:lpstr>
      <vt:lpstr>พ.ย.</vt:lpstr>
      <vt:lpstr>ธ.ค.</vt:lpstr>
      <vt:lpstr>ต.ค.-ธ.ค.</vt:lpstr>
      <vt:lpstr>ม.ค.</vt:lpstr>
      <vt:lpstr>ก.พ.</vt:lpstr>
      <vt:lpstr>มี.ค.</vt:lpstr>
      <vt:lpstr>ม.ค.-มี.ค.</vt:lpstr>
      <vt:lpstr>เม.ย.</vt:lpstr>
      <vt:lpstr>พ.ค.</vt:lpstr>
      <vt:lpstr>มิ.ย.</vt:lpstr>
      <vt:lpstr>เม.ย.-มิ.ย.</vt:lpstr>
      <vt:lpstr>ก.ค.</vt:lpstr>
      <vt:lpstr>ส.ค.</vt:lpstr>
      <vt:lpstr>ก.ย.</vt:lpstr>
      <vt:lpstr>ก.ค.-ก.ย.</vt:lpstr>
      <vt:lpstr>ไตรมาส งป.2561 ok</vt:lpstr>
      <vt:lpstr>ต.ต.-ก.ค.61+++</vt:lpstr>
      <vt:lpstr>ต.ค.-มิ.ย. 61</vt:lpstr>
      <vt:lpstr>ไตรมาส งป. -ก.ค.2561+++</vt:lpstr>
      <vt:lpstr>ไตรมาส งป.2560 (ไตรมาส 4)</vt:lpstr>
      <vt:lpstr>ไตรมาส งป.2560 (ต.ค.เม.ษ.)</vt:lpstr>
      <vt:lpstr>ก.ค.!Print_Titles</vt:lpstr>
      <vt:lpstr>'ก.ค.-ก.ย.'!Print_Titles</vt:lpstr>
      <vt:lpstr>ก.พ.!Print_Titles</vt:lpstr>
      <vt:lpstr>ก.ย.!Print_Titles</vt:lpstr>
      <vt:lpstr>'ต.ค. '!Print_Titles</vt:lpstr>
      <vt:lpstr>'ต.ค.-ธ.ค.'!Print_Titles</vt:lpstr>
      <vt:lpstr>'ต.ค.-มิ.ย. 61'!Print_Titles</vt:lpstr>
      <vt:lpstr>'ต.ต.-ก.ค.61+++'!Print_Titles</vt:lpstr>
      <vt:lpstr>ไตรมาส!Print_Titles</vt:lpstr>
      <vt:lpstr>'ไตรมาส งป. -ก.ค.2561+++'!Print_Titles</vt:lpstr>
      <vt:lpstr>'ไตรมาส งป.2560 (ต.ค.เม.ษ.)'!Print_Titles</vt:lpstr>
      <vt:lpstr>'ไตรมาส งป.2560 (ไตรมาส 4)'!Print_Titles</vt:lpstr>
      <vt:lpstr>'ไตรมาส งป.2561 ok'!Print_Titles</vt:lpstr>
      <vt:lpstr>ธ.ค.!Print_Titles</vt:lpstr>
      <vt:lpstr>พ.ค.!Print_Titles</vt:lpstr>
      <vt:lpstr>พ.ย.!Print_Titles</vt:lpstr>
      <vt:lpstr>ม.ค.!Print_Titles</vt:lpstr>
      <vt:lpstr>'ม.ค.-มี.ค.'!Print_Titles</vt:lpstr>
      <vt:lpstr>มิ.ย.!Print_Titles</vt:lpstr>
      <vt:lpstr>มี.ค.!Print_Titles</vt:lpstr>
      <vt:lpstr>เม.ย.!Print_Titles</vt:lpstr>
      <vt:lpstr>'เม.ย.-มิ.ย.'!Print_Titles</vt:lpstr>
      <vt:lpstr>ส.ค.!Print_Titles</vt:lpstr>
    </vt:vector>
  </TitlesOfParts>
  <Company>DuDe_TeAM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DUDE_EDITION_V.5</dc:creator>
  <cp:lastModifiedBy>com</cp:lastModifiedBy>
  <cp:lastPrinted>2019-06-06T04:34:50Z</cp:lastPrinted>
  <dcterms:created xsi:type="dcterms:W3CDTF">2011-01-18T07:08:29Z</dcterms:created>
  <dcterms:modified xsi:type="dcterms:W3CDTF">2019-06-19T06:47:07Z</dcterms:modified>
</cp:coreProperties>
</file>